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mubarik/Downloads/"/>
    </mc:Choice>
  </mc:AlternateContent>
  <xr:revisionPtr revIDLastSave="0" documentId="12_ncr:500000_{DD5E1982-F13A-E74C-B79E-67B39AC8B650}" xr6:coauthVersionLast="31" xr6:coauthVersionMax="31" xr10:uidLastSave="{00000000-0000-0000-0000-000000000000}"/>
  <bookViews>
    <workbookView xWindow="260" yWindow="460" windowWidth="29380" windowHeight="17200" tabRatio="728" xr2:uid="{00000000-000D-0000-FFFF-FFFF00000000}"/>
  </bookViews>
  <sheets>
    <sheet name="Aircraft" sheetId="1" r:id="rId1"/>
    <sheet name="Sheet1" sheetId="3" r:id="rId2"/>
    <sheet name="Piper froM Wikipedia" sheetId="2" r:id="rId3"/>
  </sheets>
  <definedNames>
    <definedName name="_xlnm._FilterDatabase" localSheetId="0" hidden="1">Aircraft!$A$1:$V$82</definedName>
    <definedName name="Approach_Speed" localSheetId="0">Aircraft!$I:$I</definedName>
    <definedName name="Approach_Speed." localSheetId="0">Aircraft!$I$2:$I$19</definedName>
    <definedName name="ARC" localSheetId="0">Aircraft!$F:$F</definedName>
    <definedName name="ARC." localSheetId="0">Aircraft!$F$2:$F$19</definedName>
    <definedName name="Data_Area" localSheetId="0">Aircraft!$B$2:$F$19</definedName>
    <definedName name="_xlnm.Database" localSheetId="0">Aircraft!$B$1:$F$19</definedName>
    <definedName name="FAA_Code" localSheetId="0">Aircraft!$T:$T</definedName>
    <definedName name="FAA_Code." localSheetId="0">Aircraft!$T$2:$T$19</definedName>
    <definedName name="Manufacturer" localSheetId="0">Aircraft!$B:$B</definedName>
    <definedName name="Manufacturer." localSheetId="0">Aircraft!$B$2:$B$19</definedName>
    <definedName name="Model" localSheetId="0">Aircraft!$C:$C</definedName>
    <definedName name="Model." localSheetId="0">Aircraft!$C$2:$C$19</definedName>
    <definedName name="MTOW" localSheetId="0">Aircraft!$Q:$Q</definedName>
    <definedName name="MTOW." localSheetId="0">Aircraft!$Q$2:$Q$19</definedName>
    <definedName name="_xlnm.Print_Titles" localSheetId="0">Aircraft!$1:$1</definedName>
    <definedName name="Tail_Height" localSheetId="0">Aircraft!$M:$M</definedName>
    <definedName name="Tail_Height." localSheetId="0">Aircraft!$M$2:$M$19</definedName>
    <definedName name="Wingspan" localSheetId="0">Aircraft!$J:$J</definedName>
    <definedName name="Wingspan." localSheetId="0">Aircraft!$J$2:$J$19</definedName>
  </definedNames>
  <calcPr calcId="162913"/>
</workbook>
</file>

<file path=xl/calcChain.xml><?xml version="1.0" encoding="utf-8"?>
<calcChain xmlns="http://schemas.openxmlformats.org/spreadsheetml/2006/main">
  <c r="P81" i="1" l="1"/>
  <c r="P82" i="1"/>
  <c r="O81" i="1"/>
  <c r="O82" i="1"/>
  <c r="N81" i="1"/>
  <c r="N82" i="1"/>
  <c r="L47" i="1" l="1"/>
  <c r="M47" i="1"/>
  <c r="J47" i="1"/>
  <c r="G47" i="1" s="1"/>
  <c r="F47" i="1"/>
  <c r="M48" i="1" l="1"/>
  <c r="L48" i="1"/>
  <c r="J48" i="1" l="1"/>
  <c r="J59" i="1" l="1"/>
  <c r="M59" i="1"/>
  <c r="L59" i="1"/>
  <c r="L62" i="1"/>
  <c r="J62" i="1"/>
  <c r="G62" i="1" s="1"/>
  <c r="M62" i="1"/>
  <c r="I62" i="1"/>
  <c r="F62" i="1" s="1"/>
  <c r="I63" i="1"/>
  <c r="F63" i="1" s="1"/>
  <c r="M63" i="1"/>
  <c r="L63" i="1"/>
  <c r="I56" i="1"/>
  <c r="F56" i="1" s="1"/>
  <c r="M58" i="1"/>
  <c r="L58" i="1"/>
  <c r="J58" i="1"/>
  <c r="G58" i="1" s="1"/>
  <c r="P65" i="1"/>
  <c r="P64" i="1"/>
  <c r="P63" i="1"/>
  <c r="P62" i="1"/>
  <c r="P60" i="1"/>
  <c r="P59" i="1"/>
  <c r="P58" i="1"/>
  <c r="P57" i="1"/>
  <c r="P56" i="1"/>
  <c r="P55" i="1"/>
  <c r="P54" i="1"/>
  <c r="P53" i="1"/>
  <c r="P52" i="1"/>
  <c r="P51" i="1"/>
  <c r="P50" i="1"/>
  <c r="P61" i="1"/>
  <c r="O65" i="1"/>
  <c r="N65" i="1"/>
  <c r="O64" i="1"/>
  <c r="N64" i="1"/>
  <c r="O63" i="1"/>
  <c r="N63" i="1"/>
  <c r="O62" i="1"/>
  <c r="N62" i="1"/>
  <c r="O61" i="1"/>
  <c r="N61" i="1"/>
  <c r="O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N60" i="1"/>
  <c r="J63" i="1"/>
  <c r="G63" i="1" s="1"/>
  <c r="L60" i="1"/>
  <c r="G59" i="1"/>
  <c r="G56" i="1"/>
  <c r="J60" i="1"/>
  <c r="G60" i="1" s="1"/>
  <c r="M60" i="1"/>
  <c r="I60" i="1"/>
  <c r="F60" i="1" s="1"/>
  <c r="I61" i="1"/>
  <c r="F61" i="1" s="1"/>
  <c r="M61" i="1"/>
  <c r="L61" i="1"/>
  <c r="J61" i="1"/>
  <c r="G61" i="1" s="1"/>
  <c r="I65" i="1"/>
  <c r="F65" i="1" s="1"/>
  <c r="I58" i="1"/>
  <c r="F58" i="1" s="1"/>
  <c r="I57" i="1"/>
  <c r="F57" i="1" s="1"/>
  <c r="I59" i="1"/>
  <c r="F59" i="1" s="1"/>
  <c r="M52" i="1"/>
  <c r="L52" i="1"/>
  <c r="M50" i="1"/>
  <c r="L50" i="1"/>
  <c r="I50" i="1"/>
  <c r="F50" i="1" s="1"/>
  <c r="G50" i="1"/>
  <c r="G51" i="1"/>
  <c r="G52" i="1"/>
  <c r="G53" i="1"/>
  <c r="G54" i="1"/>
  <c r="G55" i="1"/>
  <c r="G65" i="1"/>
  <c r="I55" i="1"/>
  <c r="F55" i="1" s="1"/>
  <c r="I54" i="1"/>
  <c r="F54" i="1" s="1"/>
  <c r="I53" i="1"/>
  <c r="F53" i="1" s="1"/>
  <c r="I52" i="1"/>
  <c r="F52" i="1" s="1"/>
  <c r="I51" i="1"/>
  <c r="F51" i="1" s="1"/>
  <c r="L53" i="1"/>
  <c r="J57" i="1"/>
  <c r="G57" i="1" s="1"/>
  <c r="M55" i="1"/>
  <c r="L55" i="1"/>
  <c r="M54" i="1"/>
  <c r="M53" i="1"/>
  <c r="L51" i="1"/>
  <c r="M51" i="1"/>
  <c r="L57" i="1"/>
  <c r="M57" i="1"/>
  <c r="M56" i="1"/>
  <c r="L56" i="1"/>
  <c r="L64" i="1"/>
  <c r="I64" i="1"/>
  <c r="F64" i="1" s="1"/>
  <c r="J64" i="1"/>
  <c r="G64" i="1" s="1"/>
  <c r="M64" i="1"/>
  <c r="R8" i="1" l="1"/>
  <c r="N8" i="1"/>
  <c r="O8" i="1" s="1"/>
  <c r="I8" i="1"/>
  <c r="F8" i="1" s="1"/>
  <c r="J8" i="1"/>
  <c r="G8" i="1" s="1"/>
  <c r="N13" i="1"/>
  <c r="O13" i="1" s="1"/>
  <c r="L13" i="1"/>
  <c r="F14" i="1"/>
  <c r="R13" i="1"/>
  <c r="I13" i="1"/>
  <c r="F13" i="1" s="1"/>
  <c r="J13" i="1"/>
  <c r="G13" i="1" s="1"/>
  <c r="I79" i="1" l="1"/>
  <c r="F79" i="1" s="1"/>
  <c r="P79" i="1"/>
  <c r="M79" i="1"/>
  <c r="L79" i="1"/>
  <c r="J79" i="1"/>
  <c r="G79" i="1" s="1"/>
  <c r="L77" i="1"/>
  <c r="M77" i="1"/>
  <c r="J77" i="1"/>
  <c r="O78" i="1"/>
  <c r="N78" i="1"/>
  <c r="I78" i="1"/>
  <c r="F78" i="1" s="1"/>
  <c r="P78" i="1"/>
  <c r="M78" i="1"/>
  <c r="L78" i="1"/>
  <c r="J78" i="1"/>
  <c r="G78" i="1" s="1"/>
  <c r="O80" i="1"/>
  <c r="N80" i="1"/>
  <c r="P80" i="1"/>
  <c r="L80" i="1"/>
  <c r="J80" i="1"/>
  <c r="G80" i="1" s="1"/>
  <c r="P77" i="1"/>
  <c r="O77" i="1"/>
  <c r="N77" i="1"/>
  <c r="F80" i="1"/>
  <c r="M80" i="1"/>
  <c r="I77" i="1"/>
  <c r="P72" i="1"/>
  <c r="O72" i="1"/>
  <c r="N72" i="1"/>
  <c r="M72" i="1"/>
  <c r="L72" i="1"/>
  <c r="J72" i="1"/>
  <c r="G72" i="1" s="1"/>
  <c r="I72" i="1"/>
  <c r="F72" i="1" s="1"/>
  <c r="R72" i="1"/>
  <c r="I71" i="1"/>
  <c r="F71" i="1" s="1"/>
  <c r="P71" i="1"/>
  <c r="O71" i="1"/>
  <c r="N71" i="1"/>
  <c r="M71" i="1"/>
  <c r="L71" i="1"/>
  <c r="J71" i="1"/>
  <c r="G71" i="1" s="1"/>
  <c r="P73" i="1"/>
  <c r="O73" i="1"/>
  <c r="N73" i="1"/>
  <c r="M73" i="1"/>
  <c r="L73" i="1"/>
  <c r="J73" i="1"/>
  <c r="G73" i="1" s="1"/>
  <c r="I73" i="1"/>
  <c r="F73" i="1" s="1"/>
  <c r="M76" i="1"/>
  <c r="O2" i="1"/>
  <c r="O74" i="1"/>
  <c r="O75" i="1"/>
  <c r="O76" i="1"/>
  <c r="N76" i="1"/>
  <c r="N75" i="1"/>
  <c r="N74" i="1"/>
  <c r="N2" i="1"/>
  <c r="I74" i="1"/>
  <c r="F74" i="1" s="1"/>
  <c r="P74" i="1"/>
  <c r="M74" i="1"/>
  <c r="L74" i="1"/>
  <c r="J74" i="1"/>
  <c r="G74" i="1" s="1"/>
  <c r="P76" i="1"/>
  <c r="P75" i="1"/>
  <c r="P2" i="1"/>
  <c r="M75" i="1"/>
  <c r="M2" i="1"/>
  <c r="L76" i="1"/>
  <c r="L75" i="1"/>
  <c r="L2" i="1"/>
  <c r="J76" i="1"/>
  <c r="G76" i="1" s="1"/>
  <c r="J75" i="1"/>
  <c r="G75" i="1" s="1"/>
  <c r="J2" i="1"/>
  <c r="G2" i="1" s="1"/>
  <c r="I75" i="1"/>
  <c r="F75" i="1" s="1"/>
  <c r="I2" i="1"/>
  <c r="F2" i="1" s="1"/>
  <c r="I76" i="1"/>
  <c r="F76" i="1" s="1"/>
  <c r="J70" i="1" l="1"/>
  <c r="G70" i="1" s="1"/>
  <c r="I70" i="1"/>
  <c r="F70" i="1" s="1"/>
  <c r="P70" i="1"/>
  <c r="M70" i="1"/>
  <c r="L70" i="1"/>
  <c r="I67" i="1"/>
  <c r="L67" i="1"/>
  <c r="M67" i="1"/>
  <c r="M69" i="1"/>
  <c r="L69" i="1"/>
  <c r="I69" i="1"/>
  <c r="F69" i="1" s="1"/>
  <c r="P69" i="1"/>
  <c r="G69" i="1"/>
  <c r="I68" i="1"/>
  <c r="F68" i="1" s="1"/>
  <c r="M68" i="1"/>
  <c r="L68" i="1"/>
  <c r="G68" i="1"/>
  <c r="P68" i="1"/>
  <c r="P67" i="1"/>
  <c r="O66" i="1"/>
  <c r="P66" i="1"/>
  <c r="N66" i="1"/>
  <c r="M66" i="1"/>
  <c r="L66" i="1"/>
  <c r="J66" i="1"/>
  <c r="I66" i="1"/>
  <c r="M3" i="1" l="1"/>
  <c r="R4" i="1"/>
  <c r="P4" i="1"/>
  <c r="N4" i="1"/>
  <c r="O4" i="1" s="1"/>
  <c r="J4" i="1"/>
  <c r="G4" i="1" s="1"/>
  <c r="I4" i="1"/>
  <c r="F4" i="1" s="1"/>
  <c r="R3" i="1"/>
  <c r="I3" i="1"/>
  <c r="P3" i="1"/>
  <c r="N3" i="1"/>
  <c r="O3" i="1" s="1"/>
  <c r="N12" i="1"/>
  <c r="O12" i="1" s="1"/>
  <c r="N11" i="1"/>
  <c r="O11" i="1" s="1"/>
  <c r="J12" i="1"/>
  <c r="G12" i="1" s="1"/>
  <c r="L12" i="1"/>
  <c r="I12" i="1"/>
  <c r="F12" i="1" s="1"/>
  <c r="J11" i="1"/>
  <c r="G11" i="1" s="1"/>
  <c r="M11" i="1"/>
  <c r="I11" i="1"/>
  <c r="F11" i="1" s="1"/>
  <c r="R12" i="1"/>
  <c r="R11" i="1"/>
  <c r="R10" i="1"/>
  <c r="R7" i="1"/>
  <c r="R9" i="1"/>
  <c r="R6" i="1"/>
  <c r="R5" i="1"/>
  <c r="L10" i="1"/>
  <c r="N10" i="1" s="1"/>
  <c r="O10" i="1" s="1"/>
  <c r="I10" i="1"/>
  <c r="F10" i="1" s="1"/>
  <c r="L9" i="1"/>
  <c r="N9" i="1" s="1"/>
  <c r="O9" i="1" s="1"/>
  <c r="M9" i="1"/>
  <c r="I9" i="1"/>
  <c r="F9" i="1" s="1"/>
  <c r="I7" i="1"/>
  <c r="F7" i="1" s="1"/>
  <c r="M7" i="1"/>
  <c r="L7" i="1"/>
  <c r="N7" i="1" s="1"/>
  <c r="O7" i="1" s="1"/>
  <c r="L6" i="1"/>
  <c r="N6" i="1" s="1"/>
  <c r="O6" i="1" s="1"/>
  <c r="M6" i="1"/>
  <c r="I6" i="1"/>
  <c r="F6" i="1" s="1"/>
  <c r="G10" i="1"/>
  <c r="G7" i="1"/>
  <c r="G9" i="1"/>
  <c r="G6" i="1"/>
  <c r="P5" i="1"/>
  <c r="L5" i="1"/>
  <c r="N5" i="1" s="1"/>
  <c r="O5" i="1" s="1"/>
  <c r="J5" i="1"/>
  <c r="M5" i="1"/>
  <c r="I5" i="1"/>
  <c r="I49" i="1" l="1"/>
  <c r="N49" i="1" l="1"/>
  <c r="P49" i="1"/>
  <c r="O40" i="1" l="1"/>
  <c r="O38" i="1"/>
  <c r="O37" i="1"/>
  <c r="O36" i="1"/>
  <c r="O35" i="1"/>
  <c r="O34" i="1"/>
  <c r="O31" i="1"/>
  <c r="O30" i="1"/>
  <c r="O28" i="1"/>
  <c r="P29" i="1"/>
  <c r="P28" i="1"/>
  <c r="P33" i="1"/>
  <c r="P32" i="1"/>
  <c r="P31" i="1"/>
  <c r="P30" i="1"/>
  <c r="R32" i="1"/>
  <c r="R33" i="1"/>
  <c r="N31" i="1"/>
  <c r="N30" i="1" l="1"/>
  <c r="L30" i="1"/>
  <c r="N28" i="1" l="1"/>
  <c r="N39" i="1"/>
  <c r="O39" i="1" s="1"/>
  <c r="G49" i="1" l="1"/>
  <c r="F49" i="1"/>
  <c r="F81" i="1" l="1"/>
  <c r="G77" i="1"/>
  <c r="F77" i="1"/>
  <c r="G67" i="1"/>
  <c r="F67" i="1"/>
  <c r="G66" i="1"/>
  <c r="F66" i="1"/>
  <c r="G48" i="1"/>
  <c r="F48" i="1"/>
  <c r="F45" i="1"/>
  <c r="F40" i="1"/>
  <c r="F39" i="1"/>
  <c r="F38" i="1"/>
  <c r="F37" i="1"/>
  <c r="F36" i="1"/>
  <c r="F35" i="1"/>
  <c r="G34" i="1"/>
  <c r="F34" i="1"/>
  <c r="F33" i="1"/>
  <c r="F32" i="1"/>
  <c r="F31" i="1"/>
  <c r="F30" i="1"/>
  <c r="G29" i="1"/>
  <c r="F29" i="1"/>
  <c r="F28" i="1"/>
  <c r="F27" i="1"/>
  <c r="F26" i="1"/>
  <c r="F25" i="1"/>
  <c r="F24" i="1"/>
  <c r="F23" i="1"/>
  <c r="F22" i="1"/>
  <c r="F21" i="1"/>
  <c r="F20" i="1"/>
  <c r="F18" i="1"/>
  <c r="G17" i="1"/>
  <c r="F17" i="1"/>
  <c r="F19" i="1"/>
  <c r="G16" i="1"/>
  <c r="F16" i="1"/>
  <c r="G14" i="1"/>
  <c r="G5" i="1"/>
  <c r="F5" i="1"/>
  <c r="G3" i="1"/>
  <c r="F3" i="1"/>
  <c r="R35" i="1" l="1"/>
  <c r="R34" i="1"/>
  <c r="J25" i="1"/>
  <c r="L27" i="1"/>
  <c r="N27" i="1" s="1"/>
  <c r="O27" i="1" s="1"/>
  <c r="M27" i="1"/>
  <c r="J27" i="1"/>
  <c r="L39" i="1"/>
  <c r="M39" i="1"/>
  <c r="J39" i="1"/>
  <c r="L45" i="1"/>
  <c r="O45" i="1" s="1"/>
  <c r="M45" i="1"/>
  <c r="J45" i="1"/>
  <c r="G45" i="1" s="1"/>
  <c r="L42" i="1"/>
  <c r="O42" i="1" s="1"/>
  <c r="M42" i="1"/>
  <c r="J42" i="1"/>
  <c r="G42" i="1" s="1"/>
  <c r="J46" i="1"/>
  <c r="G46" i="1" s="1"/>
  <c r="J41" i="1"/>
  <c r="G41" i="1" s="1"/>
  <c r="M46" i="1"/>
  <c r="M41" i="1"/>
  <c r="L41" i="1"/>
  <c r="O41" i="1" s="1"/>
  <c r="L46" i="1"/>
  <c r="O46" i="1" s="1"/>
  <c r="L44" i="1"/>
  <c r="O44" i="1" s="1"/>
  <c r="L43" i="1"/>
  <c r="O43" i="1" s="1"/>
  <c r="M44" i="1"/>
  <c r="M43" i="1"/>
  <c r="J43" i="1"/>
  <c r="G43" i="1" s="1"/>
  <c r="J44" i="1"/>
  <c r="G44" i="1" s="1"/>
  <c r="I46" i="1"/>
  <c r="F46" i="1" s="1"/>
  <c r="I41" i="1"/>
  <c r="F41" i="1" s="1"/>
  <c r="I42" i="1"/>
  <c r="F42" i="1" s="1"/>
  <c r="I43" i="1"/>
  <c r="F43" i="1" s="1"/>
  <c r="I44" i="1"/>
  <c r="F44" i="1" s="1"/>
  <c r="M30" i="1"/>
  <c r="J30" i="1"/>
  <c r="G30" i="1" s="1"/>
  <c r="G25" i="1" l="1"/>
  <c r="P25" i="1"/>
  <c r="G27" i="1"/>
  <c r="P27" i="1"/>
  <c r="G39" i="1"/>
  <c r="P39" i="1"/>
  <c r="J26" i="1"/>
  <c r="J23" i="1"/>
  <c r="L26" i="1"/>
  <c r="N26" i="1" s="1"/>
  <c r="O26" i="1" s="1"/>
  <c r="M26" i="1"/>
  <c r="G26" i="1" l="1"/>
  <c r="P26" i="1"/>
  <c r="G23" i="1"/>
  <c r="P23" i="1"/>
  <c r="L22" i="1"/>
  <c r="N22" i="1" s="1"/>
  <c r="O22" i="1" s="1"/>
  <c r="J22" i="1"/>
  <c r="G22" i="1" l="1"/>
  <c r="P22" i="1"/>
  <c r="L38" i="1"/>
  <c r="M38" i="1"/>
  <c r="J38" i="1"/>
  <c r="G38" i="1" s="1"/>
  <c r="L37" i="1"/>
  <c r="M37" i="1"/>
  <c r="J37" i="1"/>
  <c r="G37" i="1" s="1"/>
  <c r="M21" i="1"/>
  <c r="L21" i="1"/>
  <c r="N21" i="1" s="1"/>
  <c r="O21" i="1" s="1"/>
  <c r="J21" i="1"/>
  <c r="M24" i="1"/>
  <c r="L24" i="1"/>
  <c r="N24" i="1" s="1"/>
  <c r="O24" i="1" s="1"/>
  <c r="L25" i="1"/>
  <c r="N25" i="1" s="1"/>
  <c r="O25" i="1" s="1"/>
  <c r="M25" i="1"/>
  <c r="J24" i="1"/>
  <c r="G24" i="1" s="1"/>
  <c r="M23" i="1"/>
  <c r="L23" i="1"/>
  <c r="N23" i="1" s="1"/>
  <c r="O23" i="1" s="1"/>
  <c r="L20" i="1"/>
  <c r="N20" i="1" s="1"/>
  <c r="O20" i="1" s="1"/>
  <c r="M20" i="1"/>
  <c r="J20" i="1"/>
  <c r="G21" i="1" l="1"/>
  <c r="P21" i="1"/>
  <c r="G20" i="1"/>
  <c r="P20" i="1"/>
  <c r="L28" i="1"/>
  <c r="M28" i="1"/>
  <c r="J28" i="1"/>
  <c r="G28" i="1" s="1"/>
  <c r="J36" i="1" l="1"/>
  <c r="G36" i="1" s="1"/>
  <c r="M36" i="1"/>
  <c r="L36" i="1"/>
  <c r="J35" i="1"/>
  <c r="G35" i="1" s="1"/>
  <c r="M35" i="1"/>
  <c r="L35" i="1"/>
  <c r="J33" i="1"/>
  <c r="G33" i="1" s="1"/>
  <c r="M34" i="1"/>
  <c r="L34" i="1"/>
  <c r="J32" i="1"/>
  <c r="G32" i="1" s="1"/>
  <c r="M32" i="1"/>
  <c r="L32" i="1"/>
  <c r="L33" i="1"/>
  <c r="M33" i="1"/>
  <c r="J31" i="1"/>
  <c r="G31" i="1" s="1"/>
  <c r="M31" i="1"/>
  <c r="L31" i="1"/>
  <c r="M29" i="1"/>
  <c r="L29" i="1"/>
  <c r="N29" i="1" s="1"/>
  <c r="O29" i="1" s="1"/>
  <c r="M40" i="1"/>
  <c r="J40" i="1"/>
  <c r="L40" i="1"/>
  <c r="G40" i="1" l="1"/>
  <c r="P40" i="1"/>
  <c r="F15" i="1" l="1"/>
  <c r="G15" i="1"/>
  <c r="I82" i="1" l="1"/>
  <c r="F82" i="1" s="1"/>
  <c r="L81" i="1"/>
  <c r="L82" i="1"/>
  <c r="M81" i="1"/>
  <c r="J81" i="1"/>
  <c r="G81" i="1" s="1"/>
  <c r="J82" i="1" l="1"/>
  <c r="G82" i="1" s="1"/>
  <c r="M82" i="1"/>
  <c r="L17" i="1" l="1"/>
  <c r="L16" i="1"/>
  <c r="L14" i="1"/>
  <c r="L15" i="1"/>
  <c r="L19" i="1" l="1"/>
  <c r="L18" i="1"/>
  <c r="N19" i="1"/>
  <c r="J19" i="1"/>
  <c r="G19" i="1" s="1"/>
  <c r="N18" i="1"/>
  <c r="J18" i="1"/>
  <c r="G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M. Tompkins (FAA)</author>
  </authors>
  <commentList>
    <comment ref="C50" authorId="0" shapeId="0" xr:uid="{00000000-0006-0000-0000-000006000000}">
      <text>
        <r>
          <rPr>
            <sz val="9"/>
            <color indexed="81"/>
            <rFont val="Tahoma"/>
            <family val="2"/>
          </rPr>
          <t>M20 series has been produced in three fuselage lengths: "short-body" (M20 through M20E),
"medium-body" (M20F through M20K), and
"long-body" (M20L through M20V).</t>
        </r>
      </text>
    </comment>
  </commentList>
</comments>
</file>

<file path=xl/sharedStrings.xml><?xml version="1.0" encoding="utf-8"?>
<sst xmlns="http://schemas.openxmlformats.org/spreadsheetml/2006/main" count="835" uniqueCount="333">
  <si>
    <t>Manufacturer</t>
  </si>
  <si>
    <t>MTOW</t>
  </si>
  <si>
    <t>Air Tractor</t>
  </si>
  <si>
    <t>AT3P</t>
  </si>
  <si>
    <t>AT-402B</t>
  </si>
  <si>
    <t>AT3T</t>
  </si>
  <si>
    <t>AT-502B</t>
  </si>
  <si>
    <t>AT5T</t>
  </si>
  <si>
    <t>AT-602</t>
  </si>
  <si>
    <t>AT6T</t>
  </si>
  <si>
    <t>AT8T</t>
  </si>
  <si>
    <t>A306</t>
  </si>
  <si>
    <t>Lockheed</t>
  </si>
  <si>
    <t>C130</t>
  </si>
  <si>
    <t>Piper</t>
  </si>
  <si>
    <t>AN2</t>
  </si>
  <si>
    <t>D</t>
  </si>
  <si>
    <t>AAC</t>
  </si>
  <si>
    <t>ADG</t>
  </si>
  <si>
    <t>TDG</t>
  </si>
  <si>
    <t>1B</t>
  </si>
  <si>
    <t>1A</t>
  </si>
  <si>
    <t>Airbus</t>
  </si>
  <si>
    <t>Heavy Eqpt</t>
  </si>
  <si>
    <t>ATCT Weight Class</t>
  </si>
  <si>
    <t>2D</t>
  </si>
  <si>
    <t>Large Commuter Eqpt</t>
  </si>
  <si>
    <t>G450</t>
  </si>
  <si>
    <t>Gulfstream Aerospace Corp.</t>
  </si>
  <si>
    <t>S</t>
  </si>
  <si>
    <t>G650</t>
  </si>
  <si>
    <t>G500</t>
  </si>
  <si>
    <t>G150</t>
  </si>
  <si>
    <t>G280</t>
  </si>
  <si>
    <t>ICAO/FAA Code</t>
  </si>
  <si>
    <t>A30B</t>
  </si>
  <si>
    <t>Saab</t>
  </si>
  <si>
    <t>SF34</t>
  </si>
  <si>
    <t>340B</t>
  </si>
  <si>
    <t>SB20</t>
  </si>
  <si>
    <t>no winglets</t>
  </si>
  <si>
    <t>Max Ramp
Max Taxi</t>
  </si>
  <si>
    <t>winglets</t>
  </si>
  <si>
    <t>Turboprop</t>
  </si>
  <si>
    <t>Model</t>
  </si>
  <si>
    <t>G600</t>
  </si>
  <si>
    <t>G650ER</t>
  </si>
  <si>
    <t>Gulfstream (Gulfstream American Corp.)</t>
  </si>
  <si>
    <t>Gulfstream I (G-I), model G-159</t>
  </si>
  <si>
    <t>Gulfstream IC (G-IC), model G-159C</t>
  </si>
  <si>
    <t>Gulfstream II (G-II), model G-1159</t>
  </si>
  <si>
    <t>Gulfstream IIB (G-IIB is a G-II fitted with a G-III wing)</t>
  </si>
  <si>
    <t>Gulfstream V (G-V)</t>
  </si>
  <si>
    <t>Gulfstream V-SP (G-V-SP)</t>
  </si>
  <si>
    <t>Gulfstream II-SP (G-II-SP),</t>
  </si>
  <si>
    <t>Gulfstream (Gulfstream Aerospace Corp.)</t>
  </si>
  <si>
    <t>G350 (less range than its big brother the G450)</t>
  </si>
  <si>
    <t>Gulfstream (Grumman Aircraft Engineering)</t>
  </si>
  <si>
    <t>Gulfstream Aerospace Corp. (General Dynamics)</t>
  </si>
  <si>
    <t>1121 Jet Commander</t>
  </si>
  <si>
    <t>1123 Commodore Jet</t>
  </si>
  <si>
    <t>Israel Aircraft Industries (IAI)</t>
  </si>
  <si>
    <t>1124 Westwind, 1124 Westwind I</t>
  </si>
  <si>
    <t>Israel Aircraft Industries (IAI) but originally Aero Commander's 1121 Jet Commander</t>
  </si>
  <si>
    <t>1124A Westwind II</t>
  </si>
  <si>
    <t>1125 Astra Galaxy</t>
  </si>
  <si>
    <t>1121A/1121B Jet Commander</t>
  </si>
  <si>
    <t>Gulfstream III (G-III), model G-1159A</t>
  </si>
  <si>
    <t>Gulfstream IV, IV-SP, G300, G400</t>
  </si>
  <si>
    <t>Piston</t>
  </si>
  <si>
    <t>PA-24-400 Comanche</t>
  </si>
  <si>
    <t>PA-31P-350 Mojave</t>
  </si>
  <si>
    <t>PA-31 Navajo</t>
  </si>
  <si>
    <t>PA-34 Seneca</t>
  </si>
  <si>
    <t>PA-39 Twin Comanche C/R</t>
  </si>
  <si>
    <t>PA-46-500TP Malibu Meridian, M500</t>
  </si>
  <si>
    <t>Date Completed</t>
  </si>
  <si>
    <t>2000</t>
  </si>
  <si>
    <t>tbd</t>
  </si>
  <si>
    <t>Tail Height, ft
(@ OEW)</t>
  </si>
  <si>
    <t>Length, ft</t>
  </si>
  <si>
    <t>Wingtip Configuration</t>
  </si>
  <si>
    <t>Wingspan, ft</t>
  </si>
  <si>
    <t>Cockpit to Main Gear (CMG)</t>
  </si>
  <si>
    <t>MGW
(Outer to Outer)</t>
  </si>
  <si>
    <t>Main Gear Configuration</t>
  </si>
  <si>
    <t>wingtip fences</t>
  </si>
  <si>
    <t>Wheelbase, ft</t>
  </si>
  <si>
    <t>Gulfstream IITT (G-IITT), model G-1159</t>
  </si>
  <si>
    <t>2S</t>
  </si>
  <si>
    <t>G550 (is the newer version of V-SP)</t>
  </si>
  <si>
    <t>behind nose gear</t>
  </si>
  <si>
    <t>C-130H, J</t>
  </si>
  <si>
    <t>tip tanks</t>
  </si>
  <si>
    <t>Small Eqpt</t>
  </si>
  <si>
    <t># Engines</t>
  </si>
  <si>
    <t>Years Manufactured</t>
  </si>
  <si>
    <t>AT-504</t>
  </si>
  <si>
    <t>AT-802A</t>
  </si>
  <si>
    <t>AT-300/301</t>
  </si>
  <si>
    <t>AT-302</t>
  </si>
  <si>
    <r>
      <t>Approach Speed
(V</t>
    </r>
    <r>
      <rPr>
        <vertAlign val="subscript"/>
        <sz val="10"/>
        <rFont val="Arial"/>
        <family val="2"/>
      </rPr>
      <t>ref</t>
    </r>
    <r>
      <rPr>
        <sz val="10"/>
        <rFont val="Arial"/>
        <family val="2"/>
      </rPr>
      <t>)</t>
    </r>
  </si>
  <si>
    <t>A300-100/200 (A300-B2-100/200)</t>
  </si>
  <si>
    <t>A300-100 (A300-B4-100)</t>
  </si>
  <si>
    <t>A300-200 (A300-B4-200)</t>
  </si>
  <si>
    <t>A300-200 (A300-C4-200, F4-200)</t>
  </si>
  <si>
    <t>A300-600R (B4-600R)</t>
  </si>
  <si>
    <t>A300-600 (B4/C4-600)</t>
  </si>
  <si>
    <t>winglets on tip tanks</t>
  </si>
  <si>
    <t>Model name</t>
  </si>
  <si>
    <t>First flight</t>
  </si>
  <si>
    <t>Number built</t>
  </si>
  <si>
    <t>Type</t>
  </si>
  <si>
    <t>PWA-8 Cub Cycle</t>
  </si>
  <si>
    <t>Single-seat, mid-wing single-engine monoplane</t>
  </si>
  <si>
    <t>PWA-1 Skycoupe</t>
  </si>
  <si>
    <t>Two-seat low wing twin-boom monoplane, later became PA-7</t>
  </si>
  <si>
    <t>PT-1 Trainer</t>
  </si>
  <si>
    <t>Two-seats in tandem, low-wing monoplane</t>
  </si>
  <si>
    <t>PiperSport</t>
  </si>
  <si>
    <t>Piper PA-42 Cheyenne</t>
  </si>
  <si>
    <t>T-tail derivative of PA-31T Cheyenne</t>
  </si>
  <si>
    <t>Piper M600</t>
  </si>
  <si>
    <t>Six-seat pressurized turboprop single</t>
  </si>
  <si>
    <t>Piper M500</t>
  </si>
  <si>
    <t>Piper M350</t>
  </si>
  <si>
    <t>Six-seat pressurized piston single</t>
  </si>
  <si>
    <t>PA-9</t>
  </si>
  <si>
    <t>None</t>
  </si>
  <si>
    <t>Single-engined high-wing observation and liaison design</t>
  </si>
  <si>
    <t>PA-8 Skycycle</t>
  </si>
  <si>
    <t>PA-7 Skycoupe</t>
  </si>
  <si>
    <t>Two-seat low wing twin-boom monoplane, was PWA-1,</t>
  </si>
  <si>
    <t>PA-60 Aerostar</t>
  </si>
  <si>
    <t>PA-6 Sky Sedan</t>
  </si>
  <si>
    <t>Four-seat, low-wing retractable gear monoplane</t>
  </si>
  <si>
    <t>PA-48 Enforcer</t>
  </si>
  <si>
    <r>
      <t>Single-seat counter-insurgency aircraft based on the </t>
    </r>
    <r>
      <rPr>
        <sz val="10"/>
        <color rgb="FF0B0080"/>
        <rFont val="Arial"/>
        <family val="2"/>
      </rPr>
      <t>Cavalier Mustang</t>
    </r>
    <r>
      <rPr>
        <sz val="10"/>
        <color rgb="FF222222"/>
        <rFont val="Arial"/>
        <family val="2"/>
      </rPr>
      <t>/</t>
    </r>
    <r>
      <rPr>
        <sz val="10"/>
        <color rgb="FF0B0080"/>
        <rFont val="Arial"/>
        <family val="2"/>
      </rPr>
      <t>North American P-51 Mustang</t>
    </r>
  </si>
  <si>
    <t>PA-47 Piperjet</t>
  </si>
  <si>
    <t>seating for 6 or 7 based on configuration</t>
  </si>
  <si>
    <t>PA-46 Malibu</t>
  </si>
  <si>
    <t>Six-seat pressurized single</t>
  </si>
  <si>
    <t>PA-45</t>
  </si>
  <si>
    <t>Proposed six-seat T-tailed aircraft family</t>
  </si>
  <si>
    <t>PA-44 Seminole</t>
  </si>
  <si>
    <t>Twin-engined derivative of PA-28R</t>
  </si>
  <si>
    <t>PA-43</t>
  </si>
  <si>
    <t>Proposed piston-engined PA-42</t>
  </si>
  <si>
    <t>PA-41P</t>
  </si>
  <si>
    <t>Pressurized Aztec</t>
  </si>
  <si>
    <t>PA-40 Arapaho</t>
  </si>
  <si>
    <t>PA-39 replacement</t>
  </si>
  <si>
    <t>Improved PA-30 with counter-rotating propellers</t>
  </si>
  <si>
    <t>PA-38 Tomahawk</t>
  </si>
  <si>
    <t>Two-seat basic trainer</t>
  </si>
  <si>
    <t>PA-37</t>
  </si>
  <si>
    <t>Proposed twin-engined PA-33</t>
  </si>
  <si>
    <t>PA-36 Pawnee Brave</t>
  </si>
  <si>
    <t>Single-engined agricultural monoplane</t>
  </si>
  <si>
    <t>PA-35 Pocono</t>
  </si>
  <si>
    <t>Twin-engined pressurized commuter airliner</t>
  </si>
  <si>
    <t>5000+</t>
  </si>
  <si>
    <t>Twin-engine derivative of PA-32R</t>
  </si>
  <si>
    <t>PA-33 Comanche</t>
  </si>
  <si>
    <t>Pressurized Comanche</t>
  </si>
  <si>
    <t>PA-32R Lance/Saratoga</t>
  </si>
  <si>
    <t>Retractable landing gear variant of the PA-32</t>
  </si>
  <si>
    <t>PA-32 Cherokee Six</t>
  </si>
  <si>
    <t>Six-seat Cherokee derivative with wider cabin</t>
  </si>
  <si>
    <t>PA-31T Cheyenne</t>
  </si>
  <si>
    <t>Turboprop powered derivative of Pressurized Navajo</t>
  </si>
  <si>
    <t>~50[62]</t>
  </si>
  <si>
    <t>PA-31P Pressurized Navajo</t>
  </si>
  <si>
    <t>Pressurized version of Navajo with more powerful engines</t>
  </si>
  <si>
    <t>PA-31-350 Chieftain</t>
  </si>
  <si>
    <t>Stretched Navajo</t>
  </si>
  <si>
    <t>Eight-seat twin-engined low wing cabin monoplane</t>
  </si>
  <si>
    <t>PA-30 Twin Comanche</t>
  </si>
  <si>
    <t>Four-seat twin-engined low wing cabin monoplane</t>
  </si>
  <si>
    <t>PA-29 Papoose</t>
  </si>
  <si>
    <t>Small trainer of fiberglass construction</t>
  </si>
  <si>
    <t>PA-28R-300 Pillán</t>
  </si>
  <si>
    <t>Two-seat military trainer designed for ENAER of Chile</t>
  </si>
  <si>
    <t>PA-28R Arrow</t>
  </si>
  <si>
    <t>Retractable landing gear variant of the PA-28</t>
  </si>
  <si>
    <t>PA-28-235 Cherokee/Dakota</t>
  </si>
  <si>
    <t>Higher-power PA-28</t>
  </si>
  <si>
    <t>PA-28-140 Cherokee</t>
  </si>
  <si>
    <t>Two-seat training variant</t>
  </si>
  <si>
    <t>PA-28 Warrior</t>
  </si>
  <si>
    <t>Improved PA-28</t>
  </si>
  <si>
    <t>PA-28 Cherokee</t>
  </si>
  <si>
    <t>Single-engined low-wing cabin monoplane</t>
  </si>
  <si>
    <t>PA-27 Aztec</t>
  </si>
  <si>
    <t>Improved version of the PA-23, kept PA-23 designation</t>
  </si>
  <si>
    <t>PA-26</t>
  </si>
  <si>
    <t>Proposed higher-power version of the PA-24</t>
  </si>
  <si>
    <t>PA-25 Pawnee</t>
  </si>
  <si>
    <t>Re-engined PA-24 development</t>
  </si>
  <si>
    <t>PA-24 Comanche</t>
  </si>
  <si>
    <t>Single-engine four-seat low-wing cabin monoplane</t>
  </si>
  <si>
    <t>PA-23 Apache</t>
  </si>
  <si>
    <t>Twin-engined low-wing cabin monoplane</t>
  </si>
  <si>
    <t>PA-22 Tri-Pacer</t>
  </si>
  <si>
    <t>Updated version of the PA-20 with nose wheel</t>
  </si>
  <si>
    <t>PA-21</t>
  </si>
  <si>
    <t>Proposed production version of the Baumann Brigadier</t>
  </si>
  <si>
    <t>PA-20 Pacer</t>
  </si>
  <si>
    <t>Re-designed PA-16</t>
  </si>
  <si>
    <t>PA-19 Super Cub</t>
  </si>
  <si>
    <t>PA-18 Super Cub</t>
  </si>
  <si>
    <t>Single-engined high-wing cabin monoplane</t>
  </si>
  <si>
    <t>PA-17 Vagabond</t>
  </si>
  <si>
    <t>Dual-control variant of the PA-15</t>
  </si>
  <si>
    <t>PA-16 Clipper</t>
  </si>
  <si>
    <t>Four-seat version of the PA-15</t>
  </si>
  <si>
    <t>PA-15 Vagabond</t>
  </si>
  <si>
    <t>Side-by-side two-seat high-wing monoplane</t>
  </si>
  <si>
    <t>PA-14 Family Cruiser</t>
  </si>
  <si>
    <t>PA-13</t>
  </si>
  <si>
    <t>-</t>
  </si>
  <si>
    <t>Designation not used</t>
  </si>
  <si>
    <t>PA-12 Super Cruiser</t>
  </si>
  <si>
    <t>PA-11 Cub Special</t>
  </si>
  <si>
    <t>PA-10</t>
  </si>
  <si>
    <t>Single-engined low-wing side-by-side two-seater design</t>
  </si>
  <si>
    <t>P-5</t>
  </si>
  <si>
    <t>Single-engined high-wing cabin monoplane, also known as J-3X</t>
  </si>
  <si>
    <t>P-4 Cub</t>
  </si>
  <si>
    <t>P-3</t>
  </si>
  <si>
    <t>Single-engined high-wing cabin monoplane, also known as J-4RX</t>
  </si>
  <si>
    <t>P-2 Cub</t>
  </si>
  <si>
    <t>P-1 Applegate Duck</t>
  </si>
  <si>
    <t>Amphibian</t>
  </si>
  <si>
    <t>LBP</t>
  </si>
  <si>
    <t>Single-seat, optionally-piloted glider bomb</t>
  </si>
  <si>
    <t>J-5 Cub Cruiser</t>
  </si>
  <si>
    <t>J-4 Cub Coupe</t>
  </si>
  <si>
    <t>J-3 Cub</t>
  </si>
  <si>
    <t>J-2 Cub</t>
  </si>
  <si>
    <t>Two-seat light-sport aircraft marketed by Piper between January 2010 and January 2011.  It was produced by Czech Sport Aircraft and previously known as the SportCruiser</t>
  </si>
  <si>
    <t>Six-seat pressurized twin,  Piper purchased the design from Ted R. Smith</t>
  </si>
  <si>
    <t>3 built, 5 not completed</t>
  </si>
  <si>
    <t>Lower-power successor to Pressurized Navajo, piston-engine Cheyenne/Chieftain hybrid</t>
  </si>
  <si>
    <t>2, plus kits for final assembly in Chile and Spain</t>
  </si>
  <si>
    <t>Initial designation for military version of the PA-18, reverted to PA-18 designation after three built</t>
  </si>
  <si>
    <t>PA-46-400TP Malibu Meridian</t>
  </si>
  <si>
    <t>PA-46-600TP Malibu Meridian, M600</t>
  </si>
  <si>
    <t>PA-46-310P Malibu, -350P Malibu Mirage, 46R-350T Malibu Matrix, M350</t>
  </si>
  <si>
    <t>PA-44-180 Seminole, -180T Turbo Seminole</t>
  </si>
  <si>
    <t>PA-61P Aerostar 601P (is 601 pressurized + increased gross weight)</t>
  </si>
  <si>
    <t>PA-61B Aerostar 601B (is 601 with increased WS)</t>
  </si>
  <si>
    <t>PA-60 Sequoya (Aerostar 602P) (the Piper version of the 601P)</t>
  </si>
  <si>
    <t>PA-60 Aerostar 700P (602P with counter rot engines)</t>
  </si>
  <si>
    <t>PA-61 Aerostar 601 (is the 600 turbocharged)</t>
  </si>
  <si>
    <t>Aerostar Aircraft Corp</t>
  </si>
  <si>
    <t>PA-60 Aerostar 702P (700P with reinf nose gear for higher MTOW)</t>
  </si>
  <si>
    <t>600/600A/600E Aerostar (see Piper PA-60/61)</t>
  </si>
  <si>
    <t>M18</t>
  </si>
  <si>
    <t>PZL Mielec</t>
  </si>
  <si>
    <t>AN-2 Antek</t>
  </si>
  <si>
    <t>M-18 Dromader (an Ag plan) (all versions)</t>
  </si>
  <si>
    <t>M-28 Skytruck (the M28B Bryza is the non-pressurised ver)</t>
  </si>
  <si>
    <t>M-20 Mewa (Polish version of Piper PA-34-200T Seneca II)</t>
  </si>
  <si>
    <t>Medium Commuter Eqpt</t>
  </si>
  <si>
    <t>AEST</t>
  </si>
  <si>
    <t>Jet</t>
  </si>
  <si>
    <t>Physical Class (Engine Type)</t>
  </si>
  <si>
    <t>WW24</t>
  </si>
  <si>
    <t>PA46</t>
  </si>
  <si>
    <t>PA44</t>
  </si>
  <si>
    <t>P46T</t>
  </si>
  <si>
    <t>MO20</t>
  </si>
  <si>
    <t>GLF6</t>
  </si>
  <si>
    <t>GLF5</t>
  </si>
  <si>
    <t>GLF4</t>
  </si>
  <si>
    <t>G80</t>
  </si>
  <si>
    <t>GALX</t>
  </si>
  <si>
    <t>G100 (the IAI Astra SPX rebranded in 2002 as the G100)</t>
  </si>
  <si>
    <t>AT-502XP</t>
  </si>
  <si>
    <t>AT-503T</t>
  </si>
  <si>
    <t>AT-802F, AT-802F Fire Boss</t>
  </si>
  <si>
    <t>AT-802U</t>
  </si>
  <si>
    <t>Upturned tips</t>
  </si>
  <si>
    <t>M20U Ovation Ultra, M20V Acclaim Ultra (turbocharged)</t>
  </si>
  <si>
    <t>M20C Ranger</t>
  </si>
  <si>
    <t>M22 Mustang</t>
  </si>
  <si>
    <t>Mooney International Corporation (former Mooney Aviation Company, Inc.)</t>
  </si>
  <si>
    <t>1961-</t>
  </si>
  <si>
    <t>1962-</t>
  </si>
  <si>
    <t>1963-</t>
  </si>
  <si>
    <t>1966-</t>
  </si>
  <si>
    <t>1967-</t>
  </si>
  <si>
    <t>1976-</t>
  </si>
  <si>
    <t>1978-</t>
  </si>
  <si>
    <t>1988-</t>
  </si>
  <si>
    <t>1989-</t>
  </si>
  <si>
    <t>1994-</t>
  </si>
  <si>
    <t>1999-</t>
  </si>
  <si>
    <t>2006-</t>
  </si>
  <si>
    <t>2017-</t>
  </si>
  <si>
    <t>M20TN Acclaim</t>
  </si>
  <si>
    <t>M20D Master</t>
  </si>
  <si>
    <t>M20E Super 21/Chaparral</t>
  </si>
  <si>
    <t>M20F Executive 21</t>
  </si>
  <si>
    <t>M20G Statesman</t>
  </si>
  <si>
    <t>M20K 231 Turbo Mooney</t>
  </si>
  <si>
    <t>M20L PFM</t>
  </si>
  <si>
    <t>M20S Eagle/Eagle 2</t>
  </si>
  <si>
    <t>M20R Ovation/Ovation 2/Ovation 3</t>
  </si>
  <si>
    <t>M20, M20A, M20B</t>
  </si>
  <si>
    <t>1955-, 1958-, 1960-</t>
  </si>
  <si>
    <t>MO22</t>
  </si>
  <si>
    <t>M20M TLS Bravo</t>
  </si>
  <si>
    <t>M20J 201 (MSE Mooney Special Edition)</t>
  </si>
  <si>
    <t>M20K 252TSE, Encore</t>
  </si>
  <si>
    <t>LET Aircraft Industries</t>
  </si>
  <si>
    <t>L-410 NG (New Generation)</t>
  </si>
  <si>
    <t>L-410 UVP-E20</t>
  </si>
  <si>
    <t>G200 (the IAI Galaxy 1126 rebranded in 2001 as the G200)</t>
  </si>
  <si>
    <t>GLF7</t>
  </si>
  <si>
    <t>GLF8</t>
  </si>
  <si>
    <t>GLF9</t>
  </si>
  <si>
    <t>GLF10</t>
  </si>
  <si>
    <t>G281</t>
  </si>
  <si>
    <t>G282</t>
  </si>
  <si>
    <t>G283</t>
  </si>
  <si>
    <t>G81</t>
  </si>
  <si>
    <t>G82</t>
  </si>
  <si>
    <t>WW25</t>
  </si>
  <si>
    <t>WW26</t>
  </si>
  <si>
    <t>WW27</t>
  </si>
  <si>
    <t>WW28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</si>
</sst>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;#;"/>
    <numFmt numFmtId="165" formatCode="0.00;0.0;"/>
  </numFmts>
  <fonts count="12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vertAlign val="subscript"/>
      <sz val="10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0B008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8">
    <xf numFmtId="0" fontId="0" fillId="0" borderId="0"/>
    <xf numFmtId="0" fontId="1" fillId="0" borderId="1" applyNumberFormat="0" applyFont="0">
      <alignment vertical="center"/>
      <protection locked="0"/>
    </xf>
    <xf numFmtId="165" fontId="3" fillId="2" borderId="0" applyFont="0" applyFill="0" applyBorder="0" applyAlignment="0" applyProtection="0">
      <alignment vertical="top"/>
    </xf>
    <xf numFmtId="164" fontId="3" fillId="0" borderId="1" applyFont="0" applyFill="0" applyBorder="0" applyAlignment="0" applyProtection="0">
      <alignment vertical="center"/>
      <protection locked="0"/>
    </xf>
    <xf numFmtId="0" fontId="2" fillId="3" borderId="1">
      <protection locked="0"/>
    </xf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  <xf numFmtId="0" fontId="1" fillId="0" borderId="1" xfId="1" applyFont="1" applyFill="1" applyBorder="1" applyAlignment="1">
      <alignment horizontal="center"/>
      <protection locked="0"/>
    </xf>
    <xf numFmtId="165" fontId="1" fillId="0" borderId="1" xfId="2" applyFont="1" applyFill="1" applyBorder="1" applyAlignment="1" applyProtection="1">
      <alignment horizontal="center"/>
      <protection locked="0"/>
    </xf>
    <xf numFmtId="3" fontId="1" fillId="0" borderId="1" xfId="1" applyNumberFormat="1" applyFont="1" applyFill="1" applyBorder="1" applyAlignment="1">
      <alignment horizontal="center"/>
      <protection locked="0"/>
    </xf>
    <xf numFmtId="164" fontId="1" fillId="0" borderId="1" xfId="3" applyFont="1" applyFill="1" applyBorder="1" applyAlignment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left" vertical="top"/>
    </xf>
    <xf numFmtId="0" fontId="1" fillId="0" borderId="1" xfId="6" applyNumberFormat="1" applyFont="1" applyFill="1" applyBorder="1" applyAlignment="1" applyProtection="1">
      <alignment horizontal="left"/>
      <protection locked="0"/>
    </xf>
    <xf numFmtId="0" fontId="1" fillId="0" borderId="1" xfId="6" applyNumberFormat="1" applyFont="1" applyFill="1" applyBorder="1" applyAlignment="1">
      <alignment horizontal="left"/>
    </xf>
    <xf numFmtId="0" fontId="1" fillId="0" borderId="0" xfId="0" applyNumberFormat="1" applyFont="1" applyAlignment="1">
      <alignment horizontal="left"/>
    </xf>
    <xf numFmtId="16" fontId="1" fillId="0" borderId="1" xfId="0" applyNumberFormat="1" applyFont="1" applyFill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  <protection locked="0"/>
    </xf>
    <xf numFmtId="3" fontId="1" fillId="4" borderId="1" xfId="1" applyNumberFormat="1" applyFont="1" applyFill="1" applyBorder="1" applyAlignment="1">
      <alignment horizontal="center"/>
      <protection locked="0"/>
    </xf>
    <xf numFmtId="165" fontId="1" fillId="4" borderId="1" xfId="2" applyFont="1" applyFill="1" applyBorder="1" applyAlignment="1" applyProtection="1">
      <alignment horizontal="center"/>
      <protection locked="0"/>
    </xf>
    <xf numFmtId="164" fontId="1" fillId="4" borderId="1" xfId="3" applyFont="1" applyFill="1" applyBorder="1" applyAlignment="1">
      <alignment horizontal="center"/>
      <protection locked="0"/>
    </xf>
    <xf numFmtId="0" fontId="1" fillId="4" borderId="1" xfId="1" applyFont="1" applyFill="1" applyBorder="1" applyAlignment="1">
      <alignment horizontal="center"/>
      <protection locked="0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4" fontId="1" fillId="4" borderId="1" xfId="1" applyNumberFormat="1" applyFont="1" applyFill="1" applyBorder="1" applyAlignment="1">
      <alignment horizontal="center"/>
      <protection locked="0"/>
    </xf>
    <xf numFmtId="2" fontId="1" fillId="0" borderId="1" xfId="1" applyNumberFormat="1" applyFont="1" applyFill="1" applyBorder="1" applyAlignment="1">
      <alignment horizontal="center"/>
      <protection locked="0"/>
    </xf>
    <xf numFmtId="0" fontId="1" fillId="0" borderId="1" xfId="6" quotePrefix="1" applyNumberFormat="1" applyFont="1" applyFill="1" applyBorder="1" applyAlignment="1" applyProtection="1">
      <alignment horizontal="left"/>
      <protection locked="0"/>
    </xf>
    <xf numFmtId="3" fontId="1" fillId="0" borderId="0" xfId="0" applyNumberFormat="1" applyFont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 vertical="center" wrapText="1"/>
    </xf>
    <xf numFmtId="0" fontId="4" fillId="6" borderId="2" xfId="5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4" fillId="6" borderId="3" xfId="5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4" fillId="6" borderId="4" xfId="5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4" fillId="6" borderId="3" xfId="5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left" vertical="center" wrapText="1"/>
    </xf>
    <xf numFmtId="3" fontId="10" fillId="6" borderId="2" xfId="0" applyNumberFormat="1" applyFont="1" applyFill="1" applyBorder="1" applyAlignment="1">
      <alignment horizontal="center" vertical="center" wrapText="1"/>
    </xf>
    <xf numFmtId="3" fontId="10" fillId="6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5" borderId="1" xfId="4" applyFont="1" applyFill="1" applyBorder="1" applyAlignment="1">
      <alignment horizontal="center" vertical="top" wrapText="1"/>
      <protection locked="0"/>
    </xf>
    <xf numFmtId="0" fontId="1" fillId="5" borderId="1" xfId="4" applyFont="1" applyFill="1" applyBorder="1" applyAlignment="1">
      <alignment horizontal="center" vertical="top"/>
      <protection locked="0"/>
    </xf>
    <xf numFmtId="14" fontId="0" fillId="0" borderId="0" xfId="0" applyNumberFormat="1"/>
    <xf numFmtId="0" fontId="1" fillId="0" borderId="1" xfId="6" applyNumberFormat="1" applyFont="1" applyBorder="1" applyAlignment="1">
      <alignment horizontal="left"/>
    </xf>
    <xf numFmtId="0" fontId="1" fillId="0" borderId="0" xfId="6" applyNumberFormat="1" applyFont="1" applyAlignment="1">
      <alignment horizontal="left"/>
    </xf>
    <xf numFmtId="3" fontId="1" fillId="5" borderId="1" xfId="4" applyNumberFormat="1" applyFont="1" applyFill="1" applyBorder="1" applyAlignment="1">
      <alignment horizontal="center" vertical="top"/>
      <protection locked="0"/>
    </xf>
    <xf numFmtId="3" fontId="1" fillId="5" borderId="1" xfId="4" applyNumberFormat="1" applyFont="1" applyFill="1" applyBorder="1" applyAlignment="1">
      <alignment horizontal="center" vertical="top" wrapText="1"/>
      <protection locked="0"/>
    </xf>
    <xf numFmtId="1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4" borderId="1" xfId="2" applyNumberFormat="1" applyFont="1" applyFill="1" applyBorder="1" applyAlignment="1" applyProtection="1">
      <alignment horizontal="center"/>
      <protection locked="0"/>
    </xf>
    <xf numFmtId="4" fontId="1" fillId="0" borderId="1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5" borderId="1" xfId="4" applyNumberFormat="1" applyFont="1" applyFill="1" applyBorder="1" applyAlignment="1">
      <alignment horizontal="center" vertical="top" wrapText="1"/>
      <protection locked="0"/>
    </xf>
    <xf numFmtId="4" fontId="1" fillId="0" borderId="1" xfId="2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Alignment="1">
      <alignment horizontal="center"/>
    </xf>
    <xf numFmtId="1" fontId="1" fillId="5" borderId="1" xfId="4" applyNumberFormat="1" applyFont="1" applyFill="1" applyBorder="1" applyAlignment="1">
      <alignment horizontal="center" vertical="top"/>
      <protection locked="0"/>
    </xf>
    <xf numFmtId="1" fontId="1" fillId="0" borderId="1" xfId="1" applyNumberFormat="1" applyFont="1" applyFill="1" applyBorder="1" applyAlignment="1">
      <alignment horizontal="center"/>
      <protection locked="0"/>
    </xf>
    <xf numFmtId="1" fontId="1" fillId="4" borderId="1" xfId="2" applyNumberFormat="1" applyFont="1" applyFill="1" applyBorder="1" applyAlignment="1" applyProtection="1">
      <alignment horizontal="center"/>
      <protection locked="0"/>
    </xf>
    <xf numFmtId="1" fontId="1" fillId="0" borderId="1" xfId="2" applyNumberFormat="1" applyFont="1" applyFill="1" applyBorder="1" applyAlignment="1" applyProtection="1">
      <alignment horizontal="center"/>
      <protection locked="0"/>
    </xf>
    <xf numFmtId="1" fontId="1" fillId="4" borderId="1" xfId="3" applyNumberFormat="1" applyFont="1" applyFill="1" applyBorder="1" applyAlignment="1">
      <alignment horizontal="center"/>
      <protection locked="0"/>
    </xf>
    <xf numFmtId="1" fontId="1" fillId="0" borderId="1" xfId="3" applyNumberFormat="1" applyFont="1" applyFill="1" applyBorder="1" applyAlignment="1">
      <alignment horizontal="center"/>
      <protection locked="0"/>
    </xf>
    <xf numFmtId="0" fontId="1" fillId="5" borderId="1" xfId="4" applyNumberFormat="1" applyFont="1" applyFill="1" applyBorder="1" applyAlignment="1">
      <alignment horizontal="left" vertical="top"/>
      <protection locked="0"/>
    </xf>
    <xf numFmtId="0" fontId="1" fillId="5" borderId="1" xfId="6" applyNumberFormat="1" applyFont="1" applyFill="1" applyBorder="1" applyAlignment="1" applyProtection="1">
      <alignment horizontal="left" vertical="top" wrapText="1"/>
      <protection locked="0"/>
    </xf>
  </cellXfs>
  <cellStyles count="8">
    <cellStyle name="Currency" xfId="6" builtinId="4"/>
    <cellStyle name="Data" xfId="1" xr:uid="{00000000-0005-0000-0000-000001000000}"/>
    <cellStyle name="Hyperlink" xfId="5" builtinId="8"/>
    <cellStyle name="Hyperlink 2" xfId="7" xr:uid="{00000000-0005-0000-0000-000003000000}"/>
    <cellStyle name="Normal" xfId="0" builtinId="0"/>
    <cellStyle name="Positive" xfId="2" xr:uid="{00000000-0005-0000-0000-000006000000}"/>
    <cellStyle name="Positive Integer" xfId="3" xr:uid="{00000000-0005-0000-0000-000007000000}"/>
    <cellStyle name="Table" xfId="4" xr:uid="{00000000-0005-0000-0000-000008000000}"/>
  </cellStyles>
  <dxfs count="0"/>
  <tableStyles count="0" defaultTableStyle="TableStyleMedium2" defaultPivotStyle="PivotStyleLight16"/>
  <colors>
    <mruColors>
      <color rgb="FF33CCFF"/>
      <color rgb="FF66FF66"/>
      <color rgb="FFFF66FF"/>
      <color rgb="FFFFFFCC"/>
      <color rgb="FFFF3300"/>
      <color rgb="FFFFCCFF"/>
      <color rgb="FF0000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iper_PA-6" TargetMode="External"/><Relationship Id="rId18" Type="http://schemas.openxmlformats.org/officeDocument/2006/relationships/hyperlink" Target="https://en.wikipedia.org/wiki/Piper_PA-40_Arapaho" TargetMode="External"/><Relationship Id="rId26" Type="http://schemas.openxmlformats.org/officeDocument/2006/relationships/hyperlink" Target="https://en.wikipedia.org/wiki/Piper_PA-32R" TargetMode="External"/><Relationship Id="rId39" Type="http://schemas.openxmlformats.org/officeDocument/2006/relationships/hyperlink" Target="https://en.wikipedia.org/wiki/Piper_PA-28" TargetMode="External"/><Relationship Id="rId21" Type="http://schemas.openxmlformats.org/officeDocument/2006/relationships/hyperlink" Target="https://en.wikipedia.org/wiki/Piper_PA-38_Tomahawk" TargetMode="External"/><Relationship Id="rId34" Type="http://schemas.openxmlformats.org/officeDocument/2006/relationships/hyperlink" Target="https://en.wikipedia.org/wiki/Piper_PA-30_Twin_Comanche" TargetMode="External"/><Relationship Id="rId42" Type="http://schemas.openxmlformats.org/officeDocument/2006/relationships/hyperlink" Target="https://en.wikipedia.org/wiki/Piper_PA-28" TargetMode="External"/><Relationship Id="rId47" Type="http://schemas.openxmlformats.org/officeDocument/2006/relationships/hyperlink" Target="https://en.wikipedia.org/wiki/Piper_PA-23" TargetMode="External"/><Relationship Id="rId50" Type="http://schemas.openxmlformats.org/officeDocument/2006/relationships/hyperlink" Target="https://en.wikipedia.org/wiki/Piper_PA-20_Pacer" TargetMode="External"/><Relationship Id="rId55" Type="http://schemas.openxmlformats.org/officeDocument/2006/relationships/hyperlink" Target="https://en.wikipedia.org/wiki/Piper_PA-15_Vagabond" TargetMode="External"/><Relationship Id="rId63" Type="http://schemas.openxmlformats.org/officeDocument/2006/relationships/hyperlink" Target="https://en.wikipedia.org/wiki/Piper_J-3" TargetMode="External"/><Relationship Id="rId7" Type="http://schemas.openxmlformats.org/officeDocument/2006/relationships/hyperlink" Target="https://en.wikipedia.org/wiki/Piper_M600" TargetMode="External"/><Relationship Id="rId2" Type="http://schemas.openxmlformats.org/officeDocument/2006/relationships/hyperlink" Target="https://en.wikipedia.org/wiki/Piper_PA-7" TargetMode="External"/><Relationship Id="rId16" Type="http://schemas.openxmlformats.org/officeDocument/2006/relationships/hyperlink" Target="https://en.wikipedia.org/wiki/Piper_PA-46" TargetMode="External"/><Relationship Id="rId29" Type="http://schemas.openxmlformats.org/officeDocument/2006/relationships/hyperlink" Target="https://en.wikipedia.org/wiki/Piper_PA-31_Navajo" TargetMode="External"/><Relationship Id="rId11" Type="http://schemas.openxmlformats.org/officeDocument/2006/relationships/hyperlink" Target="https://en.wikipedia.org/wiki/Piper_PA-7" TargetMode="External"/><Relationship Id="rId24" Type="http://schemas.openxmlformats.org/officeDocument/2006/relationships/hyperlink" Target="https://en.wikipedia.org/wiki/Piper_PA-34_Seneca" TargetMode="External"/><Relationship Id="rId32" Type="http://schemas.openxmlformats.org/officeDocument/2006/relationships/hyperlink" Target="https://en.wikipedia.org/wiki/Piper_PA-31_Navajo" TargetMode="External"/><Relationship Id="rId37" Type="http://schemas.openxmlformats.org/officeDocument/2006/relationships/hyperlink" Target="https://en.wikipedia.org/wiki/ENAER" TargetMode="External"/><Relationship Id="rId40" Type="http://schemas.openxmlformats.org/officeDocument/2006/relationships/hyperlink" Target="https://en.wikipedia.org/wiki/Piper_PA-28" TargetMode="External"/><Relationship Id="rId45" Type="http://schemas.openxmlformats.org/officeDocument/2006/relationships/hyperlink" Target="https://en.wikipedia.org/wiki/Piper_PA-24_Comanche" TargetMode="External"/><Relationship Id="rId53" Type="http://schemas.openxmlformats.org/officeDocument/2006/relationships/hyperlink" Target="https://en.wikipedia.org/wiki/Piper_PA-15_Vagabond" TargetMode="External"/><Relationship Id="rId58" Type="http://schemas.openxmlformats.org/officeDocument/2006/relationships/hyperlink" Target="https://en.wikipedia.org/wiki/Piper_PA-11" TargetMode="External"/><Relationship Id="rId5" Type="http://schemas.openxmlformats.org/officeDocument/2006/relationships/hyperlink" Target="https://en.wikipedia.org/wiki/Light-sport_aircraft" TargetMode="External"/><Relationship Id="rId61" Type="http://schemas.openxmlformats.org/officeDocument/2006/relationships/hyperlink" Target="https://en.wikipedia.org/wiki/Piper_J-5" TargetMode="External"/><Relationship Id="rId19" Type="http://schemas.openxmlformats.org/officeDocument/2006/relationships/hyperlink" Target="https://en.wikipedia.org/wiki/Piper_PA-30_Twin_Comanche" TargetMode="External"/><Relationship Id="rId14" Type="http://schemas.openxmlformats.org/officeDocument/2006/relationships/hyperlink" Target="https://en.wikipedia.org/wiki/Piper_PA-48_Enforcer" TargetMode="External"/><Relationship Id="rId22" Type="http://schemas.openxmlformats.org/officeDocument/2006/relationships/hyperlink" Target="https://en.wikipedia.org/wiki/Piper_PA-36_Pawnee_Brave" TargetMode="External"/><Relationship Id="rId27" Type="http://schemas.openxmlformats.org/officeDocument/2006/relationships/hyperlink" Target="https://en.wikipedia.org/wiki/Piper_PA-32" TargetMode="External"/><Relationship Id="rId30" Type="http://schemas.openxmlformats.org/officeDocument/2006/relationships/hyperlink" Target="https://en.wikipedia.org/wiki/Piper_Aircraft" TargetMode="External"/><Relationship Id="rId35" Type="http://schemas.openxmlformats.org/officeDocument/2006/relationships/hyperlink" Target="https://en.wikipedia.org/wiki/Piper_PA-29_Papoose" TargetMode="External"/><Relationship Id="rId43" Type="http://schemas.openxmlformats.org/officeDocument/2006/relationships/hyperlink" Target="https://en.wikipedia.org/wiki/Piper_PA-23" TargetMode="External"/><Relationship Id="rId48" Type="http://schemas.openxmlformats.org/officeDocument/2006/relationships/hyperlink" Target="https://en.wikipedia.org/wiki/Piper_PA-20_Pacer" TargetMode="External"/><Relationship Id="rId56" Type="http://schemas.openxmlformats.org/officeDocument/2006/relationships/hyperlink" Target="https://en.wikipedia.org/wiki/Piper_PA-14_Family_Cruiser" TargetMode="External"/><Relationship Id="rId64" Type="http://schemas.openxmlformats.org/officeDocument/2006/relationships/hyperlink" Target="https://en.wikipedia.org/wiki/Taylor_J-2" TargetMode="External"/><Relationship Id="rId8" Type="http://schemas.openxmlformats.org/officeDocument/2006/relationships/hyperlink" Target="https://en.wikipedia.org/wiki/Piper_M500" TargetMode="External"/><Relationship Id="rId51" Type="http://schemas.openxmlformats.org/officeDocument/2006/relationships/hyperlink" Target="https://en.wikipedia.org/wiki/Piper_PA-18" TargetMode="External"/><Relationship Id="rId3" Type="http://schemas.openxmlformats.org/officeDocument/2006/relationships/hyperlink" Target="https://en.wikipedia.org/wiki/Piper_PT-1" TargetMode="External"/><Relationship Id="rId12" Type="http://schemas.openxmlformats.org/officeDocument/2006/relationships/hyperlink" Target="https://en.wikipedia.org/wiki/Piper_Aerostar" TargetMode="External"/><Relationship Id="rId17" Type="http://schemas.openxmlformats.org/officeDocument/2006/relationships/hyperlink" Target="https://en.wikipedia.org/wiki/Piper_PA-44_Seminole" TargetMode="External"/><Relationship Id="rId25" Type="http://schemas.openxmlformats.org/officeDocument/2006/relationships/hyperlink" Target="https://en.wikipedia.org/wiki/Piper_PA-24_Comanche" TargetMode="External"/><Relationship Id="rId33" Type="http://schemas.openxmlformats.org/officeDocument/2006/relationships/hyperlink" Target="https://en.wikipedia.org/wiki/Piper_PA-31_Navajo" TargetMode="External"/><Relationship Id="rId38" Type="http://schemas.openxmlformats.org/officeDocument/2006/relationships/hyperlink" Target="https://en.wikipedia.org/wiki/Piper_PA-28" TargetMode="External"/><Relationship Id="rId46" Type="http://schemas.openxmlformats.org/officeDocument/2006/relationships/hyperlink" Target="https://en.wikipedia.org/wiki/Piper_PA-24_Comanche" TargetMode="External"/><Relationship Id="rId59" Type="http://schemas.openxmlformats.org/officeDocument/2006/relationships/hyperlink" Target="https://en.wikipedia.org/wiki/Amphibious_aircraft" TargetMode="External"/><Relationship Id="rId20" Type="http://schemas.openxmlformats.org/officeDocument/2006/relationships/hyperlink" Target="https://en.wikipedia.org/wiki/Counter-rotating_propellers" TargetMode="External"/><Relationship Id="rId41" Type="http://schemas.openxmlformats.org/officeDocument/2006/relationships/hyperlink" Target="https://en.wikipedia.org/wiki/Piper_PA-28" TargetMode="External"/><Relationship Id="rId54" Type="http://schemas.openxmlformats.org/officeDocument/2006/relationships/hyperlink" Target="https://en.wikipedia.org/wiki/Piper_PA-16_Clipper" TargetMode="External"/><Relationship Id="rId62" Type="http://schemas.openxmlformats.org/officeDocument/2006/relationships/hyperlink" Target="https://en.wikipedia.org/wiki/Piper_J-4" TargetMode="External"/><Relationship Id="rId1" Type="http://schemas.openxmlformats.org/officeDocument/2006/relationships/hyperlink" Target="https://en.wikipedia.org/wiki/Piper_PA-8" TargetMode="External"/><Relationship Id="rId6" Type="http://schemas.openxmlformats.org/officeDocument/2006/relationships/hyperlink" Target="https://en.wikipedia.org/wiki/Piper_PA-42_Cheyenne" TargetMode="External"/><Relationship Id="rId15" Type="http://schemas.openxmlformats.org/officeDocument/2006/relationships/hyperlink" Target="https://en.wikipedia.org/wiki/Piper_PA-47_PiperJet" TargetMode="External"/><Relationship Id="rId23" Type="http://schemas.openxmlformats.org/officeDocument/2006/relationships/hyperlink" Target="https://en.wikipedia.org/wiki/Piper_PA-35_Pocono" TargetMode="External"/><Relationship Id="rId28" Type="http://schemas.openxmlformats.org/officeDocument/2006/relationships/hyperlink" Target="https://en.wikipedia.org/wiki/Piper_PA-31T_Cheyenne" TargetMode="External"/><Relationship Id="rId36" Type="http://schemas.openxmlformats.org/officeDocument/2006/relationships/hyperlink" Target="https://en.wikipedia.org/wiki/ENAER_T-35_Pill%C3%A1n" TargetMode="External"/><Relationship Id="rId49" Type="http://schemas.openxmlformats.org/officeDocument/2006/relationships/hyperlink" Target="https://en.wikipedia.org/wiki/Baumann_Brigadier" TargetMode="External"/><Relationship Id="rId57" Type="http://schemas.openxmlformats.org/officeDocument/2006/relationships/hyperlink" Target="https://en.wikipedia.org/wiki/Piper_PA-12" TargetMode="External"/><Relationship Id="rId10" Type="http://schemas.openxmlformats.org/officeDocument/2006/relationships/hyperlink" Target="https://en.wikipedia.org/wiki/Piper_PA-8" TargetMode="External"/><Relationship Id="rId31" Type="http://schemas.openxmlformats.org/officeDocument/2006/relationships/hyperlink" Target="https://en.wikipedia.org/wiki/Piper_PA-31_Navajo" TargetMode="External"/><Relationship Id="rId44" Type="http://schemas.openxmlformats.org/officeDocument/2006/relationships/hyperlink" Target="https://en.wikipedia.org/wiki/Piper_PA-25_Pawnee" TargetMode="External"/><Relationship Id="rId52" Type="http://schemas.openxmlformats.org/officeDocument/2006/relationships/hyperlink" Target="https://en.wikipedia.org/wiki/Piper_PA-18" TargetMode="External"/><Relationship Id="rId60" Type="http://schemas.openxmlformats.org/officeDocument/2006/relationships/hyperlink" Target="https://en.wikipedia.org/wiki/Piper_LBP" TargetMode="External"/><Relationship Id="rId4" Type="http://schemas.openxmlformats.org/officeDocument/2006/relationships/hyperlink" Target="https://en.wikipedia.org/wiki/CZAW_SportCruiser" TargetMode="External"/><Relationship Id="rId9" Type="http://schemas.openxmlformats.org/officeDocument/2006/relationships/hyperlink" Target="https://en.wikipedia.org/wiki/Piper_M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82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H83" sqref="H83"/>
    </sheetView>
  </sheetViews>
  <sheetFormatPr baseColWidth="10" defaultColWidth="9.1640625" defaultRowHeight="13" x14ac:dyDescent="0.15"/>
  <cols>
    <col min="1" max="1" width="12.33203125" style="10" customWidth="1"/>
    <col min="2" max="2" width="27.5" style="14" customWidth="1"/>
    <col min="3" max="3" width="50.83203125" style="48" customWidth="1"/>
    <col min="4" max="4" width="13" style="1" customWidth="1"/>
    <col min="5" max="5" width="10.83203125" style="1" customWidth="1"/>
    <col min="6" max="7" width="7.6640625" style="10" customWidth="1"/>
    <col min="8" max="8" width="7.6640625" style="58" customWidth="1"/>
    <col min="9" max="9" width="11.5" style="1" customWidth="1"/>
    <col min="10" max="10" width="13.1640625" style="55" customWidth="1"/>
    <col min="11" max="11" width="17" style="10" customWidth="1"/>
    <col min="12" max="13" width="13.1640625" style="55" customWidth="1"/>
    <col min="14" max="14" width="12.1640625" style="1" customWidth="1"/>
    <col min="15" max="15" width="11.5" style="1" customWidth="1"/>
    <col min="16" max="16" width="10.83203125" style="1" customWidth="1"/>
    <col min="17" max="17" width="13.33203125" style="27" customWidth="1"/>
    <col min="18" max="18" width="15.33203125" style="27" customWidth="1"/>
    <col min="19" max="19" width="12.5" style="1" customWidth="1"/>
    <col min="20" max="20" width="14" style="1" customWidth="1"/>
    <col min="21" max="21" width="21.5" style="1" customWidth="1"/>
    <col min="22" max="22" width="14" style="1" customWidth="1"/>
    <col min="23" max="16384" width="9.1640625" style="2"/>
  </cols>
  <sheetData>
    <row r="1" spans="1:22" s="11" customFormat="1" ht="55.5" customHeight="1" x14ac:dyDescent="0.15">
      <c r="A1" s="44" t="s">
        <v>76</v>
      </c>
      <c r="B1" s="65" t="s">
        <v>0</v>
      </c>
      <c r="C1" s="66" t="s">
        <v>44</v>
      </c>
      <c r="D1" s="44" t="s">
        <v>267</v>
      </c>
      <c r="E1" s="44" t="s">
        <v>95</v>
      </c>
      <c r="F1" s="45" t="s">
        <v>17</v>
      </c>
      <c r="G1" s="45" t="s">
        <v>18</v>
      </c>
      <c r="H1" s="59" t="s">
        <v>19</v>
      </c>
      <c r="I1" s="44" t="s">
        <v>101</v>
      </c>
      <c r="J1" s="56" t="s">
        <v>82</v>
      </c>
      <c r="K1" s="44" t="s">
        <v>81</v>
      </c>
      <c r="L1" s="56" t="s">
        <v>80</v>
      </c>
      <c r="M1" s="56" t="s">
        <v>79</v>
      </c>
      <c r="N1" s="44" t="s">
        <v>87</v>
      </c>
      <c r="O1" s="44" t="s">
        <v>83</v>
      </c>
      <c r="P1" s="44" t="s">
        <v>84</v>
      </c>
      <c r="Q1" s="49" t="s">
        <v>1</v>
      </c>
      <c r="R1" s="50" t="s">
        <v>41</v>
      </c>
      <c r="S1" s="44" t="s">
        <v>85</v>
      </c>
      <c r="T1" s="44" t="s">
        <v>34</v>
      </c>
      <c r="U1" s="44" t="s">
        <v>24</v>
      </c>
      <c r="V1" s="44" t="s">
        <v>96</v>
      </c>
    </row>
    <row r="2" spans="1:22" ht="13" customHeight="1" x14ac:dyDescent="0.15">
      <c r="A2" s="15">
        <v>43042</v>
      </c>
      <c r="B2" s="12" t="s">
        <v>255</v>
      </c>
      <c r="C2" s="12" t="s">
        <v>257</v>
      </c>
      <c r="D2" s="3" t="s">
        <v>69</v>
      </c>
      <c r="E2" s="3">
        <v>2</v>
      </c>
      <c r="F2" s="4" t="str">
        <f t="shared" ref="F2:F19" si="0">IF($I2&lt;=0,"No Value",IF($I2&lt;91,"A",IF(AND($I2&gt;=91,$I2&lt;121),"B",IF(AND($I2&gt;=121,$I2&lt;141),"C",IF(AND($I2&gt;=141,$I2&lt;166),"D","E")))))</f>
        <v>B</v>
      </c>
      <c r="G2" s="4" t="str">
        <f t="shared" ref="G2:G19" si="1">IF($J2&lt;=0,"No Value",IF($J2&lt;49,"I",IF(AND($J2&gt;=49,$J2&lt;79),"II",IF(AND($J2&gt;=79,$J2&lt;118),"III",IF(AND($J2&gt;=118,$J2&lt;171),"IV",IF(AND($J2&gt;=171,$J2&lt;214),"V",IF(AND($J2&gt;=214,$J2&lt;262),"VI","Greater than 262' WS")))))))</f>
        <v>I</v>
      </c>
      <c r="H2" s="62" t="s">
        <v>21</v>
      </c>
      <c r="I2" s="6">
        <f>74*1.3</f>
        <v>96.2</v>
      </c>
      <c r="J2" s="57">
        <f>34+2/12</f>
        <v>34.166666666666664</v>
      </c>
      <c r="K2" s="4" t="s">
        <v>40</v>
      </c>
      <c r="L2" s="57">
        <f>34+9.75/12</f>
        <v>34.8125</v>
      </c>
      <c r="M2" s="57">
        <f>12+1.5/12</f>
        <v>12.125</v>
      </c>
      <c r="N2" s="4">
        <f>11+8/12</f>
        <v>11.666666666666666</v>
      </c>
      <c r="O2" s="4">
        <f>11+8/12</f>
        <v>11.666666666666666</v>
      </c>
      <c r="P2" s="4">
        <f>10+2.5/12</f>
        <v>10.208333333333334</v>
      </c>
      <c r="Q2" s="5">
        <v>5500</v>
      </c>
      <c r="R2" s="5">
        <v>5525</v>
      </c>
      <c r="S2" s="5" t="s">
        <v>29</v>
      </c>
      <c r="T2" s="3" t="s">
        <v>78</v>
      </c>
      <c r="U2" s="3" t="s">
        <v>78</v>
      </c>
      <c r="V2" s="3">
        <v>1991</v>
      </c>
    </row>
    <row r="3" spans="1:22" ht="13" customHeight="1" x14ac:dyDescent="0.15">
      <c r="A3" s="15">
        <v>42962</v>
      </c>
      <c r="B3" s="12" t="s">
        <v>2</v>
      </c>
      <c r="C3" s="12" t="s">
        <v>99</v>
      </c>
      <c r="D3" s="3" t="s">
        <v>69</v>
      </c>
      <c r="E3" s="3">
        <v>1</v>
      </c>
      <c r="F3" s="4" t="str">
        <f t="shared" si="0"/>
        <v>A</v>
      </c>
      <c r="G3" s="4" t="str">
        <f t="shared" si="1"/>
        <v>I</v>
      </c>
      <c r="H3" s="60" t="s">
        <v>20</v>
      </c>
      <c r="I3" s="6">
        <f>1.3*57</f>
        <v>74.100000000000009</v>
      </c>
      <c r="J3" s="57">
        <v>45</v>
      </c>
      <c r="K3" s="3" t="s">
        <v>40</v>
      </c>
      <c r="L3" s="57">
        <v>27</v>
      </c>
      <c r="M3" s="57">
        <f>8+6/12</f>
        <v>8.5</v>
      </c>
      <c r="N3" s="4">
        <f t="shared" ref="N3:N10" si="2">0.92*L3</f>
        <v>24.84</v>
      </c>
      <c r="O3" s="4">
        <f t="shared" ref="O3:O13" si="3">N3</f>
        <v>24.84</v>
      </c>
      <c r="P3" s="25">
        <f>8+7/12+(11/12)</f>
        <v>9.5</v>
      </c>
      <c r="Q3" s="5">
        <v>5000</v>
      </c>
      <c r="R3" s="5">
        <f t="shared" ref="R3:R13" si="4">Q3</f>
        <v>5000</v>
      </c>
      <c r="S3" s="3" t="s">
        <v>29</v>
      </c>
      <c r="T3" s="3" t="s">
        <v>3</v>
      </c>
      <c r="U3" s="5" t="s">
        <v>94</v>
      </c>
      <c r="V3" s="3">
        <v>1992</v>
      </c>
    </row>
    <row r="4" spans="1:22" ht="13" customHeight="1" x14ac:dyDescent="0.15">
      <c r="A4" s="15">
        <v>42962</v>
      </c>
      <c r="B4" s="12" t="s">
        <v>2</v>
      </c>
      <c r="C4" s="12" t="s">
        <v>100</v>
      </c>
      <c r="D4" s="3" t="s">
        <v>69</v>
      </c>
      <c r="E4" s="3">
        <v>1</v>
      </c>
      <c r="F4" s="4" t="str">
        <f t="shared" si="0"/>
        <v>A</v>
      </c>
      <c r="G4" s="4" t="str">
        <f t="shared" si="1"/>
        <v>I</v>
      </c>
      <c r="H4" s="60" t="s">
        <v>20</v>
      </c>
      <c r="I4" s="6">
        <f>1.3*57</f>
        <v>74.100000000000009</v>
      </c>
      <c r="J4" s="57">
        <f>45+1.25/12</f>
        <v>45.104166666666664</v>
      </c>
      <c r="K4" s="3" t="s">
        <v>40</v>
      </c>
      <c r="L4" s="57">
        <v>27</v>
      </c>
      <c r="M4" s="57">
        <v>8.5</v>
      </c>
      <c r="N4" s="4">
        <f t="shared" si="2"/>
        <v>24.84</v>
      </c>
      <c r="O4" s="4">
        <f t="shared" si="3"/>
        <v>24.84</v>
      </c>
      <c r="P4" s="25">
        <f>8+7/12+(11/12)</f>
        <v>9.5</v>
      </c>
      <c r="Q4" s="5">
        <v>7700</v>
      </c>
      <c r="R4" s="5">
        <f t="shared" si="4"/>
        <v>7700</v>
      </c>
      <c r="S4" s="3" t="s">
        <v>29</v>
      </c>
      <c r="T4" s="3" t="s">
        <v>3</v>
      </c>
      <c r="U4" s="5" t="s">
        <v>94</v>
      </c>
      <c r="V4" s="3">
        <v>1993</v>
      </c>
    </row>
    <row r="5" spans="1:22" ht="13" customHeight="1" x14ac:dyDescent="0.15">
      <c r="A5" s="15">
        <v>42962</v>
      </c>
      <c r="B5" s="12" t="s">
        <v>2</v>
      </c>
      <c r="C5" s="12" t="s">
        <v>4</v>
      </c>
      <c r="D5" s="3" t="s">
        <v>43</v>
      </c>
      <c r="E5" s="3">
        <v>1</v>
      </c>
      <c r="F5" s="4" t="str">
        <f t="shared" si="0"/>
        <v>A</v>
      </c>
      <c r="G5" s="4" t="str">
        <f t="shared" si="1"/>
        <v>II</v>
      </c>
      <c r="H5" s="60" t="s">
        <v>20</v>
      </c>
      <c r="I5" s="6">
        <f>1.3*57</f>
        <v>74.100000000000009</v>
      </c>
      <c r="J5" s="57">
        <f>51+1/12</f>
        <v>51.083333333333336</v>
      </c>
      <c r="K5" s="3" t="s">
        <v>40</v>
      </c>
      <c r="L5" s="57">
        <f>30+7/12</f>
        <v>30.583333333333332</v>
      </c>
      <c r="M5" s="57">
        <f>9+6/12</f>
        <v>9.5</v>
      </c>
      <c r="N5" s="4">
        <f t="shared" si="2"/>
        <v>28.136666666666667</v>
      </c>
      <c r="O5" s="4">
        <f t="shared" si="3"/>
        <v>28.136666666666667</v>
      </c>
      <c r="P5" s="25">
        <f>8+7/12+(11/12)</f>
        <v>9.5</v>
      </c>
      <c r="Q5" s="5">
        <v>9170</v>
      </c>
      <c r="R5" s="5">
        <f t="shared" si="4"/>
        <v>9170</v>
      </c>
      <c r="S5" s="3" t="s">
        <v>29</v>
      </c>
      <c r="T5" s="3" t="s">
        <v>5</v>
      </c>
      <c r="U5" s="5" t="s">
        <v>94</v>
      </c>
      <c r="V5" s="3">
        <v>1994</v>
      </c>
    </row>
    <row r="6" spans="1:22" ht="13" customHeight="1" x14ac:dyDescent="0.15">
      <c r="A6" s="15">
        <v>42962</v>
      </c>
      <c r="B6" s="12" t="s">
        <v>2</v>
      </c>
      <c r="C6" s="12" t="s">
        <v>6</v>
      </c>
      <c r="D6" s="3" t="s">
        <v>43</v>
      </c>
      <c r="E6" s="3">
        <v>1</v>
      </c>
      <c r="F6" s="4" t="str">
        <f t="shared" si="0"/>
        <v>A</v>
      </c>
      <c r="G6" s="4" t="str">
        <f t="shared" si="1"/>
        <v>II</v>
      </c>
      <c r="H6" s="60" t="s">
        <v>20</v>
      </c>
      <c r="I6" s="6">
        <f>1.3*59</f>
        <v>76.7</v>
      </c>
      <c r="J6" s="57">
        <v>52</v>
      </c>
      <c r="K6" s="3" t="s">
        <v>40</v>
      </c>
      <c r="L6" s="57">
        <f>33+2/12</f>
        <v>33.166666666666664</v>
      </c>
      <c r="M6" s="57">
        <f>10+3/12</f>
        <v>10.25</v>
      </c>
      <c r="N6" s="4">
        <f t="shared" si="2"/>
        <v>30.513333333333332</v>
      </c>
      <c r="O6" s="4">
        <f t="shared" si="3"/>
        <v>30.513333333333332</v>
      </c>
      <c r="P6" s="25">
        <v>11</v>
      </c>
      <c r="Q6" s="5">
        <v>9400</v>
      </c>
      <c r="R6" s="5">
        <f t="shared" si="4"/>
        <v>9400</v>
      </c>
      <c r="S6" s="3" t="s">
        <v>29</v>
      </c>
      <c r="T6" s="3" t="s">
        <v>7</v>
      </c>
      <c r="U6" s="5" t="s">
        <v>94</v>
      </c>
      <c r="V6" s="3">
        <v>1995</v>
      </c>
    </row>
    <row r="7" spans="1:22" ht="13" customHeight="1" x14ac:dyDescent="0.15">
      <c r="A7" s="15">
        <v>42962</v>
      </c>
      <c r="B7" s="12" t="s">
        <v>2</v>
      </c>
      <c r="C7" s="12" t="s">
        <v>279</v>
      </c>
      <c r="D7" s="3" t="s">
        <v>43</v>
      </c>
      <c r="E7" s="3">
        <v>1</v>
      </c>
      <c r="F7" s="4" t="str">
        <f t="shared" si="0"/>
        <v>A</v>
      </c>
      <c r="G7" s="4" t="str">
        <f t="shared" si="1"/>
        <v>II</v>
      </c>
      <c r="H7" s="60" t="s">
        <v>20</v>
      </c>
      <c r="I7" s="6">
        <f>1.3*59</f>
        <v>76.7</v>
      </c>
      <c r="J7" s="57">
        <v>52</v>
      </c>
      <c r="K7" s="3" t="s">
        <v>40</v>
      </c>
      <c r="L7" s="57">
        <f>33+8/12</f>
        <v>33.666666666666664</v>
      </c>
      <c r="M7" s="57">
        <f>10+6/12</f>
        <v>10.5</v>
      </c>
      <c r="N7" s="4">
        <f t="shared" si="2"/>
        <v>30.973333333333333</v>
      </c>
      <c r="O7" s="4">
        <f t="shared" si="3"/>
        <v>30.973333333333333</v>
      </c>
      <c r="P7" s="25">
        <v>11</v>
      </c>
      <c r="Q7" s="5">
        <v>10480</v>
      </c>
      <c r="R7" s="5">
        <f t="shared" si="4"/>
        <v>10480</v>
      </c>
      <c r="S7" s="3" t="s">
        <v>29</v>
      </c>
      <c r="T7" s="3" t="s">
        <v>7</v>
      </c>
      <c r="U7" s="5" t="s">
        <v>94</v>
      </c>
      <c r="V7" s="3">
        <v>1996</v>
      </c>
    </row>
    <row r="8" spans="1:22" ht="13" customHeight="1" x14ac:dyDescent="0.15">
      <c r="A8" s="15">
        <v>43076</v>
      </c>
      <c r="B8" s="12" t="s">
        <v>2</v>
      </c>
      <c r="C8" s="12" t="s">
        <v>280</v>
      </c>
      <c r="D8" s="3" t="s">
        <v>43</v>
      </c>
      <c r="E8" s="3">
        <v>1</v>
      </c>
      <c r="F8" s="4" t="str">
        <f t="shared" si="0"/>
        <v>A</v>
      </c>
      <c r="G8" s="4" t="str">
        <f t="shared" si="1"/>
        <v>II</v>
      </c>
      <c r="H8" s="60" t="s">
        <v>20</v>
      </c>
      <c r="I8" s="6">
        <f>1.3*59</f>
        <v>76.7</v>
      </c>
      <c r="J8" s="57">
        <f>49+1.25/12</f>
        <v>49.104166666666664</v>
      </c>
      <c r="K8" s="3" t="s">
        <v>40</v>
      </c>
      <c r="L8" s="57">
        <v>27</v>
      </c>
      <c r="M8" s="57">
        <v>8</v>
      </c>
      <c r="N8" s="4">
        <f t="shared" si="2"/>
        <v>24.84</v>
      </c>
      <c r="O8" s="4">
        <f t="shared" si="3"/>
        <v>24.84</v>
      </c>
      <c r="P8" s="25">
        <v>11</v>
      </c>
      <c r="Q8" s="5">
        <v>10480</v>
      </c>
      <c r="R8" s="5">
        <f t="shared" si="4"/>
        <v>10480</v>
      </c>
      <c r="S8" s="3" t="s">
        <v>29</v>
      </c>
      <c r="T8" s="3" t="s">
        <v>7</v>
      </c>
      <c r="U8" s="5" t="s">
        <v>94</v>
      </c>
      <c r="V8" s="3">
        <v>1997</v>
      </c>
    </row>
    <row r="9" spans="1:22" ht="13" customHeight="1" x14ac:dyDescent="0.15">
      <c r="A9" s="15">
        <v>42962</v>
      </c>
      <c r="B9" s="12" t="s">
        <v>2</v>
      </c>
      <c r="C9" s="12" t="s">
        <v>97</v>
      </c>
      <c r="D9" s="3" t="s">
        <v>43</v>
      </c>
      <c r="E9" s="3">
        <v>1</v>
      </c>
      <c r="F9" s="4" t="str">
        <f t="shared" si="0"/>
        <v>A</v>
      </c>
      <c r="G9" s="4" t="str">
        <f t="shared" si="1"/>
        <v>II</v>
      </c>
      <c r="H9" s="60" t="s">
        <v>20</v>
      </c>
      <c r="I9" s="6">
        <f>1.3*56</f>
        <v>72.8</v>
      </c>
      <c r="J9" s="57">
        <v>52</v>
      </c>
      <c r="K9" s="3" t="s">
        <v>40</v>
      </c>
      <c r="L9" s="57">
        <f>33+2/12</f>
        <v>33.166666666666664</v>
      </c>
      <c r="M9" s="57">
        <f>10+3/12</f>
        <v>10.25</v>
      </c>
      <c r="N9" s="4">
        <f t="shared" si="2"/>
        <v>30.513333333333332</v>
      </c>
      <c r="O9" s="4">
        <f t="shared" si="3"/>
        <v>30.513333333333332</v>
      </c>
      <c r="P9" s="25">
        <v>11</v>
      </c>
      <c r="Q9" s="5">
        <v>9600</v>
      </c>
      <c r="R9" s="5">
        <f t="shared" si="4"/>
        <v>9600</v>
      </c>
      <c r="S9" s="3" t="s">
        <v>29</v>
      </c>
      <c r="T9" s="3" t="s">
        <v>7</v>
      </c>
      <c r="U9" s="5" t="s">
        <v>94</v>
      </c>
      <c r="V9" s="3">
        <v>1998</v>
      </c>
    </row>
    <row r="10" spans="1:22" ht="13" customHeight="1" x14ac:dyDescent="0.15">
      <c r="A10" s="15">
        <v>42962</v>
      </c>
      <c r="B10" s="12" t="s">
        <v>2</v>
      </c>
      <c r="C10" s="12" t="s">
        <v>8</v>
      </c>
      <c r="D10" s="3" t="s">
        <v>43</v>
      </c>
      <c r="E10" s="3">
        <v>1</v>
      </c>
      <c r="F10" s="4" t="str">
        <f t="shared" si="0"/>
        <v>B</v>
      </c>
      <c r="G10" s="4" t="str">
        <f t="shared" si="1"/>
        <v>II</v>
      </c>
      <c r="H10" s="60" t="s">
        <v>20</v>
      </c>
      <c r="I10" s="6">
        <f>1.3*71</f>
        <v>92.3</v>
      </c>
      <c r="J10" s="57">
        <v>56</v>
      </c>
      <c r="K10" s="3" t="s">
        <v>40</v>
      </c>
      <c r="L10" s="57">
        <f>33+6/12</f>
        <v>33.5</v>
      </c>
      <c r="M10" s="57">
        <v>11</v>
      </c>
      <c r="N10" s="4">
        <f t="shared" si="2"/>
        <v>30.82</v>
      </c>
      <c r="O10" s="4">
        <f t="shared" si="3"/>
        <v>30.82</v>
      </c>
      <c r="P10" s="25">
        <v>11</v>
      </c>
      <c r="Q10" s="5">
        <v>12500</v>
      </c>
      <c r="R10" s="5">
        <f t="shared" si="4"/>
        <v>12500</v>
      </c>
      <c r="S10" s="3" t="s">
        <v>29</v>
      </c>
      <c r="T10" s="3" t="s">
        <v>9</v>
      </c>
      <c r="U10" s="5" t="s">
        <v>94</v>
      </c>
      <c r="V10" s="3">
        <v>1999</v>
      </c>
    </row>
    <row r="11" spans="1:22" ht="13" customHeight="1" x14ac:dyDescent="0.15">
      <c r="A11" s="15">
        <v>42962</v>
      </c>
      <c r="B11" s="12" t="s">
        <v>2</v>
      </c>
      <c r="C11" s="12" t="s">
        <v>98</v>
      </c>
      <c r="D11" s="3" t="s">
        <v>43</v>
      </c>
      <c r="E11" s="3">
        <v>1</v>
      </c>
      <c r="F11" s="4" t="str">
        <f t="shared" si="0"/>
        <v>B</v>
      </c>
      <c r="G11" s="4" t="str">
        <f t="shared" si="1"/>
        <v>II</v>
      </c>
      <c r="H11" s="60" t="s">
        <v>20</v>
      </c>
      <c r="I11" s="6">
        <f>1.3*79</f>
        <v>102.7</v>
      </c>
      <c r="J11" s="57">
        <f>59+3/12</f>
        <v>59.25</v>
      </c>
      <c r="K11" s="3" t="s">
        <v>40</v>
      </c>
      <c r="L11" s="57">
        <v>36</v>
      </c>
      <c r="M11" s="57">
        <f>11+1.5/12</f>
        <v>11.125</v>
      </c>
      <c r="N11" s="4">
        <f>23+10/12</f>
        <v>23.833333333333332</v>
      </c>
      <c r="O11" s="4">
        <f t="shared" si="3"/>
        <v>23.833333333333332</v>
      </c>
      <c r="P11" s="25">
        <v>11</v>
      </c>
      <c r="Q11" s="5">
        <v>16000</v>
      </c>
      <c r="R11" s="5">
        <f t="shared" si="4"/>
        <v>16000</v>
      </c>
      <c r="S11" s="3" t="s">
        <v>29</v>
      </c>
      <c r="T11" s="3" t="s">
        <v>10</v>
      </c>
      <c r="U11" s="5" t="s">
        <v>94</v>
      </c>
      <c r="V11" s="3">
        <v>2000</v>
      </c>
    </row>
    <row r="12" spans="1:22" ht="13" customHeight="1" x14ac:dyDescent="0.15">
      <c r="A12" s="15">
        <v>42962</v>
      </c>
      <c r="B12" s="12" t="s">
        <v>2</v>
      </c>
      <c r="C12" s="12" t="s">
        <v>281</v>
      </c>
      <c r="D12" s="3" t="s">
        <v>43</v>
      </c>
      <c r="E12" s="3">
        <v>1</v>
      </c>
      <c r="F12" s="4" t="str">
        <f t="shared" si="0"/>
        <v>B</v>
      </c>
      <c r="G12" s="4" t="str">
        <f t="shared" si="1"/>
        <v>II</v>
      </c>
      <c r="H12" s="60" t="s">
        <v>20</v>
      </c>
      <c r="I12" s="6">
        <f>1.3*79</f>
        <v>102.7</v>
      </c>
      <c r="J12" s="57">
        <f>59+3/12</f>
        <v>59.25</v>
      </c>
      <c r="K12" s="3" t="s">
        <v>40</v>
      </c>
      <c r="L12" s="57">
        <f>37+6/12</f>
        <v>37.5</v>
      </c>
      <c r="M12" s="57">
        <v>11.2</v>
      </c>
      <c r="N12" s="4">
        <f>23+10/12</f>
        <v>23.833333333333332</v>
      </c>
      <c r="O12" s="4">
        <f t="shared" si="3"/>
        <v>23.833333333333332</v>
      </c>
      <c r="P12" s="25">
        <v>11</v>
      </c>
      <c r="Q12" s="5">
        <v>16000</v>
      </c>
      <c r="R12" s="5">
        <f t="shared" si="4"/>
        <v>16000</v>
      </c>
      <c r="S12" s="3" t="s">
        <v>29</v>
      </c>
      <c r="T12" s="3" t="s">
        <v>10</v>
      </c>
      <c r="U12" s="5" t="s">
        <v>94</v>
      </c>
      <c r="V12" s="3">
        <v>2001</v>
      </c>
    </row>
    <row r="13" spans="1:22" ht="13" customHeight="1" x14ac:dyDescent="0.15">
      <c r="A13" s="15">
        <v>43076</v>
      </c>
      <c r="B13" s="12" t="s">
        <v>2</v>
      </c>
      <c r="C13" s="12" t="s">
        <v>282</v>
      </c>
      <c r="D13" s="3" t="s">
        <v>43</v>
      </c>
      <c r="E13" s="3">
        <v>1</v>
      </c>
      <c r="F13" s="4" t="str">
        <f t="shared" si="0"/>
        <v>B</v>
      </c>
      <c r="G13" s="4" t="str">
        <f t="shared" si="1"/>
        <v>II</v>
      </c>
      <c r="H13" s="60" t="s">
        <v>20</v>
      </c>
      <c r="I13" s="6">
        <f>70*1.3</f>
        <v>91</v>
      </c>
      <c r="J13" s="57">
        <f>59+3/12</f>
        <v>59.25</v>
      </c>
      <c r="K13" s="3" t="s">
        <v>40</v>
      </c>
      <c r="L13" s="57">
        <f>37+6/12</f>
        <v>37.5</v>
      </c>
      <c r="M13" s="57">
        <v>11.2</v>
      </c>
      <c r="N13" s="4">
        <f>23+10/12</f>
        <v>23.833333333333332</v>
      </c>
      <c r="O13" s="4">
        <f t="shared" si="3"/>
        <v>23.833333333333332</v>
      </c>
      <c r="P13" s="25">
        <v>11</v>
      </c>
      <c r="Q13" s="5">
        <v>16000</v>
      </c>
      <c r="R13" s="5">
        <f t="shared" si="4"/>
        <v>16000</v>
      </c>
      <c r="S13" s="3" t="s">
        <v>29</v>
      </c>
      <c r="T13" s="3" t="s">
        <v>10</v>
      </c>
      <c r="U13" s="5" t="s">
        <v>94</v>
      </c>
      <c r="V13" s="3">
        <v>2002</v>
      </c>
    </row>
    <row r="14" spans="1:22" ht="13" customHeight="1" x14ac:dyDescent="0.15">
      <c r="A14" s="15">
        <v>42429</v>
      </c>
      <c r="B14" s="12" t="s">
        <v>22</v>
      </c>
      <c r="C14" s="12" t="s">
        <v>103</v>
      </c>
      <c r="D14" s="3" t="s">
        <v>266</v>
      </c>
      <c r="E14" s="3">
        <v>2</v>
      </c>
      <c r="F14" s="4" t="str">
        <f t="shared" si="0"/>
        <v>C</v>
      </c>
      <c r="G14" s="4" t="str">
        <f t="shared" si="1"/>
        <v>IV</v>
      </c>
      <c r="H14" s="62">
        <v>5</v>
      </c>
      <c r="I14" s="6">
        <v>137</v>
      </c>
      <c r="J14" s="57">
        <v>147.08000000000001</v>
      </c>
      <c r="K14" s="4" t="s">
        <v>40</v>
      </c>
      <c r="L14" s="57">
        <f>175+6/12</f>
        <v>175.5</v>
      </c>
      <c r="M14" s="57">
        <v>54.86</v>
      </c>
      <c r="N14" s="4">
        <v>60.8</v>
      </c>
      <c r="O14" s="4">
        <v>75</v>
      </c>
      <c r="P14" s="4">
        <v>36.1</v>
      </c>
      <c r="Q14" s="5">
        <v>347227</v>
      </c>
      <c r="R14" s="5">
        <v>349211</v>
      </c>
      <c r="S14" s="5" t="s">
        <v>25</v>
      </c>
      <c r="T14" s="3" t="s">
        <v>35</v>
      </c>
      <c r="U14" s="5" t="s">
        <v>23</v>
      </c>
      <c r="V14" s="3">
        <v>2003</v>
      </c>
    </row>
    <row r="15" spans="1:22" ht="13" customHeight="1" x14ac:dyDescent="0.15">
      <c r="A15" s="15">
        <v>42429</v>
      </c>
      <c r="B15" s="12" t="s">
        <v>22</v>
      </c>
      <c r="C15" s="12" t="s">
        <v>102</v>
      </c>
      <c r="D15" s="3" t="s">
        <v>266</v>
      </c>
      <c r="E15" s="3">
        <v>2</v>
      </c>
      <c r="F15" s="4" t="str">
        <f t="shared" si="0"/>
        <v>C</v>
      </c>
      <c r="G15" s="4" t="str">
        <f t="shared" si="1"/>
        <v>IV</v>
      </c>
      <c r="H15" s="62">
        <v>5</v>
      </c>
      <c r="I15" s="6">
        <v>137</v>
      </c>
      <c r="J15" s="57">
        <v>147.08000000000001</v>
      </c>
      <c r="K15" s="4" t="s">
        <v>40</v>
      </c>
      <c r="L15" s="57">
        <f>175+6/12</f>
        <v>175.5</v>
      </c>
      <c r="M15" s="57">
        <v>54.86</v>
      </c>
      <c r="N15" s="4">
        <v>60.8</v>
      </c>
      <c r="O15" s="4">
        <v>75</v>
      </c>
      <c r="P15" s="4">
        <v>36.1</v>
      </c>
      <c r="Q15" s="5">
        <v>313056</v>
      </c>
      <c r="R15" s="5">
        <v>315040</v>
      </c>
      <c r="S15" s="5" t="s">
        <v>25</v>
      </c>
      <c r="T15" s="3" t="s">
        <v>35</v>
      </c>
      <c r="U15" s="5" t="s">
        <v>23</v>
      </c>
      <c r="V15" s="3">
        <v>2004</v>
      </c>
    </row>
    <row r="16" spans="1:22" ht="13" customHeight="1" x14ac:dyDescent="0.15">
      <c r="A16" s="15">
        <v>42429</v>
      </c>
      <c r="B16" s="12" t="s">
        <v>22</v>
      </c>
      <c r="C16" s="12" t="s">
        <v>104</v>
      </c>
      <c r="D16" s="3" t="s">
        <v>266</v>
      </c>
      <c r="E16" s="3">
        <v>2</v>
      </c>
      <c r="F16" s="4" t="str">
        <f t="shared" si="0"/>
        <v>C</v>
      </c>
      <c r="G16" s="4" t="str">
        <f t="shared" si="1"/>
        <v>IV</v>
      </c>
      <c r="H16" s="62">
        <v>5</v>
      </c>
      <c r="I16" s="6">
        <v>137</v>
      </c>
      <c r="J16" s="57">
        <v>147.08000000000001</v>
      </c>
      <c r="K16" s="4" t="s">
        <v>40</v>
      </c>
      <c r="L16" s="57">
        <f>175+6/12</f>
        <v>175.5</v>
      </c>
      <c r="M16" s="57">
        <v>54.86</v>
      </c>
      <c r="N16" s="4">
        <v>60.8</v>
      </c>
      <c r="O16" s="4">
        <v>75</v>
      </c>
      <c r="P16" s="4">
        <v>36.1</v>
      </c>
      <c r="Q16" s="5">
        <v>363760</v>
      </c>
      <c r="R16" s="5">
        <v>365740</v>
      </c>
      <c r="S16" s="5" t="s">
        <v>25</v>
      </c>
      <c r="T16" s="3" t="s">
        <v>35</v>
      </c>
      <c r="U16" s="5" t="s">
        <v>23</v>
      </c>
      <c r="V16" s="3">
        <v>2005</v>
      </c>
    </row>
    <row r="17" spans="1:22" ht="13" customHeight="1" x14ac:dyDescent="0.15">
      <c r="A17" s="15">
        <v>42429</v>
      </c>
      <c r="B17" s="12" t="s">
        <v>22</v>
      </c>
      <c r="C17" s="12" t="s">
        <v>105</v>
      </c>
      <c r="D17" s="3" t="s">
        <v>266</v>
      </c>
      <c r="E17" s="3">
        <v>2</v>
      </c>
      <c r="F17" s="4" t="str">
        <f t="shared" si="0"/>
        <v>C</v>
      </c>
      <c r="G17" s="4" t="str">
        <f t="shared" si="1"/>
        <v>IV</v>
      </c>
      <c r="H17" s="62">
        <v>5</v>
      </c>
      <c r="I17" s="6">
        <v>137</v>
      </c>
      <c r="J17" s="57">
        <v>147.08000000000001</v>
      </c>
      <c r="K17" s="4" t="s">
        <v>40</v>
      </c>
      <c r="L17" s="57">
        <f>175+6/12</f>
        <v>175.5</v>
      </c>
      <c r="M17" s="57">
        <v>54.86</v>
      </c>
      <c r="N17" s="4">
        <v>60.8</v>
      </c>
      <c r="O17" s="4">
        <v>75</v>
      </c>
      <c r="P17" s="4">
        <v>36.1</v>
      </c>
      <c r="Q17" s="5">
        <v>363760</v>
      </c>
      <c r="R17" s="5">
        <v>365740</v>
      </c>
      <c r="S17" s="5" t="s">
        <v>25</v>
      </c>
      <c r="T17" s="3" t="s">
        <v>35</v>
      </c>
      <c r="U17" s="5" t="s">
        <v>23</v>
      </c>
      <c r="V17" s="3">
        <v>2006</v>
      </c>
    </row>
    <row r="18" spans="1:22" ht="13" customHeight="1" x14ac:dyDescent="0.15">
      <c r="A18" s="15">
        <v>42429</v>
      </c>
      <c r="B18" s="12" t="s">
        <v>22</v>
      </c>
      <c r="C18" s="12" t="s">
        <v>107</v>
      </c>
      <c r="D18" s="3" t="s">
        <v>266</v>
      </c>
      <c r="E18" s="3">
        <v>2</v>
      </c>
      <c r="F18" s="4" t="str">
        <f t="shared" si="0"/>
        <v>C</v>
      </c>
      <c r="G18" s="4" t="str">
        <f t="shared" si="1"/>
        <v>IV</v>
      </c>
      <c r="H18" s="62">
        <v>5</v>
      </c>
      <c r="I18" s="6">
        <v>137</v>
      </c>
      <c r="J18" s="57">
        <f>147+1.66/12</f>
        <v>147.13833333333332</v>
      </c>
      <c r="K18" s="4" t="s">
        <v>86</v>
      </c>
      <c r="L18" s="57">
        <f>177+5.2/12</f>
        <v>177.43333333333334</v>
      </c>
      <c r="M18" s="57">
        <v>54.67</v>
      </c>
      <c r="N18" s="4">
        <f>61+0.4/12</f>
        <v>61.033333333333331</v>
      </c>
      <c r="O18" s="4">
        <v>75</v>
      </c>
      <c r="P18" s="4">
        <v>36</v>
      </c>
      <c r="Q18" s="5">
        <v>363760</v>
      </c>
      <c r="R18" s="5">
        <v>365740</v>
      </c>
      <c r="S18" s="5" t="s">
        <v>25</v>
      </c>
      <c r="T18" s="3" t="s">
        <v>11</v>
      </c>
      <c r="U18" s="5" t="s">
        <v>23</v>
      </c>
      <c r="V18" s="3">
        <v>2007</v>
      </c>
    </row>
    <row r="19" spans="1:22" ht="13" customHeight="1" x14ac:dyDescent="0.15">
      <c r="A19" s="15">
        <v>42429</v>
      </c>
      <c r="B19" s="12" t="s">
        <v>22</v>
      </c>
      <c r="C19" s="12" t="s">
        <v>106</v>
      </c>
      <c r="D19" s="3" t="s">
        <v>266</v>
      </c>
      <c r="E19" s="3">
        <v>2</v>
      </c>
      <c r="F19" s="4" t="str">
        <f t="shared" si="0"/>
        <v>C</v>
      </c>
      <c r="G19" s="4" t="str">
        <f t="shared" si="1"/>
        <v>IV</v>
      </c>
      <c r="H19" s="62">
        <v>5</v>
      </c>
      <c r="I19" s="6">
        <v>137</v>
      </c>
      <c r="J19" s="57">
        <f>147+1.66/12</f>
        <v>147.13833333333332</v>
      </c>
      <c r="K19" s="4" t="s">
        <v>86</v>
      </c>
      <c r="L19" s="57">
        <f>177+5.2/12</f>
        <v>177.43333333333334</v>
      </c>
      <c r="M19" s="57">
        <v>54.67</v>
      </c>
      <c r="N19" s="4">
        <f>61+0.4/12</f>
        <v>61.033333333333331</v>
      </c>
      <c r="O19" s="4">
        <v>75</v>
      </c>
      <c r="P19" s="4">
        <v>36</v>
      </c>
      <c r="Q19" s="5">
        <v>378530</v>
      </c>
      <c r="R19" s="5">
        <v>380518</v>
      </c>
      <c r="S19" s="5" t="s">
        <v>25</v>
      </c>
      <c r="T19" s="3" t="s">
        <v>35</v>
      </c>
      <c r="U19" s="5" t="s">
        <v>23</v>
      </c>
      <c r="V19" s="3">
        <v>2008</v>
      </c>
    </row>
    <row r="20" spans="1:22" x14ac:dyDescent="0.15">
      <c r="A20" s="15">
        <v>42530</v>
      </c>
      <c r="B20" s="12" t="s">
        <v>57</v>
      </c>
      <c r="C20" s="12" t="s">
        <v>48</v>
      </c>
      <c r="D20" s="3" t="s">
        <v>43</v>
      </c>
      <c r="E20" s="3">
        <v>2</v>
      </c>
      <c r="F20" s="4" t="str">
        <f t="shared" ref="F20:F40" si="5">IF($I20&lt;=0,"No Value",IF($I20&lt;91,"A",IF(AND($I20&gt;=91,$I20&lt;121),"B",IF(AND($I20&gt;=121,$I20&lt;141),"C",IF(AND($I20&gt;=141,$I20&lt;166),"D","E")))))</f>
        <v>B</v>
      </c>
      <c r="G20" s="4" t="str">
        <f t="shared" ref="G20:G40" si="6">IF($J20&lt;=0,"No Value",IF($J20&lt;49,"I",IF(AND($J20&gt;=49,$J20&lt;79),"II",IF(AND($J20&gt;=79,$J20&lt;118),"III",IF(AND($J20&gt;=118,$J20&lt;171),"IV",IF(AND($J20&gt;=171,$J20&lt;214),"V",IF(AND($J20&gt;=214,$J20&lt;262),"VI","Greater than 262' WS")))))))</f>
        <v>II</v>
      </c>
      <c r="H20" s="63">
        <v>2</v>
      </c>
      <c r="I20" s="19">
        <v>113</v>
      </c>
      <c r="J20" s="57">
        <f>78+6/12</f>
        <v>78.5</v>
      </c>
      <c r="K20" s="4" t="s">
        <v>40</v>
      </c>
      <c r="L20" s="57">
        <f>63+9/12</f>
        <v>63.75</v>
      </c>
      <c r="M20" s="57">
        <f>22+9/12</f>
        <v>22.75</v>
      </c>
      <c r="N20" s="18">
        <f t="shared" ref="N20:N27" si="7">L20*0.45</f>
        <v>28.6875</v>
      </c>
      <c r="O20" s="18">
        <f t="shared" ref="O20:O27" si="8">N20</f>
        <v>28.6875</v>
      </c>
      <c r="P20" s="18">
        <f>0.2*J20</f>
        <v>15.700000000000001</v>
      </c>
      <c r="Q20" s="5">
        <v>36000</v>
      </c>
      <c r="R20" s="5">
        <v>36000</v>
      </c>
      <c r="S20" s="5" t="s">
        <v>16</v>
      </c>
      <c r="T20" s="3" t="s">
        <v>35</v>
      </c>
      <c r="U20" s="5" t="s">
        <v>23</v>
      </c>
      <c r="V20" s="3">
        <v>2009</v>
      </c>
    </row>
    <row r="21" spans="1:22" x14ac:dyDescent="0.15">
      <c r="A21" s="15">
        <v>42530</v>
      </c>
      <c r="B21" s="12" t="s">
        <v>55</v>
      </c>
      <c r="C21" s="12" t="s">
        <v>68</v>
      </c>
      <c r="D21" s="3" t="s">
        <v>266</v>
      </c>
      <c r="E21" s="3">
        <v>2</v>
      </c>
      <c r="F21" s="4" t="str">
        <f t="shared" si="5"/>
        <v>C</v>
      </c>
      <c r="G21" s="4" t="str">
        <f t="shared" si="6"/>
        <v>II</v>
      </c>
      <c r="H21" s="63">
        <v>2</v>
      </c>
      <c r="I21" s="19">
        <v>125</v>
      </c>
      <c r="J21" s="53">
        <f>77+10/12</f>
        <v>77.833333333333329</v>
      </c>
      <c r="K21" s="4" t="s">
        <v>42</v>
      </c>
      <c r="L21" s="53">
        <f>88+4/12</f>
        <v>88.333333333333329</v>
      </c>
      <c r="M21" s="53">
        <f>24+5/12</f>
        <v>24.416666666666668</v>
      </c>
      <c r="N21" s="18">
        <f t="shared" si="7"/>
        <v>39.75</v>
      </c>
      <c r="O21" s="18">
        <f t="shared" si="8"/>
        <v>39.75</v>
      </c>
      <c r="P21" s="18">
        <f>0.2*J21</f>
        <v>15.566666666666666</v>
      </c>
      <c r="Q21" s="5">
        <v>74600</v>
      </c>
      <c r="R21" s="5">
        <v>75000</v>
      </c>
      <c r="S21" s="5" t="s">
        <v>16</v>
      </c>
      <c r="T21" s="6" t="s">
        <v>275</v>
      </c>
      <c r="U21" s="6" t="s">
        <v>264</v>
      </c>
      <c r="V21" s="3">
        <v>2010</v>
      </c>
    </row>
    <row r="22" spans="1:22" x14ac:dyDescent="0.15">
      <c r="A22" s="15">
        <v>42530</v>
      </c>
      <c r="B22" s="12" t="s">
        <v>47</v>
      </c>
      <c r="C22" s="12" t="s">
        <v>49</v>
      </c>
      <c r="D22" s="3" t="s">
        <v>43</v>
      </c>
      <c r="E22" s="3">
        <v>2</v>
      </c>
      <c r="F22" s="4" t="str">
        <f t="shared" si="5"/>
        <v>B</v>
      </c>
      <c r="G22" s="4" t="str">
        <f t="shared" si="6"/>
        <v>II</v>
      </c>
      <c r="H22" s="63">
        <v>2</v>
      </c>
      <c r="I22" s="19">
        <v>113</v>
      </c>
      <c r="J22" s="57">
        <f>78+6/12</f>
        <v>78.5</v>
      </c>
      <c r="K22" s="4" t="s">
        <v>40</v>
      </c>
      <c r="L22" s="57">
        <f>75+4/12</f>
        <v>75.333333333333329</v>
      </c>
      <c r="M22" s="57">
        <v>23</v>
      </c>
      <c r="N22" s="18">
        <f t="shared" si="7"/>
        <v>33.9</v>
      </c>
      <c r="O22" s="18">
        <f t="shared" si="8"/>
        <v>33.9</v>
      </c>
      <c r="P22" s="18">
        <f>0.2*J22</f>
        <v>15.700000000000001</v>
      </c>
      <c r="Q22" s="17">
        <v>36000</v>
      </c>
      <c r="R22" s="17">
        <v>36000</v>
      </c>
      <c r="S22" s="5" t="s">
        <v>16</v>
      </c>
      <c r="T22" s="6" t="s">
        <v>274</v>
      </c>
      <c r="U22" s="6" t="s">
        <v>264</v>
      </c>
      <c r="V22" s="3">
        <v>2011</v>
      </c>
    </row>
    <row r="23" spans="1:22" x14ac:dyDescent="0.15">
      <c r="A23" s="15">
        <v>42530</v>
      </c>
      <c r="B23" s="12" t="s">
        <v>47</v>
      </c>
      <c r="C23" s="12" t="s">
        <v>50</v>
      </c>
      <c r="D23" s="3" t="s">
        <v>266</v>
      </c>
      <c r="E23" s="3">
        <v>2</v>
      </c>
      <c r="F23" s="4" t="str">
        <f t="shared" si="5"/>
        <v>C</v>
      </c>
      <c r="G23" s="4" t="str">
        <f t="shared" si="6"/>
        <v>II</v>
      </c>
      <c r="H23" s="63" t="s">
        <v>20</v>
      </c>
      <c r="I23" s="19">
        <v>125</v>
      </c>
      <c r="J23" s="57">
        <f>68+10/12</f>
        <v>68.833333333333329</v>
      </c>
      <c r="K23" s="4" t="s">
        <v>40</v>
      </c>
      <c r="L23" s="57">
        <f>79+11/12</f>
        <v>79.916666666666671</v>
      </c>
      <c r="M23" s="57">
        <f>24+6/12</f>
        <v>24.5</v>
      </c>
      <c r="N23" s="18">
        <f t="shared" si="7"/>
        <v>35.962500000000006</v>
      </c>
      <c r="O23" s="18">
        <f t="shared" si="8"/>
        <v>35.962500000000006</v>
      </c>
      <c r="P23" s="18">
        <f>0.2*J23</f>
        <v>13.766666666666666</v>
      </c>
      <c r="Q23" s="5">
        <v>64800</v>
      </c>
      <c r="R23" s="5">
        <v>65300</v>
      </c>
      <c r="S23" s="5" t="s">
        <v>16</v>
      </c>
      <c r="T23" s="6" t="s">
        <v>273</v>
      </c>
      <c r="U23" s="6" t="s">
        <v>264</v>
      </c>
      <c r="V23" s="3">
        <v>2012</v>
      </c>
    </row>
    <row r="24" spans="1:22" x14ac:dyDescent="0.15">
      <c r="A24" s="15">
        <v>42530</v>
      </c>
      <c r="B24" s="12" t="s">
        <v>47</v>
      </c>
      <c r="C24" s="12" t="s">
        <v>51</v>
      </c>
      <c r="D24" s="3" t="s">
        <v>266</v>
      </c>
      <c r="E24" s="3">
        <v>2</v>
      </c>
      <c r="F24" s="4" t="str">
        <f t="shared" si="5"/>
        <v>C</v>
      </c>
      <c r="G24" s="4" t="str">
        <f t="shared" si="6"/>
        <v>II</v>
      </c>
      <c r="H24" s="63" t="s">
        <v>20</v>
      </c>
      <c r="I24" s="19">
        <v>125</v>
      </c>
      <c r="J24" s="57">
        <f>77+10/12</f>
        <v>77.833333333333329</v>
      </c>
      <c r="K24" s="4" t="s">
        <v>42</v>
      </c>
      <c r="L24" s="57">
        <f>79+11/12</f>
        <v>79.916666666666671</v>
      </c>
      <c r="M24" s="57">
        <f>24+6/12</f>
        <v>24.5</v>
      </c>
      <c r="N24" s="18">
        <f t="shared" si="7"/>
        <v>35.962500000000006</v>
      </c>
      <c r="O24" s="18">
        <f t="shared" si="8"/>
        <v>35.962500000000006</v>
      </c>
      <c r="P24" s="18">
        <v>13.77</v>
      </c>
      <c r="Q24" s="5">
        <v>69700</v>
      </c>
      <c r="R24" s="5">
        <v>70200</v>
      </c>
      <c r="S24" s="5" t="s">
        <v>16</v>
      </c>
      <c r="T24" s="6" t="s">
        <v>320</v>
      </c>
      <c r="U24" s="6" t="s">
        <v>264</v>
      </c>
      <c r="V24" s="3">
        <v>2013</v>
      </c>
    </row>
    <row r="25" spans="1:22" x14ac:dyDescent="0.15">
      <c r="A25" s="15">
        <v>43090</v>
      </c>
      <c r="B25" s="12" t="s">
        <v>47</v>
      </c>
      <c r="C25" s="12" t="s">
        <v>67</v>
      </c>
      <c r="D25" s="3" t="s">
        <v>266</v>
      </c>
      <c r="E25" s="3">
        <v>2</v>
      </c>
      <c r="F25" s="4" t="str">
        <f t="shared" si="5"/>
        <v>C</v>
      </c>
      <c r="G25" s="4" t="str">
        <f t="shared" si="6"/>
        <v>II</v>
      </c>
      <c r="H25" s="63">
        <v>2</v>
      </c>
      <c r="I25" s="19">
        <v>125</v>
      </c>
      <c r="J25" s="57">
        <f>77+10/12</f>
        <v>77.833333333333329</v>
      </c>
      <c r="K25" s="4" t="s">
        <v>42</v>
      </c>
      <c r="L25" s="57">
        <f>83+1/12</f>
        <v>83.083333333333329</v>
      </c>
      <c r="M25" s="57">
        <f>24+5/12</f>
        <v>24.416666666666668</v>
      </c>
      <c r="N25" s="18">
        <f t="shared" si="7"/>
        <v>37.387499999999996</v>
      </c>
      <c r="O25" s="18">
        <f t="shared" si="8"/>
        <v>37.387499999999996</v>
      </c>
      <c r="P25" s="18">
        <f>0.2*J25</f>
        <v>15.566666666666666</v>
      </c>
      <c r="Q25" s="5">
        <v>69700</v>
      </c>
      <c r="R25" s="5">
        <v>70200</v>
      </c>
      <c r="S25" s="5" t="s">
        <v>16</v>
      </c>
      <c r="T25" s="6" t="s">
        <v>321</v>
      </c>
      <c r="U25" s="6" t="s">
        <v>264</v>
      </c>
      <c r="V25" s="3">
        <v>2014</v>
      </c>
    </row>
    <row r="26" spans="1:22" x14ac:dyDescent="0.15">
      <c r="A26" s="15">
        <v>43090</v>
      </c>
      <c r="B26" s="12" t="s">
        <v>47</v>
      </c>
      <c r="C26" s="12" t="s">
        <v>54</v>
      </c>
      <c r="D26" s="3" t="s">
        <v>266</v>
      </c>
      <c r="E26" s="3">
        <v>2</v>
      </c>
      <c r="F26" s="4" t="str">
        <f t="shared" si="5"/>
        <v>C</v>
      </c>
      <c r="G26" s="4" t="str">
        <f t="shared" si="6"/>
        <v>II</v>
      </c>
      <c r="H26" s="63" t="s">
        <v>20</v>
      </c>
      <c r="I26" s="19">
        <v>125</v>
      </c>
      <c r="J26" s="53">
        <f>68+10/12</f>
        <v>68.833333333333329</v>
      </c>
      <c r="K26" s="4" t="s">
        <v>42</v>
      </c>
      <c r="L26" s="57">
        <f>79+11/12</f>
        <v>79.916666666666671</v>
      </c>
      <c r="M26" s="57">
        <f>24+6/12</f>
        <v>24.5</v>
      </c>
      <c r="N26" s="18">
        <f t="shared" si="7"/>
        <v>35.962500000000006</v>
      </c>
      <c r="O26" s="18">
        <f t="shared" si="8"/>
        <v>35.962500000000006</v>
      </c>
      <c r="P26" s="18">
        <f>0.2*J26</f>
        <v>13.766666666666666</v>
      </c>
      <c r="Q26" s="17">
        <v>65500</v>
      </c>
      <c r="R26" s="17" t="s">
        <v>78</v>
      </c>
      <c r="S26" s="5" t="s">
        <v>16</v>
      </c>
      <c r="T26" s="6" t="s">
        <v>322</v>
      </c>
      <c r="U26" s="6" t="s">
        <v>264</v>
      </c>
      <c r="V26" s="3">
        <v>2015</v>
      </c>
    </row>
    <row r="27" spans="1:22" x14ac:dyDescent="0.15">
      <c r="A27" s="15">
        <v>43090</v>
      </c>
      <c r="B27" s="12" t="s">
        <v>47</v>
      </c>
      <c r="C27" s="12" t="s">
        <v>88</v>
      </c>
      <c r="D27" s="3" t="s">
        <v>266</v>
      </c>
      <c r="E27" s="3">
        <v>2</v>
      </c>
      <c r="F27" s="4" t="str">
        <f t="shared" si="5"/>
        <v>C</v>
      </c>
      <c r="G27" s="4" t="str">
        <f t="shared" si="6"/>
        <v>II</v>
      </c>
      <c r="H27" s="63" t="s">
        <v>20</v>
      </c>
      <c r="I27" s="19">
        <v>125</v>
      </c>
      <c r="J27" s="57">
        <f>68+10/12</f>
        <v>68.833333333333329</v>
      </c>
      <c r="K27" s="4" t="s">
        <v>93</v>
      </c>
      <c r="L27" s="57">
        <f>79+11/12</f>
        <v>79.916666666666671</v>
      </c>
      <c r="M27" s="57">
        <f>24+6/12</f>
        <v>24.5</v>
      </c>
      <c r="N27" s="18">
        <f t="shared" si="7"/>
        <v>35.962500000000006</v>
      </c>
      <c r="O27" s="18">
        <f t="shared" si="8"/>
        <v>35.962500000000006</v>
      </c>
      <c r="P27" s="18">
        <f>0.2*J27</f>
        <v>13.766666666666666</v>
      </c>
      <c r="Q27" s="5">
        <v>65500</v>
      </c>
      <c r="R27" s="5">
        <v>66000</v>
      </c>
      <c r="S27" s="5" t="s">
        <v>16</v>
      </c>
      <c r="T27" s="6" t="s">
        <v>323</v>
      </c>
      <c r="U27" s="6" t="s">
        <v>264</v>
      </c>
      <c r="V27" s="3">
        <v>2016</v>
      </c>
    </row>
    <row r="28" spans="1:22" x14ac:dyDescent="0.15">
      <c r="A28" s="15">
        <v>43090</v>
      </c>
      <c r="B28" s="12" t="s">
        <v>28</v>
      </c>
      <c r="C28" s="12" t="s">
        <v>319</v>
      </c>
      <c r="D28" s="3" t="s">
        <v>266</v>
      </c>
      <c r="E28" s="3">
        <v>2</v>
      </c>
      <c r="F28" s="4" t="str">
        <f t="shared" si="5"/>
        <v>C</v>
      </c>
      <c r="G28" s="4" t="str">
        <f t="shared" si="6"/>
        <v>II</v>
      </c>
      <c r="H28" s="64" t="s">
        <v>20</v>
      </c>
      <c r="I28" s="19">
        <v>125</v>
      </c>
      <c r="J28" s="57">
        <f>58+1/12</f>
        <v>58.083333333333336</v>
      </c>
      <c r="K28" s="4" t="s">
        <v>42</v>
      </c>
      <c r="L28" s="57">
        <f>62+3/12</f>
        <v>62.25</v>
      </c>
      <c r="M28" s="57">
        <f>21+5/12</f>
        <v>21.416666666666668</v>
      </c>
      <c r="N28" s="4">
        <f>24+3/12</f>
        <v>24.25</v>
      </c>
      <c r="O28" s="4">
        <f>24+3/12</f>
        <v>24.25</v>
      </c>
      <c r="P28" s="4">
        <f>(10+10/12)+2*(7.2/12)</f>
        <v>12.033333333333333</v>
      </c>
      <c r="Q28" s="5">
        <v>35650</v>
      </c>
      <c r="R28" s="5">
        <v>35800</v>
      </c>
      <c r="S28" s="5" t="s">
        <v>16</v>
      </c>
      <c r="T28" s="6" t="s">
        <v>277</v>
      </c>
      <c r="U28" s="6" t="s">
        <v>264</v>
      </c>
      <c r="V28" s="19">
        <v>1991</v>
      </c>
    </row>
    <row r="29" spans="1:22" x14ac:dyDescent="0.15">
      <c r="A29" s="15">
        <v>43090</v>
      </c>
      <c r="B29" s="12" t="s">
        <v>28</v>
      </c>
      <c r="C29" s="12" t="s">
        <v>33</v>
      </c>
      <c r="D29" s="3" t="s">
        <v>266</v>
      </c>
      <c r="E29" s="3">
        <v>2</v>
      </c>
      <c r="F29" s="4" t="str">
        <f t="shared" si="5"/>
        <v>C</v>
      </c>
      <c r="G29" s="4" t="str">
        <f t="shared" si="6"/>
        <v>II</v>
      </c>
      <c r="H29" s="63" t="s">
        <v>20</v>
      </c>
      <c r="I29" s="19">
        <v>125</v>
      </c>
      <c r="J29" s="57">
        <v>63</v>
      </c>
      <c r="K29" s="4" t="s">
        <v>42</v>
      </c>
      <c r="L29" s="57">
        <f>66+10/12</f>
        <v>66.833333333333329</v>
      </c>
      <c r="M29" s="57">
        <f>21+4/12</f>
        <v>21.333333333333332</v>
      </c>
      <c r="N29" s="18">
        <f>L29*0.45</f>
        <v>30.074999999999999</v>
      </c>
      <c r="O29" s="18">
        <f>N29</f>
        <v>30.074999999999999</v>
      </c>
      <c r="P29" s="18">
        <f>0.2*J29</f>
        <v>12.600000000000001</v>
      </c>
      <c r="Q29" s="5">
        <v>39600</v>
      </c>
      <c r="R29" s="5">
        <v>39750</v>
      </c>
      <c r="S29" s="5" t="s">
        <v>16</v>
      </c>
      <c r="T29" s="6" t="s">
        <v>33</v>
      </c>
      <c r="U29" s="6" t="s">
        <v>264</v>
      </c>
      <c r="V29" s="19">
        <v>1992</v>
      </c>
    </row>
    <row r="30" spans="1:22" x14ac:dyDescent="0.15">
      <c r="A30" s="15">
        <v>43090</v>
      </c>
      <c r="B30" s="12" t="s">
        <v>28</v>
      </c>
      <c r="C30" s="12" t="s">
        <v>56</v>
      </c>
      <c r="D30" s="3" t="s">
        <v>266</v>
      </c>
      <c r="E30" s="3">
        <v>2</v>
      </c>
      <c r="F30" s="4" t="str">
        <f t="shared" si="5"/>
        <v>D</v>
      </c>
      <c r="G30" s="4" t="str">
        <f t="shared" si="6"/>
        <v>II</v>
      </c>
      <c r="H30" s="64">
        <v>2</v>
      </c>
      <c r="I30" s="19">
        <v>145</v>
      </c>
      <c r="J30" s="57">
        <f>77+10/12</f>
        <v>77.833333333333329</v>
      </c>
      <c r="K30" s="4" t="s">
        <v>42</v>
      </c>
      <c r="L30" s="57">
        <f>89+4/12</f>
        <v>89.333333333333329</v>
      </c>
      <c r="M30" s="57">
        <f>25+2/12</f>
        <v>25.166666666666668</v>
      </c>
      <c r="N30" s="4">
        <f>38+1.25/12</f>
        <v>38.104166666666664</v>
      </c>
      <c r="O30" s="4">
        <f>38+1.25/12</f>
        <v>38.104166666666664</v>
      </c>
      <c r="P30" s="4">
        <f>(13+8/12)+2*(9.25/12)</f>
        <v>15.208333333333332</v>
      </c>
      <c r="Q30" s="5">
        <v>74600</v>
      </c>
      <c r="R30" s="5">
        <v>75000</v>
      </c>
      <c r="S30" s="5" t="s">
        <v>16</v>
      </c>
      <c r="T30" s="6" t="s">
        <v>324</v>
      </c>
      <c r="U30" s="6" t="s">
        <v>264</v>
      </c>
      <c r="V30" s="19">
        <v>1993</v>
      </c>
    </row>
    <row r="31" spans="1:22" x14ac:dyDescent="0.15">
      <c r="A31" s="15">
        <v>43090</v>
      </c>
      <c r="B31" s="12" t="s">
        <v>28</v>
      </c>
      <c r="C31" s="12" t="s">
        <v>27</v>
      </c>
      <c r="D31" s="3" t="s">
        <v>266</v>
      </c>
      <c r="E31" s="3">
        <v>1</v>
      </c>
      <c r="F31" s="4" t="str">
        <f t="shared" si="5"/>
        <v>D</v>
      </c>
      <c r="G31" s="4" t="str">
        <f t="shared" si="6"/>
        <v>II</v>
      </c>
      <c r="H31" s="64">
        <v>2</v>
      </c>
      <c r="I31" s="19">
        <v>145</v>
      </c>
      <c r="J31" s="57">
        <f>77+10/12</f>
        <v>77.833333333333329</v>
      </c>
      <c r="K31" s="4" t="s">
        <v>42</v>
      </c>
      <c r="L31" s="57">
        <f>89+4/12</f>
        <v>89.333333333333329</v>
      </c>
      <c r="M31" s="57">
        <f>25+2/12</f>
        <v>25.166666666666668</v>
      </c>
      <c r="N31" s="4">
        <f>38+1.25/12</f>
        <v>38.104166666666664</v>
      </c>
      <c r="O31" s="4">
        <f>38+1.25/12</f>
        <v>38.104166666666664</v>
      </c>
      <c r="P31" s="4">
        <f>(13+8/12)+2*(9.25/12)</f>
        <v>15.208333333333332</v>
      </c>
      <c r="Q31" s="5">
        <v>74600</v>
      </c>
      <c r="R31" s="5">
        <v>75000</v>
      </c>
      <c r="S31" s="5" t="s">
        <v>16</v>
      </c>
      <c r="T31" s="6" t="s">
        <v>325</v>
      </c>
      <c r="U31" s="6" t="s">
        <v>264</v>
      </c>
      <c r="V31" s="19">
        <v>1994</v>
      </c>
    </row>
    <row r="32" spans="1:22" x14ac:dyDescent="0.15">
      <c r="A32" s="15">
        <v>43090</v>
      </c>
      <c r="B32" s="12" t="s">
        <v>28</v>
      </c>
      <c r="C32" s="12" t="s">
        <v>31</v>
      </c>
      <c r="D32" s="3" t="s">
        <v>266</v>
      </c>
      <c r="E32" s="3">
        <v>1</v>
      </c>
      <c r="F32" s="4" t="str">
        <f t="shared" si="5"/>
        <v>D</v>
      </c>
      <c r="G32" s="4" t="str">
        <f t="shared" si="6"/>
        <v>III</v>
      </c>
      <c r="H32" s="64">
        <v>2</v>
      </c>
      <c r="I32" s="19">
        <v>145</v>
      </c>
      <c r="J32" s="57">
        <f>87+1/12</f>
        <v>87.083333333333329</v>
      </c>
      <c r="K32" s="4" t="s">
        <v>42</v>
      </c>
      <c r="L32" s="57">
        <f>91+2/12</f>
        <v>91.166666666666671</v>
      </c>
      <c r="M32" s="57">
        <f>25+6/12</f>
        <v>25.5</v>
      </c>
      <c r="N32" s="4">
        <v>45</v>
      </c>
      <c r="O32" s="4">
        <v>45</v>
      </c>
      <c r="P32" s="4">
        <f>(14+4/12)+2*(9.25/12)</f>
        <v>15.875</v>
      </c>
      <c r="Q32" s="5">
        <v>85100</v>
      </c>
      <c r="R32" s="17">
        <f>Q32+400</f>
        <v>85500</v>
      </c>
      <c r="S32" s="5" t="s">
        <v>16</v>
      </c>
      <c r="T32" s="6" t="s">
        <v>326</v>
      </c>
      <c r="U32" s="6" t="s">
        <v>264</v>
      </c>
      <c r="V32" s="19">
        <v>1995</v>
      </c>
    </row>
    <row r="33" spans="1:22" x14ac:dyDescent="0.15">
      <c r="A33" s="15">
        <v>43090</v>
      </c>
      <c r="B33" s="12" t="s">
        <v>28</v>
      </c>
      <c r="C33" s="12" t="s">
        <v>90</v>
      </c>
      <c r="D33" s="3" t="s">
        <v>266</v>
      </c>
      <c r="E33" s="3">
        <v>1</v>
      </c>
      <c r="F33" s="4" t="str">
        <f t="shared" si="5"/>
        <v>D</v>
      </c>
      <c r="G33" s="4" t="str">
        <f t="shared" si="6"/>
        <v>III</v>
      </c>
      <c r="H33" s="64">
        <v>2</v>
      </c>
      <c r="I33" s="19">
        <v>145</v>
      </c>
      <c r="J33" s="57">
        <f>93+6/12</f>
        <v>93.5</v>
      </c>
      <c r="K33" s="4" t="s">
        <v>42</v>
      </c>
      <c r="L33" s="57">
        <f>96+5/12</f>
        <v>96.416666666666671</v>
      </c>
      <c r="M33" s="57">
        <f>25+10/12</f>
        <v>25.833333333333332</v>
      </c>
      <c r="N33" s="4">
        <v>45</v>
      </c>
      <c r="O33" s="4">
        <v>45</v>
      </c>
      <c r="P33" s="4">
        <f>(14+4/12)+2*(9.25/12)</f>
        <v>15.875</v>
      </c>
      <c r="Q33" s="5">
        <v>91000</v>
      </c>
      <c r="R33" s="17">
        <f>Q33+400</f>
        <v>91400</v>
      </c>
      <c r="S33" s="5" t="s">
        <v>16</v>
      </c>
      <c r="T33" s="6" t="s">
        <v>274</v>
      </c>
      <c r="U33" s="6" t="s">
        <v>264</v>
      </c>
      <c r="V33" s="19">
        <v>1996</v>
      </c>
    </row>
    <row r="34" spans="1:22" x14ac:dyDescent="0.15">
      <c r="A34" s="15">
        <v>43090</v>
      </c>
      <c r="B34" s="12" t="s">
        <v>28</v>
      </c>
      <c r="C34" s="12" t="s">
        <v>45</v>
      </c>
      <c r="D34" s="3" t="s">
        <v>266</v>
      </c>
      <c r="E34" s="3">
        <v>1</v>
      </c>
      <c r="F34" s="4" t="str">
        <f t="shared" si="5"/>
        <v>D</v>
      </c>
      <c r="G34" s="4" t="str">
        <f t="shared" si="6"/>
        <v>III</v>
      </c>
      <c r="H34" s="63">
        <v>2</v>
      </c>
      <c r="I34" s="19">
        <v>145</v>
      </c>
      <c r="J34" s="57">
        <v>95</v>
      </c>
      <c r="K34" s="4" t="s">
        <v>42</v>
      </c>
      <c r="L34" s="57">
        <f>96+1/12</f>
        <v>96.083333333333329</v>
      </c>
      <c r="M34" s="57">
        <f>25+3/12</f>
        <v>25.25</v>
      </c>
      <c r="N34" s="18">
        <v>45</v>
      </c>
      <c r="O34" s="18">
        <f t="shared" ref="O34:O40" si="9">N34</f>
        <v>45</v>
      </c>
      <c r="P34" s="18">
        <v>16</v>
      </c>
      <c r="Q34" s="5">
        <v>91600</v>
      </c>
      <c r="R34" s="17">
        <f>Q34+400</f>
        <v>92000</v>
      </c>
      <c r="S34" s="5" t="s">
        <v>16</v>
      </c>
      <c r="T34" s="6" t="s">
        <v>273</v>
      </c>
      <c r="U34" s="6" t="s">
        <v>264</v>
      </c>
      <c r="V34" s="19">
        <v>1997</v>
      </c>
    </row>
    <row r="35" spans="1:22" x14ac:dyDescent="0.15">
      <c r="A35" s="15">
        <v>42558</v>
      </c>
      <c r="B35" s="12" t="s">
        <v>28</v>
      </c>
      <c r="C35" s="12" t="s">
        <v>30</v>
      </c>
      <c r="D35" s="3" t="s">
        <v>266</v>
      </c>
      <c r="E35" s="3">
        <v>1</v>
      </c>
      <c r="F35" s="4" t="str">
        <f t="shared" si="5"/>
        <v>D</v>
      </c>
      <c r="G35" s="4" t="str">
        <f t="shared" si="6"/>
        <v>III</v>
      </c>
      <c r="H35" s="63">
        <v>2</v>
      </c>
      <c r="I35" s="19">
        <v>145</v>
      </c>
      <c r="J35" s="57">
        <f>99+7/12</f>
        <v>99.583333333333329</v>
      </c>
      <c r="K35" s="4" t="s">
        <v>42</v>
      </c>
      <c r="L35" s="57">
        <f>99+9/12</f>
        <v>99.75</v>
      </c>
      <c r="M35" s="57">
        <f>25+8/12</f>
        <v>25.666666666666668</v>
      </c>
      <c r="N35" s="18">
        <v>45</v>
      </c>
      <c r="O35" s="18">
        <f t="shared" si="9"/>
        <v>45</v>
      </c>
      <c r="P35" s="18">
        <v>16</v>
      </c>
      <c r="Q35" s="5">
        <v>99600</v>
      </c>
      <c r="R35" s="17">
        <f>Q35+400</f>
        <v>100000</v>
      </c>
      <c r="S35" s="5" t="s">
        <v>16</v>
      </c>
      <c r="T35" s="6" t="s">
        <v>320</v>
      </c>
      <c r="U35" s="6" t="s">
        <v>264</v>
      </c>
      <c r="V35" s="19">
        <v>1998</v>
      </c>
    </row>
    <row r="36" spans="1:22" x14ac:dyDescent="0.15">
      <c r="A36" s="15">
        <v>42558</v>
      </c>
      <c r="B36" s="12" t="s">
        <v>28</v>
      </c>
      <c r="C36" s="12" t="s">
        <v>46</v>
      </c>
      <c r="D36" s="3" t="s">
        <v>266</v>
      </c>
      <c r="E36" s="3">
        <v>1</v>
      </c>
      <c r="F36" s="4" t="str">
        <f t="shared" si="5"/>
        <v>D</v>
      </c>
      <c r="G36" s="4" t="str">
        <f t="shared" si="6"/>
        <v>III</v>
      </c>
      <c r="H36" s="63">
        <v>2</v>
      </c>
      <c r="I36" s="19">
        <v>145</v>
      </c>
      <c r="J36" s="57">
        <f>99+7/12</f>
        <v>99.583333333333329</v>
      </c>
      <c r="K36" s="4" t="s">
        <v>42</v>
      </c>
      <c r="L36" s="57">
        <f>99+9/12</f>
        <v>99.75</v>
      </c>
      <c r="M36" s="57">
        <f>25+8/12</f>
        <v>25.666666666666668</v>
      </c>
      <c r="N36" s="18">
        <v>45</v>
      </c>
      <c r="O36" s="18">
        <f t="shared" si="9"/>
        <v>45</v>
      </c>
      <c r="P36" s="18">
        <v>16</v>
      </c>
      <c r="Q36" s="5">
        <v>103600</v>
      </c>
      <c r="R36" s="5">
        <v>104000</v>
      </c>
      <c r="S36" s="5" t="s">
        <v>16</v>
      </c>
      <c r="T36" s="6" t="s">
        <v>321</v>
      </c>
      <c r="U36" s="6" t="s">
        <v>264</v>
      </c>
      <c r="V36" s="19">
        <v>1999</v>
      </c>
    </row>
    <row r="37" spans="1:22" x14ac:dyDescent="0.15">
      <c r="A37" s="15">
        <v>42579</v>
      </c>
      <c r="B37" s="12" t="s">
        <v>28</v>
      </c>
      <c r="C37" s="12" t="s">
        <v>52</v>
      </c>
      <c r="D37" s="3" t="s">
        <v>266</v>
      </c>
      <c r="E37" s="3">
        <v>1</v>
      </c>
      <c r="F37" s="4" t="str">
        <f t="shared" si="5"/>
        <v>C</v>
      </c>
      <c r="G37" s="4" t="str">
        <f t="shared" si="6"/>
        <v>III</v>
      </c>
      <c r="H37" s="63">
        <v>2</v>
      </c>
      <c r="I37" s="19">
        <v>125</v>
      </c>
      <c r="J37" s="53">
        <f>93+4/12</f>
        <v>93.333333333333329</v>
      </c>
      <c r="K37" s="4" t="s">
        <v>42</v>
      </c>
      <c r="L37" s="53">
        <f>95+5/12</f>
        <v>95.416666666666671</v>
      </c>
      <c r="M37" s="53">
        <f>25+9/12</f>
        <v>25.75</v>
      </c>
      <c r="N37" s="18">
        <v>45</v>
      </c>
      <c r="O37" s="18">
        <f t="shared" si="9"/>
        <v>45</v>
      </c>
      <c r="P37" s="18">
        <v>16</v>
      </c>
      <c r="Q37" s="5">
        <v>90500</v>
      </c>
      <c r="R37" s="5">
        <v>90900</v>
      </c>
      <c r="S37" s="5" t="s">
        <v>16</v>
      </c>
      <c r="T37" s="6" t="s">
        <v>274</v>
      </c>
      <c r="U37" s="6" t="s">
        <v>264</v>
      </c>
      <c r="V37" s="19">
        <v>2000</v>
      </c>
    </row>
    <row r="38" spans="1:22" x14ac:dyDescent="0.15">
      <c r="A38" s="15">
        <v>43089</v>
      </c>
      <c r="B38" s="12" t="s">
        <v>28</v>
      </c>
      <c r="C38" s="12" t="s">
        <v>53</v>
      </c>
      <c r="D38" s="3" t="s">
        <v>266</v>
      </c>
      <c r="E38" s="3">
        <v>1</v>
      </c>
      <c r="F38" s="4" t="str">
        <f t="shared" si="5"/>
        <v>C</v>
      </c>
      <c r="G38" s="4" t="str">
        <f t="shared" si="6"/>
        <v>III</v>
      </c>
      <c r="H38" s="63">
        <v>2</v>
      </c>
      <c r="I38" s="19">
        <v>125</v>
      </c>
      <c r="J38" s="53">
        <f>93+4/12</f>
        <v>93.333333333333329</v>
      </c>
      <c r="K38" s="4" t="s">
        <v>42</v>
      </c>
      <c r="L38" s="53">
        <f>95+5/12</f>
        <v>95.416666666666671</v>
      </c>
      <c r="M38" s="53">
        <f>25+9/12</f>
        <v>25.75</v>
      </c>
      <c r="N38" s="18">
        <v>45</v>
      </c>
      <c r="O38" s="18">
        <f t="shared" si="9"/>
        <v>45</v>
      </c>
      <c r="P38" s="18">
        <v>16</v>
      </c>
      <c r="Q38" s="5">
        <v>91000</v>
      </c>
      <c r="R38" s="5">
        <v>91400</v>
      </c>
      <c r="S38" s="5" t="s">
        <v>16</v>
      </c>
      <c r="T38" s="6" t="s">
        <v>274</v>
      </c>
      <c r="U38" s="6" t="s">
        <v>264</v>
      </c>
      <c r="V38" s="19">
        <v>2001</v>
      </c>
    </row>
    <row r="39" spans="1:22" x14ac:dyDescent="0.15">
      <c r="A39" s="15">
        <v>42552</v>
      </c>
      <c r="B39" s="12" t="s">
        <v>58</v>
      </c>
      <c r="C39" s="12" t="s">
        <v>278</v>
      </c>
      <c r="D39" s="3" t="s">
        <v>266</v>
      </c>
      <c r="E39" s="3">
        <v>1</v>
      </c>
      <c r="F39" s="4" t="str">
        <f t="shared" si="5"/>
        <v>C</v>
      </c>
      <c r="G39" s="4" t="str">
        <f t="shared" si="6"/>
        <v>II</v>
      </c>
      <c r="H39" s="63" t="s">
        <v>20</v>
      </c>
      <c r="I39" s="19">
        <v>125</v>
      </c>
      <c r="J39" s="16">
        <f>54+7/12</f>
        <v>54.583333333333336</v>
      </c>
      <c r="K39" s="4" t="s">
        <v>42</v>
      </c>
      <c r="L39" s="16">
        <f>55+7/12</f>
        <v>55.583333333333336</v>
      </c>
      <c r="M39" s="16">
        <f>18+2/12</f>
        <v>18.166666666666668</v>
      </c>
      <c r="N39" s="18">
        <f>24+1/12</f>
        <v>24.083333333333332</v>
      </c>
      <c r="O39" s="18">
        <f t="shared" si="9"/>
        <v>24.083333333333332</v>
      </c>
      <c r="P39" s="18">
        <f>0.2*J39</f>
        <v>10.916666666666668</v>
      </c>
      <c r="Q39" s="5">
        <v>24650</v>
      </c>
      <c r="R39" s="5">
        <v>24800</v>
      </c>
      <c r="S39" s="5" t="s">
        <v>16</v>
      </c>
      <c r="T39" s="6" t="s">
        <v>273</v>
      </c>
      <c r="U39" s="6" t="s">
        <v>264</v>
      </c>
      <c r="V39" s="19">
        <v>2002</v>
      </c>
    </row>
    <row r="40" spans="1:22" x14ac:dyDescent="0.15">
      <c r="A40" s="15">
        <v>42579</v>
      </c>
      <c r="B40" s="12" t="s">
        <v>58</v>
      </c>
      <c r="C40" s="12" t="s">
        <v>32</v>
      </c>
      <c r="D40" s="3" t="s">
        <v>266</v>
      </c>
      <c r="E40" s="3">
        <v>1</v>
      </c>
      <c r="F40" s="4" t="str">
        <f t="shared" si="5"/>
        <v>C</v>
      </c>
      <c r="G40" s="4" t="str">
        <f t="shared" si="6"/>
        <v>II</v>
      </c>
      <c r="H40" s="63" t="s">
        <v>20</v>
      </c>
      <c r="I40" s="19">
        <v>125</v>
      </c>
      <c r="J40" s="57">
        <f>55+7/12</f>
        <v>55.583333333333336</v>
      </c>
      <c r="K40" s="4" t="s">
        <v>42</v>
      </c>
      <c r="L40" s="57">
        <f>56+9/12</f>
        <v>56.75</v>
      </c>
      <c r="M40" s="57">
        <f>19+1/12</f>
        <v>19.083333333333332</v>
      </c>
      <c r="N40" s="18">
        <v>21</v>
      </c>
      <c r="O40" s="18">
        <f t="shared" si="9"/>
        <v>21</v>
      </c>
      <c r="P40" s="18">
        <f>0.2*J40</f>
        <v>11.116666666666667</v>
      </c>
      <c r="Q40" s="5">
        <v>26100</v>
      </c>
      <c r="R40" s="5">
        <v>26250</v>
      </c>
      <c r="S40" s="5" t="s">
        <v>16</v>
      </c>
      <c r="T40" s="6" t="s">
        <v>276</v>
      </c>
      <c r="U40" s="6" t="s">
        <v>264</v>
      </c>
      <c r="V40" s="19">
        <v>2003</v>
      </c>
    </row>
    <row r="41" spans="1:22" x14ac:dyDescent="0.15">
      <c r="A41" s="15">
        <v>42538</v>
      </c>
      <c r="B41" s="12" t="s">
        <v>61</v>
      </c>
      <c r="C41" s="12" t="s">
        <v>66</v>
      </c>
      <c r="D41" s="3" t="s">
        <v>266</v>
      </c>
      <c r="E41" s="3">
        <v>2</v>
      </c>
      <c r="F41" s="4" t="str">
        <f t="shared" ref="F41:F45" si="10">IF($I41&lt;=0,"No Value",IF($I41&lt;91,"A",IF(AND($I41&gt;=91,$I41&lt;121),"B",IF(AND($I41&gt;=121,$I41&lt;141),"C",IF(AND($I41&gt;=141,$I41&lt;166),"D","E")))))</f>
        <v>C</v>
      </c>
      <c r="G41" s="4" t="str">
        <f t="shared" ref="G41:G45" si="11">IF($J41&lt;=0,"No Value",IF($J41&lt;49,"I",IF(AND($J41&gt;=49,$J41&lt;79),"II",IF(AND($J41&gt;=79,$J41&lt;118),"III",IF(AND($J41&gt;=118,$J41&lt;171),"IV",IF(AND($J41&gt;=171,$J41&lt;214),"V",IF(AND($J41&gt;=214,$J41&lt;262),"VI","Greater than 262' WS")))))))</f>
        <v>I</v>
      </c>
      <c r="H41" s="63" t="s">
        <v>20</v>
      </c>
      <c r="I41" s="19">
        <f>99*1.3</f>
        <v>128.70000000000002</v>
      </c>
      <c r="J41" s="53">
        <f>44+9.5/12</f>
        <v>44.791666666666664</v>
      </c>
      <c r="K41" s="4" t="s">
        <v>40</v>
      </c>
      <c r="L41" s="24">
        <f>55+7/12</f>
        <v>55.583333333333336</v>
      </c>
      <c r="M41" s="53">
        <f>15+9.5/12</f>
        <v>15.791666666666666</v>
      </c>
      <c r="N41" s="18">
        <v>21</v>
      </c>
      <c r="O41" s="18">
        <f t="shared" ref="O41:O45" si="12">ROUNDDOWN(0.9*L41/2,0)</f>
        <v>25</v>
      </c>
      <c r="P41" s="18">
        <v>12</v>
      </c>
      <c r="Q41" s="5">
        <v>17500</v>
      </c>
      <c r="R41" s="5">
        <v>17800</v>
      </c>
      <c r="S41" s="5" t="s">
        <v>16</v>
      </c>
      <c r="T41" s="6" t="s">
        <v>327</v>
      </c>
      <c r="U41" s="6" t="s">
        <v>264</v>
      </c>
      <c r="V41" s="19">
        <v>2004</v>
      </c>
    </row>
    <row r="42" spans="1:22" x14ac:dyDescent="0.15">
      <c r="A42" s="15">
        <v>42538</v>
      </c>
      <c r="B42" s="12" t="s">
        <v>61</v>
      </c>
      <c r="C42" s="12" t="s">
        <v>60</v>
      </c>
      <c r="D42" s="3" t="s">
        <v>266</v>
      </c>
      <c r="E42" s="3">
        <v>2</v>
      </c>
      <c r="F42" s="4" t="str">
        <f t="shared" si="10"/>
        <v>C</v>
      </c>
      <c r="G42" s="4" t="str">
        <f t="shared" si="11"/>
        <v>I</v>
      </c>
      <c r="H42" s="64" t="s">
        <v>20</v>
      </c>
      <c r="I42" s="6">
        <f>99*1.3</f>
        <v>128.70000000000002</v>
      </c>
      <c r="J42" s="57">
        <f>44+9.5/12</f>
        <v>44.791666666666664</v>
      </c>
      <c r="K42" s="4" t="s">
        <v>93</v>
      </c>
      <c r="L42" s="57">
        <f>52+3/12</f>
        <v>52.25</v>
      </c>
      <c r="M42" s="57">
        <f>15+9.5/12</f>
        <v>15.791666666666666</v>
      </c>
      <c r="N42" s="18">
        <v>21</v>
      </c>
      <c r="O42" s="18">
        <f t="shared" si="12"/>
        <v>23</v>
      </c>
      <c r="P42" s="18">
        <v>12</v>
      </c>
      <c r="Q42" s="5">
        <v>20700</v>
      </c>
      <c r="R42" s="5">
        <v>21000</v>
      </c>
      <c r="S42" s="5" t="s">
        <v>16</v>
      </c>
      <c r="T42" s="6" t="s">
        <v>328</v>
      </c>
      <c r="U42" s="6" t="s">
        <v>264</v>
      </c>
      <c r="V42" s="19">
        <v>2005</v>
      </c>
    </row>
    <row r="43" spans="1:22" x14ac:dyDescent="0.15">
      <c r="A43" s="15">
        <v>42538</v>
      </c>
      <c r="B43" s="12" t="s">
        <v>61</v>
      </c>
      <c r="C43" s="12" t="s">
        <v>62</v>
      </c>
      <c r="D43" s="3" t="s">
        <v>266</v>
      </c>
      <c r="E43" s="3">
        <v>2</v>
      </c>
      <c r="F43" s="4" t="str">
        <f t="shared" si="10"/>
        <v>C</v>
      </c>
      <c r="G43" s="4" t="str">
        <f t="shared" si="11"/>
        <v>I</v>
      </c>
      <c r="H43" s="64" t="s">
        <v>20</v>
      </c>
      <c r="I43" s="6">
        <f>99*1.3</f>
        <v>128.70000000000002</v>
      </c>
      <c r="J43" s="57">
        <f>44+9.5/12</f>
        <v>44.791666666666664</v>
      </c>
      <c r="K43" s="4" t="s">
        <v>93</v>
      </c>
      <c r="L43" s="57">
        <f>52+3/12</f>
        <v>52.25</v>
      </c>
      <c r="M43" s="57">
        <f>15+9.5/12</f>
        <v>15.791666666666666</v>
      </c>
      <c r="N43" s="18">
        <v>21</v>
      </c>
      <c r="O43" s="18">
        <f t="shared" si="12"/>
        <v>23</v>
      </c>
      <c r="P43" s="18">
        <v>12</v>
      </c>
      <c r="Q43" s="5">
        <v>23500</v>
      </c>
      <c r="R43" s="5">
        <v>23650</v>
      </c>
      <c r="S43" s="5" t="s">
        <v>16</v>
      </c>
      <c r="T43" s="3" t="s">
        <v>268</v>
      </c>
      <c r="U43" s="6" t="s">
        <v>264</v>
      </c>
      <c r="V43" s="19">
        <v>2006</v>
      </c>
    </row>
    <row r="44" spans="1:22" x14ac:dyDescent="0.15">
      <c r="A44" s="15">
        <v>42552</v>
      </c>
      <c r="B44" s="12" t="s">
        <v>61</v>
      </c>
      <c r="C44" s="12" t="s">
        <v>64</v>
      </c>
      <c r="D44" s="3" t="s">
        <v>266</v>
      </c>
      <c r="E44" s="3">
        <v>2</v>
      </c>
      <c r="F44" s="4" t="str">
        <f t="shared" si="10"/>
        <v>C</v>
      </c>
      <c r="G44" s="4" t="str">
        <f t="shared" si="11"/>
        <v>I</v>
      </c>
      <c r="H44" s="64" t="s">
        <v>20</v>
      </c>
      <c r="I44" s="6">
        <f>99*1.3</f>
        <v>128.70000000000002</v>
      </c>
      <c r="J44" s="57">
        <f>44+9.5/12</f>
        <v>44.791666666666664</v>
      </c>
      <c r="K44" s="4" t="s">
        <v>108</v>
      </c>
      <c r="L44" s="57">
        <f>52+3/12</f>
        <v>52.25</v>
      </c>
      <c r="M44" s="57">
        <f>15+9.5/12</f>
        <v>15.791666666666666</v>
      </c>
      <c r="N44" s="18">
        <v>21</v>
      </c>
      <c r="O44" s="18">
        <f t="shared" si="12"/>
        <v>23</v>
      </c>
      <c r="P44" s="18">
        <v>12</v>
      </c>
      <c r="Q44" s="5">
        <v>23500</v>
      </c>
      <c r="R44" s="5">
        <v>23650</v>
      </c>
      <c r="S44" s="5" t="s">
        <v>16</v>
      </c>
      <c r="T44" s="3" t="s">
        <v>268</v>
      </c>
      <c r="U44" s="6" t="s">
        <v>264</v>
      </c>
      <c r="V44" s="19">
        <v>2007</v>
      </c>
    </row>
    <row r="45" spans="1:22" x14ac:dyDescent="0.15">
      <c r="A45" s="15">
        <v>42552</v>
      </c>
      <c r="B45" s="12" t="s">
        <v>61</v>
      </c>
      <c r="C45" s="12" t="s">
        <v>65</v>
      </c>
      <c r="D45" s="3" t="s">
        <v>266</v>
      </c>
      <c r="E45" s="3">
        <v>2</v>
      </c>
      <c r="F45" s="4" t="str">
        <f t="shared" si="10"/>
        <v>C</v>
      </c>
      <c r="G45" s="4" t="str">
        <f t="shared" si="11"/>
        <v>II</v>
      </c>
      <c r="H45" s="63" t="s">
        <v>20</v>
      </c>
      <c r="I45" s="19">
        <v>125</v>
      </c>
      <c r="J45" s="53">
        <f>58+1/12</f>
        <v>58.083333333333336</v>
      </c>
      <c r="K45" s="4" t="s">
        <v>42</v>
      </c>
      <c r="L45" s="53">
        <f>62+3/12</f>
        <v>62.25</v>
      </c>
      <c r="M45" s="53">
        <f>21+5/12</f>
        <v>21.416666666666668</v>
      </c>
      <c r="N45" s="18">
        <v>21</v>
      </c>
      <c r="O45" s="18">
        <f t="shared" si="12"/>
        <v>28</v>
      </c>
      <c r="P45" s="18">
        <v>12</v>
      </c>
      <c r="Q45" s="5">
        <v>35650</v>
      </c>
      <c r="R45" s="5">
        <v>35800</v>
      </c>
      <c r="S45" s="5" t="s">
        <v>16</v>
      </c>
      <c r="T45" s="3" t="s">
        <v>329</v>
      </c>
      <c r="U45" s="6" t="s">
        <v>264</v>
      </c>
      <c r="V45" s="19">
        <v>2008</v>
      </c>
    </row>
    <row r="46" spans="1:22" x14ac:dyDescent="0.15">
      <c r="A46" s="15">
        <v>42538</v>
      </c>
      <c r="B46" s="12" t="s">
        <v>63</v>
      </c>
      <c r="C46" s="12" t="s">
        <v>59</v>
      </c>
      <c r="D46" s="3" t="s">
        <v>266</v>
      </c>
      <c r="E46" s="3">
        <v>1</v>
      </c>
      <c r="F46" s="4" t="str">
        <f>IF($I46&lt;=0,"No Value",IF($I46&lt;91,"A",IF(AND($I46&gt;=91,$I46&lt;121),"B",IF(AND($I46&gt;=121,$I46&lt;141),"C",IF(AND($I46&gt;=141,$I46&lt;166),"D","E")))))</f>
        <v>C</v>
      </c>
      <c r="G46" s="4" t="str">
        <f>IF($J46&lt;=0,"No Value",IF($J46&lt;49,"I",IF(AND($J46&gt;=49,$J46&lt;79),"II",IF(AND($J46&gt;=79,$J46&lt;118),"III",IF(AND($J46&gt;=118,$J46&lt;171),"IV",IF(AND($J46&gt;=171,$J46&lt;214),"V",IF(AND($J46&gt;=214,$J46&lt;262),"VI","Greater than 262' WS")))))))</f>
        <v>I</v>
      </c>
      <c r="H46" s="63" t="s">
        <v>20</v>
      </c>
      <c r="I46" s="19">
        <f>99*1.3</f>
        <v>128.70000000000002</v>
      </c>
      <c r="J46" s="53">
        <f>44+9.5/12</f>
        <v>44.791666666666664</v>
      </c>
      <c r="K46" s="4" t="s">
        <v>40</v>
      </c>
      <c r="L46" s="24">
        <f>55+7/12</f>
        <v>55.583333333333336</v>
      </c>
      <c r="M46" s="53">
        <f>15+9.5/12</f>
        <v>15.791666666666666</v>
      </c>
      <c r="N46" s="18">
        <v>21</v>
      </c>
      <c r="O46" s="18">
        <f>ROUNDDOWN(0.9*L46/2,0)</f>
        <v>25</v>
      </c>
      <c r="P46" s="18">
        <v>12</v>
      </c>
      <c r="Q46" s="5">
        <v>16800</v>
      </c>
      <c r="R46" s="17">
        <v>17100</v>
      </c>
      <c r="S46" s="17" t="s">
        <v>16</v>
      </c>
      <c r="T46" s="3" t="s">
        <v>330</v>
      </c>
      <c r="U46" s="6" t="s">
        <v>264</v>
      </c>
      <c r="V46" s="19">
        <v>2009</v>
      </c>
    </row>
    <row r="47" spans="1:22" x14ac:dyDescent="0.15">
      <c r="A47" s="15">
        <v>42545</v>
      </c>
      <c r="B47" s="12" t="s">
        <v>316</v>
      </c>
      <c r="C47" s="12" t="s">
        <v>317</v>
      </c>
      <c r="D47" s="3" t="s">
        <v>43</v>
      </c>
      <c r="E47" s="3">
        <v>2</v>
      </c>
      <c r="F47" s="4" t="str">
        <f>IF($I47&lt;=0,"No Value",IF($I47&lt;91,"A",IF(AND($I47&gt;=91,$I47&lt;121),"B",IF(AND($I47&gt;=121,$I47&lt;141),"C",IF(AND($I47&gt;=141,$I47&lt;166),"D","E")))))</f>
        <v>A</v>
      </c>
      <c r="G47" s="4" t="str">
        <f>IF($J47&lt;=0,"No Value",IF($J47&lt;49,"I",IF(AND($J47&gt;=49,$J47&lt;79),"II",IF(AND($J47&gt;=79,$J47&lt;118),"III",IF(AND($J47&gt;=118,$J47&lt;171),"IV",IF(AND($J47&gt;=171,$J47&lt;214),"V",IF(AND($J47&gt;=214,$J47&lt;262),"VI","Greater than 262' WS")))))))</f>
        <v>II</v>
      </c>
      <c r="H47" s="62" t="s">
        <v>21</v>
      </c>
      <c r="I47" s="19">
        <v>90</v>
      </c>
      <c r="J47" s="57">
        <f>65+6.5/12</f>
        <v>65.541666666666671</v>
      </c>
      <c r="K47" s="4" t="s">
        <v>93</v>
      </c>
      <c r="L47" s="57">
        <f>49+5.5/12</f>
        <v>49.458333333333336</v>
      </c>
      <c r="M47" s="57">
        <f>19+7/12</f>
        <v>19.583333333333332</v>
      </c>
      <c r="N47" s="4">
        <v>12</v>
      </c>
      <c r="O47" s="4">
        <v>12</v>
      </c>
      <c r="P47" s="4">
        <v>12</v>
      </c>
      <c r="Q47" s="5">
        <v>15435</v>
      </c>
      <c r="R47" s="17">
        <v>17100</v>
      </c>
      <c r="S47" s="5" t="s">
        <v>29</v>
      </c>
      <c r="T47" s="3" t="s">
        <v>331</v>
      </c>
      <c r="U47" s="6" t="s">
        <v>264</v>
      </c>
      <c r="V47" s="19">
        <v>2010</v>
      </c>
    </row>
    <row r="48" spans="1:22" x14ac:dyDescent="0.15">
      <c r="A48" s="15">
        <v>42545</v>
      </c>
      <c r="B48" s="12" t="s">
        <v>316</v>
      </c>
      <c r="C48" s="12" t="s">
        <v>318</v>
      </c>
      <c r="D48" s="3" t="s">
        <v>43</v>
      </c>
      <c r="E48" s="3">
        <v>2</v>
      </c>
      <c r="F48" s="4" t="str">
        <f>IF($I48&lt;=0,"No Value",IF($I48&lt;91,"A",IF(AND($I48&gt;=91,$I48&lt;121),"B",IF(AND($I48&gt;=121,$I48&lt;141),"C",IF(AND($I48&gt;=141,$I48&lt;166),"D","E")))))</f>
        <v>A</v>
      </c>
      <c r="G48" s="4" t="str">
        <f>IF($J48&lt;=0,"No Value",IF($J48&lt;49,"I",IF(AND($J48&gt;=49,$J48&lt;79),"II",IF(AND($J48&gt;=79,$J48&lt;118),"III",IF(AND($J48&gt;=118,$J48&lt;171),"IV",IF(AND($J48&gt;=171,$J48&lt;214),"V",IF(AND($J48&gt;=214,$J48&lt;262),"VI","Greater than 262' WS")))))))</f>
        <v>II</v>
      </c>
      <c r="H48" s="62" t="s">
        <v>21</v>
      </c>
      <c r="I48" s="19">
        <v>90</v>
      </c>
      <c r="J48" s="57">
        <f>65+6.5/12</f>
        <v>65.541666666666671</v>
      </c>
      <c r="K48" s="4" t="s">
        <v>93</v>
      </c>
      <c r="L48" s="57">
        <f>47+4/12</f>
        <v>47.333333333333336</v>
      </c>
      <c r="M48" s="57">
        <f>19+7/12</f>
        <v>19.583333333333332</v>
      </c>
      <c r="N48" s="4">
        <v>12</v>
      </c>
      <c r="O48" s="4">
        <v>12</v>
      </c>
      <c r="P48" s="4">
        <v>12</v>
      </c>
      <c r="Q48" s="5">
        <v>14550</v>
      </c>
      <c r="R48" s="17">
        <v>17100</v>
      </c>
      <c r="S48" s="5" t="s">
        <v>29</v>
      </c>
      <c r="T48" s="3" t="s">
        <v>332</v>
      </c>
      <c r="U48" s="6" t="s">
        <v>264</v>
      </c>
      <c r="V48" s="19">
        <v>2011</v>
      </c>
    </row>
    <row r="49" spans="1:22" x14ac:dyDescent="0.15">
      <c r="A49" s="15">
        <v>42451</v>
      </c>
      <c r="B49" s="12" t="s">
        <v>12</v>
      </c>
      <c r="C49" s="12" t="s">
        <v>92</v>
      </c>
      <c r="D49" s="3"/>
      <c r="E49" s="3">
        <v>2</v>
      </c>
      <c r="F49" s="4" t="str">
        <f t="shared" ref="F49" si="13">IF($I49&lt;=0,"No Value",IF($I49&lt;91,"A",IF(AND($I49&gt;=91,$I49&lt;121),"B",IF(AND($I49&gt;=121,$I49&lt;141),"C",IF(AND($I49&gt;=141,$I49&lt;166),"D","E")))))</f>
        <v>C</v>
      </c>
      <c r="G49" s="4" t="str">
        <f t="shared" ref="G49" si="14">IF($J49&lt;=0,"No Value",IF($J49&lt;49,"I",IF(AND($J49&gt;=49,$J49&lt;79),"II",IF(AND($J49&gt;=79,$J49&lt;118),"III",IF(AND($J49&gt;=118,$J49&lt;171),"IV",IF(AND($J49&gt;=171,$J49&lt;214),"V",IF(AND($J49&gt;=214,$J49&lt;262),"VI","Greater than 262' WS")))))))</f>
        <v>IV</v>
      </c>
      <c r="H49" s="62">
        <v>2</v>
      </c>
      <c r="I49" s="6">
        <f>100*1.3</f>
        <v>130</v>
      </c>
      <c r="J49" s="57">
        <v>132.6</v>
      </c>
      <c r="K49" s="4" t="s">
        <v>40</v>
      </c>
      <c r="L49" s="57">
        <v>97.75</v>
      </c>
      <c r="M49" s="57">
        <v>38.799999999999997</v>
      </c>
      <c r="N49" s="4">
        <f>(32+0.75/12)-15/2</f>
        <v>24.5625</v>
      </c>
      <c r="O49" s="4" t="s">
        <v>91</v>
      </c>
      <c r="P49" s="4">
        <f>14+3.6/12+20.1/12</f>
        <v>15.975000000000001</v>
      </c>
      <c r="Q49" s="5">
        <v>155000</v>
      </c>
      <c r="R49" s="17">
        <v>17100</v>
      </c>
      <c r="S49" s="4" t="s">
        <v>89</v>
      </c>
      <c r="T49" s="3" t="s">
        <v>13</v>
      </c>
      <c r="U49" s="6" t="s">
        <v>264</v>
      </c>
      <c r="V49" s="19">
        <v>2012</v>
      </c>
    </row>
    <row r="50" spans="1:22" x14ac:dyDescent="0.15">
      <c r="A50" s="15">
        <v>42603</v>
      </c>
      <c r="B50" s="12" t="s">
        <v>287</v>
      </c>
      <c r="C50" s="13" t="s">
        <v>310</v>
      </c>
      <c r="D50" s="3" t="s">
        <v>69</v>
      </c>
      <c r="E50" s="7">
        <v>1</v>
      </c>
      <c r="F50" s="4" t="str">
        <f t="shared" ref="F50:F65" si="15">IF($I50&lt;=0,"No Value",IF($I50&lt;91,"A",IF(AND($I50&gt;=91,$I50&lt;121),"B",IF(AND($I50&gt;=121,$I50&lt;141),"C",IF(AND($I50&gt;=141,$I50&lt;166),"D","E")))))</f>
        <v>A</v>
      </c>
      <c r="G50" s="4" t="str">
        <f t="shared" ref="G50:G65" si="16">IF($J50&lt;=0,"No Value",IF($J50&lt;49,"I",IF(AND($J50&gt;=49,$J50&lt;79),"II",IF(AND($J50&gt;=79,$J50&lt;118),"III",IF(AND($J50&gt;=118,$J50&lt;171),"IV",IF(AND($J50&gt;=171,$J50&lt;214),"V",IF(AND($J50&gt;=214,$J50&lt;262),"VI","Greater than 262' WS")))))))</f>
        <v>I</v>
      </c>
      <c r="H50" s="51" t="s">
        <v>21</v>
      </c>
      <c r="I50" s="7">
        <f>1.3*50</f>
        <v>65</v>
      </c>
      <c r="J50" s="54">
        <v>35</v>
      </c>
      <c r="K50" s="7" t="s">
        <v>40</v>
      </c>
      <c r="L50" s="54">
        <f>23+1/12</f>
        <v>23.083333333333332</v>
      </c>
      <c r="M50" s="54">
        <f>8+3/12</f>
        <v>8.25</v>
      </c>
      <c r="N50" s="23">
        <f t="shared" ref="N50:O65" si="17">6+7/12</f>
        <v>6.583333333333333</v>
      </c>
      <c r="O50" s="23">
        <f t="shared" si="17"/>
        <v>6.583333333333333</v>
      </c>
      <c r="P50" s="23">
        <f t="shared" ref="P50:P65" si="18">9+2/12</f>
        <v>9.1666666666666661</v>
      </c>
      <c r="Q50" s="8">
        <v>2450</v>
      </c>
      <c r="R50" s="17">
        <v>17100</v>
      </c>
      <c r="S50" s="7" t="s">
        <v>29</v>
      </c>
      <c r="T50" s="20" t="s">
        <v>272</v>
      </c>
      <c r="U50" s="5" t="s">
        <v>94</v>
      </c>
      <c r="V50" s="21" t="s">
        <v>311</v>
      </c>
    </row>
    <row r="51" spans="1:22" x14ac:dyDescent="0.15">
      <c r="A51" s="15">
        <v>42603</v>
      </c>
      <c r="B51" s="12" t="s">
        <v>287</v>
      </c>
      <c r="C51" s="13" t="s">
        <v>285</v>
      </c>
      <c r="D51" s="3" t="s">
        <v>69</v>
      </c>
      <c r="E51" s="7">
        <v>1</v>
      </c>
      <c r="F51" s="4" t="str">
        <f t="shared" si="15"/>
        <v>A</v>
      </c>
      <c r="G51" s="4" t="str">
        <f t="shared" si="16"/>
        <v>I</v>
      </c>
      <c r="H51" s="51" t="s">
        <v>21</v>
      </c>
      <c r="I51" s="7">
        <f>1.3*50</f>
        <v>65</v>
      </c>
      <c r="J51" s="52">
        <v>35</v>
      </c>
      <c r="K51" s="7" t="s">
        <v>40</v>
      </c>
      <c r="L51" s="52">
        <f>23+3/12</f>
        <v>23.25</v>
      </c>
      <c r="M51" s="52">
        <f t="shared" ref="M51:M64" si="19">8+4/12</f>
        <v>8.3333333333333339</v>
      </c>
      <c r="N51" s="23">
        <f t="shared" si="17"/>
        <v>6.583333333333333</v>
      </c>
      <c r="O51" s="23">
        <f t="shared" si="17"/>
        <v>6.583333333333333</v>
      </c>
      <c r="P51" s="23">
        <f t="shared" si="18"/>
        <v>9.1666666666666661</v>
      </c>
      <c r="Q51" s="8">
        <v>2575</v>
      </c>
      <c r="R51" s="17">
        <v>17100</v>
      </c>
      <c r="S51" s="7" t="s">
        <v>29</v>
      </c>
      <c r="T51" s="20" t="s">
        <v>272</v>
      </c>
      <c r="U51" s="5" t="s">
        <v>94</v>
      </c>
      <c r="V51" s="21" t="s">
        <v>288</v>
      </c>
    </row>
    <row r="52" spans="1:22" x14ac:dyDescent="0.15">
      <c r="A52" s="15">
        <v>42603</v>
      </c>
      <c r="B52" s="12" t="s">
        <v>287</v>
      </c>
      <c r="C52" s="13" t="s">
        <v>302</v>
      </c>
      <c r="D52" s="3" t="s">
        <v>69</v>
      </c>
      <c r="E52" s="7">
        <v>1</v>
      </c>
      <c r="F52" s="4" t="str">
        <f t="shared" si="15"/>
        <v>A</v>
      </c>
      <c r="G52" s="4" t="str">
        <f t="shared" si="16"/>
        <v>I</v>
      </c>
      <c r="H52" s="51" t="s">
        <v>21</v>
      </c>
      <c r="I52" s="7">
        <f>1.3*50</f>
        <v>65</v>
      </c>
      <c r="J52" s="52">
        <v>35</v>
      </c>
      <c r="K52" s="7" t="s">
        <v>40</v>
      </c>
      <c r="L52" s="52">
        <f>23+3/12</f>
        <v>23.25</v>
      </c>
      <c r="M52" s="52">
        <f t="shared" si="19"/>
        <v>8.3333333333333339</v>
      </c>
      <c r="N52" s="23">
        <f t="shared" si="17"/>
        <v>6.583333333333333</v>
      </c>
      <c r="O52" s="23">
        <f t="shared" si="17"/>
        <v>6.583333333333333</v>
      </c>
      <c r="P52" s="23">
        <f t="shared" si="18"/>
        <v>9.1666666666666661</v>
      </c>
      <c r="Q52" s="8">
        <v>2500</v>
      </c>
      <c r="R52" s="17">
        <v>17100</v>
      </c>
      <c r="S52" s="7" t="s">
        <v>29</v>
      </c>
      <c r="T52" s="20" t="s">
        <v>272</v>
      </c>
      <c r="U52" s="5" t="s">
        <v>94</v>
      </c>
      <c r="V52" s="21" t="s">
        <v>289</v>
      </c>
    </row>
    <row r="53" spans="1:22" x14ac:dyDescent="0.15">
      <c r="A53" s="15">
        <v>42603</v>
      </c>
      <c r="B53" s="12" t="s">
        <v>287</v>
      </c>
      <c r="C53" s="13" t="s">
        <v>303</v>
      </c>
      <c r="D53" s="3" t="s">
        <v>69</v>
      </c>
      <c r="E53" s="7">
        <v>1</v>
      </c>
      <c r="F53" s="4" t="str">
        <f t="shared" si="15"/>
        <v>A</v>
      </c>
      <c r="G53" s="4" t="str">
        <f t="shared" si="16"/>
        <v>I</v>
      </c>
      <c r="H53" s="51" t="s">
        <v>21</v>
      </c>
      <c r="I53" s="7">
        <f>1.3*50</f>
        <v>65</v>
      </c>
      <c r="J53" s="52">
        <v>35</v>
      </c>
      <c r="K53" s="7" t="s">
        <v>40</v>
      </c>
      <c r="L53" s="52">
        <f>23+2/12</f>
        <v>23.166666666666668</v>
      </c>
      <c r="M53" s="52">
        <f t="shared" si="19"/>
        <v>8.3333333333333339</v>
      </c>
      <c r="N53" s="23">
        <f t="shared" si="17"/>
        <v>6.583333333333333</v>
      </c>
      <c r="O53" s="23">
        <f t="shared" si="17"/>
        <v>6.583333333333333</v>
      </c>
      <c r="P53" s="23">
        <f t="shared" si="18"/>
        <v>9.1666666666666661</v>
      </c>
      <c r="Q53" s="8">
        <v>2575</v>
      </c>
      <c r="R53" s="17">
        <v>17100</v>
      </c>
      <c r="S53" s="7" t="s">
        <v>29</v>
      </c>
      <c r="T53" s="20" t="s">
        <v>272</v>
      </c>
      <c r="U53" s="5" t="s">
        <v>94</v>
      </c>
      <c r="V53" s="21" t="s">
        <v>290</v>
      </c>
    </row>
    <row r="54" spans="1:22" x14ac:dyDescent="0.15">
      <c r="A54" s="15">
        <v>42603</v>
      </c>
      <c r="B54" s="12" t="s">
        <v>287</v>
      </c>
      <c r="C54" s="13" t="s">
        <v>304</v>
      </c>
      <c r="D54" s="3" t="s">
        <v>69</v>
      </c>
      <c r="E54" s="7">
        <v>1</v>
      </c>
      <c r="F54" s="4" t="str">
        <f t="shared" si="15"/>
        <v>A</v>
      </c>
      <c r="G54" s="4" t="str">
        <f t="shared" si="16"/>
        <v>I</v>
      </c>
      <c r="H54" s="51" t="s">
        <v>21</v>
      </c>
      <c r="I54" s="28">
        <f>1.3*54</f>
        <v>70.2</v>
      </c>
      <c r="J54" s="52">
        <v>36</v>
      </c>
      <c r="K54" s="7" t="s">
        <v>40</v>
      </c>
      <c r="L54" s="52">
        <v>24</v>
      </c>
      <c r="M54" s="52">
        <f t="shared" si="19"/>
        <v>8.3333333333333339</v>
      </c>
      <c r="N54" s="23">
        <f t="shared" si="17"/>
        <v>6.583333333333333</v>
      </c>
      <c r="O54" s="23">
        <f t="shared" si="17"/>
        <v>6.583333333333333</v>
      </c>
      <c r="P54" s="23">
        <f t="shared" si="18"/>
        <v>9.1666666666666661</v>
      </c>
      <c r="Q54" s="8">
        <v>2740</v>
      </c>
      <c r="R54" s="17">
        <v>17100</v>
      </c>
      <c r="S54" s="7" t="s">
        <v>29</v>
      </c>
      <c r="T54" s="20" t="s">
        <v>272</v>
      </c>
      <c r="U54" s="5" t="s">
        <v>94</v>
      </c>
      <c r="V54" s="21" t="s">
        <v>291</v>
      </c>
    </row>
    <row r="55" spans="1:22" x14ac:dyDescent="0.15">
      <c r="A55" s="15">
        <v>42603</v>
      </c>
      <c r="B55" s="12" t="s">
        <v>287</v>
      </c>
      <c r="C55" s="13" t="s">
        <v>305</v>
      </c>
      <c r="D55" s="3" t="s">
        <v>69</v>
      </c>
      <c r="E55" s="7">
        <v>1</v>
      </c>
      <c r="F55" s="4" t="str">
        <f t="shared" si="15"/>
        <v>A</v>
      </c>
      <c r="G55" s="4" t="str">
        <f t="shared" si="16"/>
        <v>I</v>
      </c>
      <c r="H55" s="51" t="s">
        <v>21</v>
      </c>
      <c r="I55" s="7">
        <f>1.3*50</f>
        <v>65</v>
      </c>
      <c r="J55" s="52">
        <v>35</v>
      </c>
      <c r="K55" s="7" t="s">
        <v>40</v>
      </c>
      <c r="L55" s="52">
        <f>24+3/12</f>
        <v>24.25</v>
      </c>
      <c r="M55" s="52">
        <f t="shared" si="19"/>
        <v>8.3333333333333339</v>
      </c>
      <c r="N55" s="23">
        <f t="shared" si="17"/>
        <v>6.583333333333333</v>
      </c>
      <c r="O55" s="23">
        <f t="shared" si="17"/>
        <v>6.583333333333333</v>
      </c>
      <c r="P55" s="23">
        <f t="shared" si="18"/>
        <v>9.1666666666666661</v>
      </c>
      <c r="Q55" s="8">
        <v>2525</v>
      </c>
      <c r="R55" s="17">
        <v>17100</v>
      </c>
      <c r="S55" s="7" t="s">
        <v>29</v>
      </c>
      <c r="T55" s="20" t="s">
        <v>272</v>
      </c>
      <c r="U55" s="5" t="s">
        <v>94</v>
      </c>
      <c r="V55" s="21" t="s">
        <v>292</v>
      </c>
    </row>
    <row r="56" spans="1:22" x14ac:dyDescent="0.15">
      <c r="A56" s="15">
        <v>42603</v>
      </c>
      <c r="B56" s="12" t="s">
        <v>287</v>
      </c>
      <c r="C56" s="13" t="s">
        <v>314</v>
      </c>
      <c r="D56" s="3" t="s">
        <v>69</v>
      </c>
      <c r="E56" s="7">
        <v>1</v>
      </c>
      <c r="F56" s="4" t="str">
        <f t="shared" si="15"/>
        <v>A</v>
      </c>
      <c r="G56" s="4" t="str">
        <f t="shared" si="16"/>
        <v>I</v>
      </c>
      <c r="H56" s="51" t="s">
        <v>21</v>
      </c>
      <c r="I56" s="28">
        <f>1.3*55</f>
        <v>71.5</v>
      </c>
      <c r="J56" s="52">
        <v>35</v>
      </c>
      <c r="K56" s="7" t="s">
        <v>40</v>
      </c>
      <c r="L56" s="52">
        <f>24+8/12</f>
        <v>24.666666666666668</v>
      </c>
      <c r="M56" s="52">
        <f t="shared" si="19"/>
        <v>8.3333333333333339</v>
      </c>
      <c r="N56" s="23">
        <f t="shared" si="17"/>
        <v>6.583333333333333</v>
      </c>
      <c r="O56" s="23">
        <f t="shared" si="17"/>
        <v>6.583333333333333</v>
      </c>
      <c r="P56" s="23">
        <f t="shared" si="18"/>
        <v>9.1666666666666661</v>
      </c>
      <c r="Q56" s="8">
        <v>2740</v>
      </c>
      <c r="R56" s="17">
        <v>17100</v>
      </c>
      <c r="S56" s="7" t="s">
        <v>29</v>
      </c>
      <c r="T56" s="20" t="s">
        <v>272</v>
      </c>
      <c r="U56" s="5" t="s">
        <v>94</v>
      </c>
      <c r="V56" s="21" t="s">
        <v>293</v>
      </c>
    </row>
    <row r="57" spans="1:22" x14ac:dyDescent="0.15">
      <c r="A57" s="15">
        <v>42603</v>
      </c>
      <c r="B57" s="12" t="s">
        <v>287</v>
      </c>
      <c r="C57" s="13" t="s">
        <v>306</v>
      </c>
      <c r="D57" s="3" t="s">
        <v>69</v>
      </c>
      <c r="E57" s="7">
        <v>1</v>
      </c>
      <c r="F57" s="4" t="str">
        <f t="shared" si="15"/>
        <v>A</v>
      </c>
      <c r="G57" s="4" t="str">
        <f t="shared" si="16"/>
        <v>I</v>
      </c>
      <c r="H57" s="51" t="s">
        <v>21</v>
      </c>
      <c r="I57" s="28">
        <f>1.3*59</f>
        <v>76.7</v>
      </c>
      <c r="J57" s="52">
        <f>36+1/12</f>
        <v>36.083333333333336</v>
      </c>
      <c r="K57" s="7" t="s">
        <v>40</v>
      </c>
      <c r="L57" s="52">
        <f>25+5/12</f>
        <v>25.416666666666668</v>
      </c>
      <c r="M57" s="52">
        <f t="shared" si="19"/>
        <v>8.3333333333333339</v>
      </c>
      <c r="N57" s="23">
        <f t="shared" si="17"/>
        <v>6.583333333333333</v>
      </c>
      <c r="O57" s="23">
        <f t="shared" si="17"/>
        <v>6.583333333333333</v>
      </c>
      <c r="P57" s="23">
        <f t="shared" si="18"/>
        <v>9.1666666666666661</v>
      </c>
      <c r="Q57" s="8">
        <v>2900</v>
      </c>
      <c r="R57" s="17">
        <v>17100</v>
      </c>
      <c r="S57" s="7" t="s">
        <v>29</v>
      </c>
      <c r="T57" s="20" t="s">
        <v>272</v>
      </c>
      <c r="U57" s="5" t="s">
        <v>94</v>
      </c>
      <c r="V57" s="21" t="s">
        <v>294</v>
      </c>
    </row>
    <row r="58" spans="1:22" x14ac:dyDescent="0.15">
      <c r="A58" s="15">
        <v>42603</v>
      </c>
      <c r="B58" s="12" t="s">
        <v>287</v>
      </c>
      <c r="C58" s="13" t="s">
        <v>315</v>
      </c>
      <c r="D58" s="3" t="s">
        <v>69</v>
      </c>
      <c r="E58" s="7">
        <v>1</v>
      </c>
      <c r="F58" s="4" t="str">
        <f t="shared" si="15"/>
        <v>A</v>
      </c>
      <c r="G58" s="4" t="str">
        <f t="shared" si="16"/>
        <v>I</v>
      </c>
      <c r="H58" s="51" t="s">
        <v>21</v>
      </c>
      <c r="I58" s="28">
        <f>1.3*59</f>
        <v>76.7</v>
      </c>
      <c r="J58" s="52">
        <f>36+1/12</f>
        <v>36.083333333333336</v>
      </c>
      <c r="K58" s="7" t="s">
        <v>40</v>
      </c>
      <c r="L58" s="52">
        <f>25+5/12</f>
        <v>25.416666666666668</v>
      </c>
      <c r="M58" s="52">
        <f t="shared" si="19"/>
        <v>8.3333333333333339</v>
      </c>
      <c r="N58" s="23">
        <f t="shared" si="17"/>
        <v>6.583333333333333</v>
      </c>
      <c r="O58" s="23">
        <f t="shared" si="17"/>
        <v>6.583333333333333</v>
      </c>
      <c r="P58" s="23">
        <f t="shared" si="18"/>
        <v>9.1666666666666661</v>
      </c>
      <c r="Q58" s="8">
        <v>3130</v>
      </c>
      <c r="R58" s="17">
        <v>17100</v>
      </c>
      <c r="S58" s="7" t="s">
        <v>29</v>
      </c>
      <c r="T58" s="20" t="s">
        <v>272</v>
      </c>
      <c r="U58" s="5" t="s">
        <v>94</v>
      </c>
      <c r="V58" s="21" t="s">
        <v>294</v>
      </c>
    </row>
    <row r="59" spans="1:22" x14ac:dyDescent="0.15">
      <c r="A59" s="15">
        <v>42603</v>
      </c>
      <c r="B59" s="12" t="s">
        <v>287</v>
      </c>
      <c r="C59" s="13" t="s">
        <v>307</v>
      </c>
      <c r="D59" s="3" t="s">
        <v>69</v>
      </c>
      <c r="E59" s="7">
        <v>1</v>
      </c>
      <c r="F59" s="4" t="str">
        <f t="shared" si="15"/>
        <v>A</v>
      </c>
      <c r="G59" s="4" t="str">
        <f t="shared" si="16"/>
        <v>I</v>
      </c>
      <c r="H59" s="51" t="s">
        <v>21</v>
      </c>
      <c r="I59" s="28">
        <f>1.3*58</f>
        <v>75.400000000000006</v>
      </c>
      <c r="J59" s="54">
        <f>36+5/12</f>
        <v>36.416666666666664</v>
      </c>
      <c r="K59" s="7" t="s">
        <v>40</v>
      </c>
      <c r="L59" s="54">
        <f>26+9/12</f>
        <v>26.75</v>
      </c>
      <c r="M59" s="54">
        <f t="shared" si="19"/>
        <v>8.3333333333333339</v>
      </c>
      <c r="N59" s="23">
        <f t="shared" si="17"/>
        <v>6.583333333333333</v>
      </c>
      <c r="O59" s="23">
        <f t="shared" si="17"/>
        <v>6.583333333333333</v>
      </c>
      <c r="P59" s="23">
        <f t="shared" si="18"/>
        <v>9.1666666666666661</v>
      </c>
      <c r="Q59" s="8">
        <v>2900</v>
      </c>
      <c r="R59" s="17">
        <v>17100</v>
      </c>
      <c r="S59" s="7" t="s">
        <v>29</v>
      </c>
      <c r="T59" s="20" t="s">
        <v>272</v>
      </c>
      <c r="U59" s="5" t="s">
        <v>94</v>
      </c>
      <c r="V59" s="21" t="s">
        <v>295</v>
      </c>
    </row>
    <row r="60" spans="1:22" x14ac:dyDescent="0.15">
      <c r="A60" s="15">
        <v>42603</v>
      </c>
      <c r="B60" s="12" t="s">
        <v>287</v>
      </c>
      <c r="C60" s="13" t="s">
        <v>313</v>
      </c>
      <c r="D60" s="3" t="s">
        <v>69</v>
      </c>
      <c r="E60" s="7">
        <v>1</v>
      </c>
      <c r="F60" s="4" t="str">
        <f t="shared" si="15"/>
        <v>A</v>
      </c>
      <c r="G60" s="4" t="str">
        <f t="shared" si="16"/>
        <v>I</v>
      </c>
      <c r="H60" s="51" t="s">
        <v>21</v>
      </c>
      <c r="I60" s="28">
        <f>1.3*59</f>
        <v>76.7</v>
      </c>
      <c r="J60" s="54">
        <f>36+1/12</f>
        <v>36.083333333333336</v>
      </c>
      <c r="K60" s="7" t="s">
        <v>40</v>
      </c>
      <c r="L60" s="54">
        <f>26+9/12</f>
        <v>26.75</v>
      </c>
      <c r="M60" s="54">
        <f t="shared" si="19"/>
        <v>8.3333333333333339</v>
      </c>
      <c r="N60" s="9">
        <f t="shared" si="17"/>
        <v>6.583333333333333</v>
      </c>
      <c r="O60" s="9">
        <f t="shared" si="17"/>
        <v>6.583333333333333</v>
      </c>
      <c r="P60" s="9">
        <f t="shared" si="18"/>
        <v>9.1666666666666661</v>
      </c>
      <c r="Q60" s="5">
        <v>3368</v>
      </c>
      <c r="R60" s="22">
        <v>3380</v>
      </c>
      <c r="S60" s="7" t="s">
        <v>29</v>
      </c>
      <c r="T60" s="20" t="s">
        <v>272</v>
      </c>
      <c r="U60" s="5" t="s">
        <v>94</v>
      </c>
      <c r="V60" s="21" t="s">
        <v>296</v>
      </c>
    </row>
    <row r="61" spans="1:22" x14ac:dyDescent="0.15">
      <c r="A61" s="15">
        <v>42604</v>
      </c>
      <c r="B61" s="12" t="s">
        <v>287</v>
      </c>
      <c r="C61" s="12" t="s">
        <v>309</v>
      </c>
      <c r="D61" s="3" t="s">
        <v>69</v>
      </c>
      <c r="E61" s="7">
        <v>1</v>
      </c>
      <c r="F61" s="4" t="str">
        <f t="shared" si="15"/>
        <v>A</v>
      </c>
      <c r="G61" s="4" t="str">
        <f t="shared" si="16"/>
        <v>I</v>
      </c>
      <c r="H61" s="28" t="s">
        <v>21</v>
      </c>
      <c r="I61" s="28">
        <f>1.3*59</f>
        <v>76.7</v>
      </c>
      <c r="J61" s="54">
        <f>36+1/12</f>
        <v>36.083333333333336</v>
      </c>
      <c r="K61" s="7" t="s">
        <v>40</v>
      </c>
      <c r="L61" s="54">
        <f>26+9/12</f>
        <v>26.75</v>
      </c>
      <c r="M61" s="54">
        <f t="shared" si="19"/>
        <v>8.3333333333333339</v>
      </c>
      <c r="N61" s="23">
        <f t="shared" si="17"/>
        <v>6.583333333333333</v>
      </c>
      <c r="O61" s="23">
        <f t="shared" si="17"/>
        <v>6.583333333333333</v>
      </c>
      <c r="P61" s="9">
        <f t="shared" si="18"/>
        <v>9.1666666666666661</v>
      </c>
      <c r="Q61" s="5">
        <v>3374</v>
      </c>
      <c r="R61" s="22">
        <v>3380</v>
      </c>
      <c r="S61" s="7" t="s">
        <v>29</v>
      </c>
      <c r="T61" s="20" t="s">
        <v>272</v>
      </c>
      <c r="U61" s="5" t="s">
        <v>94</v>
      </c>
      <c r="V61" s="17" t="s">
        <v>297</v>
      </c>
    </row>
    <row r="62" spans="1:22" x14ac:dyDescent="0.15">
      <c r="A62" s="15">
        <v>42599</v>
      </c>
      <c r="B62" s="12" t="s">
        <v>287</v>
      </c>
      <c r="C62" s="13" t="s">
        <v>308</v>
      </c>
      <c r="D62" s="3" t="s">
        <v>69</v>
      </c>
      <c r="E62" s="7">
        <v>1</v>
      </c>
      <c r="F62" s="4" t="str">
        <f t="shared" si="15"/>
        <v>A</v>
      </c>
      <c r="G62" s="4" t="str">
        <f t="shared" si="16"/>
        <v>I</v>
      </c>
      <c r="H62" s="28" t="s">
        <v>21</v>
      </c>
      <c r="I62" s="28">
        <f>1.3*58</f>
        <v>75.400000000000006</v>
      </c>
      <c r="J62" s="54">
        <f>36+1/12</f>
        <v>36.083333333333336</v>
      </c>
      <c r="K62" s="7" t="s">
        <v>40</v>
      </c>
      <c r="L62" s="54">
        <f>26+9/12</f>
        <v>26.75</v>
      </c>
      <c r="M62" s="54">
        <f t="shared" si="19"/>
        <v>8.3333333333333339</v>
      </c>
      <c r="N62" s="23">
        <f t="shared" si="17"/>
        <v>6.583333333333333</v>
      </c>
      <c r="O62" s="23">
        <f t="shared" si="17"/>
        <v>6.583333333333333</v>
      </c>
      <c r="P62" s="23">
        <f t="shared" si="18"/>
        <v>9.1666666666666661</v>
      </c>
      <c r="Q62" s="5">
        <v>3300</v>
      </c>
      <c r="R62" s="22">
        <v>3380</v>
      </c>
      <c r="S62" s="7" t="s">
        <v>29</v>
      </c>
      <c r="T62" s="20" t="s">
        <v>272</v>
      </c>
      <c r="U62" s="5" t="s">
        <v>94</v>
      </c>
      <c r="V62" s="21" t="s">
        <v>298</v>
      </c>
    </row>
    <row r="63" spans="1:22" x14ac:dyDescent="0.15">
      <c r="A63" s="15">
        <v>42599</v>
      </c>
      <c r="B63" s="12" t="s">
        <v>287</v>
      </c>
      <c r="C63" s="12" t="s">
        <v>301</v>
      </c>
      <c r="D63" s="3" t="s">
        <v>69</v>
      </c>
      <c r="E63" s="7">
        <v>1</v>
      </c>
      <c r="F63" s="4" t="str">
        <f t="shared" si="15"/>
        <v>A</v>
      </c>
      <c r="G63" s="4" t="str">
        <f t="shared" si="16"/>
        <v>I</v>
      </c>
      <c r="H63" s="28" t="s">
        <v>21</v>
      </c>
      <c r="I63" s="28">
        <f>1.3*59</f>
        <v>76.7</v>
      </c>
      <c r="J63" s="54">
        <f>36+5/12</f>
        <v>36.416666666666664</v>
      </c>
      <c r="K63" s="7" t="s">
        <v>40</v>
      </c>
      <c r="L63" s="54">
        <f>26+9/12</f>
        <v>26.75</v>
      </c>
      <c r="M63" s="54">
        <f t="shared" si="19"/>
        <v>8.3333333333333339</v>
      </c>
      <c r="N63" s="23">
        <f t="shared" si="17"/>
        <v>6.583333333333333</v>
      </c>
      <c r="O63" s="23">
        <f t="shared" si="17"/>
        <v>6.583333333333333</v>
      </c>
      <c r="P63" s="9">
        <f t="shared" si="18"/>
        <v>9.1666666666666661</v>
      </c>
      <c r="Q63" s="5">
        <v>3374</v>
      </c>
      <c r="R63" s="22">
        <v>3380</v>
      </c>
      <c r="S63" s="7" t="s">
        <v>29</v>
      </c>
      <c r="T63" s="20" t="s">
        <v>272</v>
      </c>
      <c r="U63" s="5" t="s">
        <v>94</v>
      </c>
      <c r="V63" s="17" t="s">
        <v>299</v>
      </c>
    </row>
    <row r="64" spans="1:22" x14ac:dyDescent="0.15">
      <c r="A64" s="15">
        <v>42599</v>
      </c>
      <c r="B64" s="12" t="s">
        <v>287</v>
      </c>
      <c r="C64" s="12" t="s">
        <v>284</v>
      </c>
      <c r="D64" s="3" t="s">
        <v>69</v>
      </c>
      <c r="E64" s="42">
        <v>1</v>
      </c>
      <c r="F64" s="4" t="str">
        <f t="shared" si="15"/>
        <v>A</v>
      </c>
      <c r="G64" s="4" t="str">
        <f t="shared" si="16"/>
        <v>I</v>
      </c>
      <c r="H64" s="51" t="s">
        <v>21</v>
      </c>
      <c r="I64" s="6">
        <f>1.3*59</f>
        <v>76.7</v>
      </c>
      <c r="J64" s="54">
        <f>36+6/12</f>
        <v>36.5</v>
      </c>
      <c r="K64" s="4" t="s">
        <v>283</v>
      </c>
      <c r="L64" s="54">
        <f>26+8/12</f>
        <v>26.666666666666668</v>
      </c>
      <c r="M64" s="54">
        <f t="shared" si="19"/>
        <v>8.3333333333333339</v>
      </c>
      <c r="N64" s="23">
        <f t="shared" si="17"/>
        <v>6.583333333333333</v>
      </c>
      <c r="O64" s="23">
        <f t="shared" si="17"/>
        <v>6.583333333333333</v>
      </c>
      <c r="P64" s="23">
        <f t="shared" si="18"/>
        <v>9.1666666666666661</v>
      </c>
      <c r="Q64" s="5">
        <v>3368</v>
      </c>
      <c r="R64" s="5">
        <v>3380</v>
      </c>
      <c r="S64" s="7" t="s">
        <v>29</v>
      </c>
      <c r="T64" s="20" t="s">
        <v>272</v>
      </c>
      <c r="U64" s="5" t="s">
        <v>94</v>
      </c>
      <c r="V64" s="17" t="s">
        <v>300</v>
      </c>
    </row>
    <row r="65" spans="1:22" x14ac:dyDescent="0.15">
      <c r="A65" s="15">
        <v>42599</v>
      </c>
      <c r="B65" s="12" t="s">
        <v>287</v>
      </c>
      <c r="C65" s="47" t="s">
        <v>286</v>
      </c>
      <c r="D65" s="3" t="s">
        <v>69</v>
      </c>
      <c r="E65" s="42">
        <v>1</v>
      </c>
      <c r="F65" s="4" t="str">
        <f t="shared" si="15"/>
        <v>A</v>
      </c>
      <c r="G65" s="4" t="str">
        <f t="shared" si="16"/>
        <v>I</v>
      </c>
      <c r="H65" s="51" t="s">
        <v>21</v>
      </c>
      <c r="I65" s="42">
        <f>1.3*60</f>
        <v>78</v>
      </c>
      <c r="J65" s="54">
        <v>35</v>
      </c>
      <c r="K65" s="7" t="s">
        <v>40</v>
      </c>
      <c r="L65" s="54">
        <v>26</v>
      </c>
      <c r="M65" s="54">
        <v>9</v>
      </c>
      <c r="N65" s="23">
        <f t="shared" si="17"/>
        <v>6.583333333333333</v>
      </c>
      <c r="O65" s="23">
        <f t="shared" si="17"/>
        <v>6.583333333333333</v>
      </c>
      <c r="P65" s="23">
        <f t="shared" si="18"/>
        <v>9.1666666666666661</v>
      </c>
      <c r="Q65" s="43">
        <v>3680</v>
      </c>
      <c r="R65" s="5">
        <v>3380</v>
      </c>
      <c r="S65" s="7" t="s">
        <v>29</v>
      </c>
      <c r="T65" s="20" t="s">
        <v>312</v>
      </c>
      <c r="U65" s="5" t="s">
        <v>94</v>
      </c>
      <c r="V65" s="21" t="s">
        <v>291</v>
      </c>
    </row>
    <row r="66" spans="1:22" x14ac:dyDescent="0.15">
      <c r="A66" s="15">
        <v>42986</v>
      </c>
      <c r="B66" s="12" t="s">
        <v>14</v>
      </c>
      <c r="C66" s="12" t="s">
        <v>249</v>
      </c>
      <c r="D66" s="3" t="s">
        <v>69</v>
      </c>
      <c r="E66" s="3">
        <v>2</v>
      </c>
      <c r="F66" s="4" t="str">
        <f t="shared" ref="F66:F80" si="20">IF($I66&lt;=0,"No Value",IF($I66&lt;91,"A",IF(AND($I66&gt;=91,$I66&lt;121),"B",IF(AND($I66&gt;=121,$I66&lt;141),"C",IF(AND($I66&gt;=141,$I66&lt;166),"D","E")))))</f>
        <v>A</v>
      </c>
      <c r="G66" s="4" t="str">
        <f t="shared" ref="G66:G80" si="21">IF($J66&lt;=0,"No Value",IF($J66&lt;49,"I",IF(AND($J66&gt;=49,$J66&lt;79),"II",IF(AND($J66&gt;=79,$J66&lt;118),"III",IF(AND($J66&gt;=118,$J66&lt;171),"IV",IF(AND($J66&gt;=171,$J66&lt;214),"V",IF(AND($J66&gt;=214,$J66&lt;262),"VI","Greater than 262' WS")))))))</f>
        <v>I</v>
      </c>
      <c r="H66" s="62" t="s">
        <v>21</v>
      </c>
      <c r="I66" s="6">
        <f>55*1.2</f>
        <v>66</v>
      </c>
      <c r="J66" s="57">
        <f>38+7.25/12</f>
        <v>38.604166666666664</v>
      </c>
      <c r="K66" s="3" t="s">
        <v>40</v>
      </c>
      <c r="L66" s="57">
        <f>27+7.25/12</f>
        <v>27.604166666666668</v>
      </c>
      <c r="M66" s="57">
        <f>8+6/12</f>
        <v>8.5</v>
      </c>
      <c r="N66" s="4">
        <f>8+4.75/12</f>
        <v>8.3958333333333339</v>
      </c>
      <c r="O66" s="4">
        <f>8+4.75/12</f>
        <v>8.3958333333333339</v>
      </c>
      <c r="P66" s="4">
        <f>10+6/12</f>
        <v>10.5</v>
      </c>
      <c r="Q66" s="5">
        <v>3800</v>
      </c>
      <c r="R66" s="5">
        <v>3815</v>
      </c>
      <c r="S66" s="5" t="s">
        <v>29</v>
      </c>
      <c r="T66" s="3" t="s">
        <v>270</v>
      </c>
      <c r="U66" s="3" t="s">
        <v>94</v>
      </c>
      <c r="V66" s="21" t="s">
        <v>291</v>
      </c>
    </row>
    <row r="67" spans="1:22" x14ac:dyDescent="0.15">
      <c r="A67" s="15">
        <v>42986</v>
      </c>
      <c r="B67" s="12" t="s">
        <v>14</v>
      </c>
      <c r="C67" s="12" t="s">
        <v>248</v>
      </c>
      <c r="D67" s="3" t="s">
        <v>69</v>
      </c>
      <c r="E67" s="3">
        <v>1</v>
      </c>
      <c r="F67" s="4" t="str">
        <f t="shared" si="20"/>
        <v>A</v>
      </c>
      <c r="G67" s="4" t="str">
        <f t="shared" si="21"/>
        <v>I</v>
      </c>
      <c r="H67" s="62" t="s">
        <v>21</v>
      </c>
      <c r="I67" s="6">
        <f>58*1.3</f>
        <v>75.400000000000006</v>
      </c>
      <c r="J67" s="57">
        <v>43</v>
      </c>
      <c r="K67" s="4" t="s">
        <v>40</v>
      </c>
      <c r="L67" s="57">
        <f>28+10.75/12</f>
        <v>28.895833333333332</v>
      </c>
      <c r="M67" s="57">
        <f>11+3.5/12</f>
        <v>11.291666666666666</v>
      </c>
      <c r="N67" s="4">
        <v>8</v>
      </c>
      <c r="O67" s="4">
        <v>8</v>
      </c>
      <c r="P67" s="4">
        <f>12+3.5/12</f>
        <v>12.291666666666666</v>
      </c>
      <c r="Q67" s="5">
        <v>4340</v>
      </c>
      <c r="R67" s="5">
        <v>4358</v>
      </c>
      <c r="S67" s="5" t="s">
        <v>29</v>
      </c>
      <c r="T67" s="3" t="s">
        <v>269</v>
      </c>
      <c r="U67" s="3" t="s">
        <v>94</v>
      </c>
      <c r="V67" s="21">
        <v>2011</v>
      </c>
    </row>
    <row r="68" spans="1:22" x14ac:dyDescent="0.15">
      <c r="A68" s="15">
        <v>42986</v>
      </c>
      <c r="B68" s="12" t="s">
        <v>14</v>
      </c>
      <c r="C68" s="12" t="s">
        <v>246</v>
      </c>
      <c r="D68" s="3" t="s">
        <v>43</v>
      </c>
      <c r="E68" s="3">
        <v>1</v>
      </c>
      <c r="F68" s="4" t="str">
        <f t="shared" si="20"/>
        <v>A</v>
      </c>
      <c r="G68" s="4" t="str">
        <f t="shared" si="21"/>
        <v>I</v>
      </c>
      <c r="H68" s="62" t="s">
        <v>21</v>
      </c>
      <c r="I68" s="6">
        <f>60*1.3</f>
        <v>78</v>
      </c>
      <c r="J68" s="57">
        <v>43</v>
      </c>
      <c r="K68" s="4" t="s">
        <v>40</v>
      </c>
      <c r="L68" s="57">
        <f>29+7.25/12</f>
        <v>29.604166666666668</v>
      </c>
      <c r="M68" s="57">
        <f>11+4/12</f>
        <v>11.333333333333334</v>
      </c>
      <c r="N68" s="4">
        <v>8</v>
      </c>
      <c r="O68" s="4">
        <v>8</v>
      </c>
      <c r="P68" s="4">
        <f>12+3.5/12</f>
        <v>12.291666666666666</v>
      </c>
      <c r="Q68" s="5">
        <v>4850</v>
      </c>
      <c r="R68" s="5">
        <v>4892</v>
      </c>
      <c r="S68" s="5" t="s">
        <v>29</v>
      </c>
      <c r="T68" s="3" t="s">
        <v>271</v>
      </c>
      <c r="U68" s="3" t="s">
        <v>94</v>
      </c>
      <c r="V68" s="21" t="s">
        <v>291</v>
      </c>
    </row>
    <row r="69" spans="1:22" x14ac:dyDescent="0.15">
      <c r="A69" s="15">
        <v>42986</v>
      </c>
      <c r="B69" s="12" t="s">
        <v>14</v>
      </c>
      <c r="C69" s="12" t="s">
        <v>75</v>
      </c>
      <c r="D69" s="3" t="s">
        <v>43</v>
      </c>
      <c r="E69" s="3">
        <v>1</v>
      </c>
      <c r="F69" s="4" t="str">
        <f t="shared" si="20"/>
        <v>A</v>
      </c>
      <c r="G69" s="4" t="str">
        <f t="shared" si="21"/>
        <v>I</v>
      </c>
      <c r="H69" s="62" t="s">
        <v>21</v>
      </c>
      <c r="I69" s="6">
        <f>58*1.3</f>
        <v>75.400000000000006</v>
      </c>
      <c r="J69" s="57">
        <v>43</v>
      </c>
      <c r="K69" s="4" t="s">
        <v>40</v>
      </c>
      <c r="L69" s="57">
        <f>29+7.25/12</f>
        <v>29.604166666666668</v>
      </c>
      <c r="M69" s="57">
        <f>11+4/12</f>
        <v>11.333333333333334</v>
      </c>
      <c r="N69" s="4">
        <v>8</v>
      </c>
      <c r="O69" s="4">
        <v>8</v>
      </c>
      <c r="P69" s="4">
        <f>12+3.5/12</f>
        <v>12.291666666666666</v>
      </c>
      <c r="Q69" s="5">
        <v>5092</v>
      </c>
      <c r="R69" s="5">
        <v>5134</v>
      </c>
      <c r="S69" s="5" t="s">
        <v>29</v>
      </c>
      <c r="T69" s="3" t="s">
        <v>271</v>
      </c>
      <c r="U69" s="3" t="s">
        <v>94</v>
      </c>
      <c r="V69" s="21" t="s">
        <v>291</v>
      </c>
    </row>
    <row r="70" spans="1:22" x14ac:dyDescent="0.15">
      <c r="A70" s="15">
        <v>42986</v>
      </c>
      <c r="B70" s="12" t="s">
        <v>14</v>
      </c>
      <c r="C70" s="12" t="s">
        <v>247</v>
      </c>
      <c r="D70" s="3" t="s">
        <v>43</v>
      </c>
      <c r="E70" s="3">
        <v>1</v>
      </c>
      <c r="F70" s="4" t="str">
        <f t="shared" si="20"/>
        <v>A</v>
      </c>
      <c r="G70" s="4" t="str">
        <f t="shared" si="21"/>
        <v>I</v>
      </c>
      <c r="H70" s="62" t="s">
        <v>21</v>
      </c>
      <c r="I70" s="6">
        <f>58*1.3</f>
        <v>75.400000000000006</v>
      </c>
      <c r="J70" s="57">
        <f>43+2/12</f>
        <v>43.166666666666664</v>
      </c>
      <c r="K70" s="4" t="s">
        <v>40</v>
      </c>
      <c r="L70" s="57">
        <f>29+7.25/12</f>
        <v>29.604166666666668</v>
      </c>
      <c r="M70" s="57">
        <f>11+4/12</f>
        <v>11.333333333333334</v>
      </c>
      <c r="N70" s="4">
        <v>8</v>
      </c>
      <c r="O70" s="4">
        <v>8</v>
      </c>
      <c r="P70" s="4">
        <f>12+3.5/12</f>
        <v>12.291666666666666</v>
      </c>
      <c r="Q70" s="5">
        <v>6000</v>
      </c>
      <c r="R70" s="5">
        <v>6050</v>
      </c>
      <c r="S70" s="5" t="s">
        <v>29</v>
      </c>
      <c r="T70" s="3" t="s">
        <v>271</v>
      </c>
      <c r="U70" s="3" t="s">
        <v>94</v>
      </c>
      <c r="V70" s="21" t="s">
        <v>291</v>
      </c>
    </row>
    <row r="71" spans="1:22" x14ac:dyDescent="0.15">
      <c r="A71" s="15">
        <v>42986</v>
      </c>
      <c r="B71" s="12" t="s">
        <v>14</v>
      </c>
      <c r="C71" s="12" t="s">
        <v>253</v>
      </c>
      <c r="D71" s="3" t="s">
        <v>69</v>
      </c>
      <c r="E71" s="3">
        <v>2</v>
      </c>
      <c r="F71" s="4" t="str">
        <f t="shared" si="20"/>
        <v>B</v>
      </c>
      <c r="G71" s="4" t="str">
        <f t="shared" si="21"/>
        <v>I</v>
      </c>
      <c r="H71" s="62" t="s">
        <v>21</v>
      </c>
      <c r="I71" s="6">
        <f>80*1.3</f>
        <v>104</v>
      </c>
      <c r="J71" s="57">
        <f>36+8/12</f>
        <v>36.666666666666664</v>
      </c>
      <c r="K71" s="4" t="s">
        <v>40</v>
      </c>
      <c r="L71" s="57">
        <f t="shared" ref="L71:L76" si="22">34+9.75/12</f>
        <v>34.8125</v>
      </c>
      <c r="M71" s="57">
        <f>12+8/12</f>
        <v>12.666666666666666</v>
      </c>
      <c r="N71" s="4">
        <f t="shared" ref="N71:O76" si="23">11+8/12</f>
        <v>11.666666666666666</v>
      </c>
      <c r="O71" s="4">
        <f t="shared" si="23"/>
        <v>11.666666666666666</v>
      </c>
      <c r="P71" s="4">
        <f t="shared" ref="P71:P76" si="24">10+2.5/12</f>
        <v>10.208333333333334</v>
      </c>
      <c r="Q71" s="5">
        <v>6315</v>
      </c>
      <c r="R71" s="5">
        <v>6356</v>
      </c>
      <c r="S71" s="5" t="s">
        <v>29</v>
      </c>
      <c r="T71" s="3" t="s">
        <v>265</v>
      </c>
      <c r="U71" s="3" t="s">
        <v>94</v>
      </c>
      <c r="V71" s="21">
        <v>2000</v>
      </c>
    </row>
    <row r="72" spans="1:22" x14ac:dyDescent="0.15">
      <c r="A72" s="15">
        <v>42986</v>
      </c>
      <c r="B72" s="12" t="s">
        <v>14</v>
      </c>
      <c r="C72" s="12" t="s">
        <v>256</v>
      </c>
      <c r="D72" s="3" t="s">
        <v>69</v>
      </c>
      <c r="E72" s="3">
        <v>2</v>
      </c>
      <c r="F72" s="4" t="str">
        <f t="shared" si="20"/>
        <v>B</v>
      </c>
      <c r="G72" s="4" t="str">
        <f t="shared" si="21"/>
        <v>I</v>
      </c>
      <c r="H72" s="62" t="s">
        <v>21</v>
      </c>
      <c r="I72" s="6">
        <f>80*1.3</f>
        <v>104</v>
      </c>
      <c r="J72" s="57">
        <f>36+8/12</f>
        <v>36.666666666666664</v>
      </c>
      <c r="K72" s="4" t="s">
        <v>40</v>
      </c>
      <c r="L72" s="57">
        <f t="shared" si="22"/>
        <v>34.8125</v>
      </c>
      <c r="M72" s="57">
        <f>12+8/12</f>
        <v>12.666666666666666</v>
      </c>
      <c r="N72" s="4">
        <f t="shared" si="23"/>
        <v>11.666666666666666</v>
      </c>
      <c r="O72" s="4">
        <f t="shared" si="23"/>
        <v>11.666666666666666</v>
      </c>
      <c r="P72" s="4">
        <f t="shared" si="24"/>
        <v>10.208333333333334</v>
      </c>
      <c r="Q72" s="5">
        <v>6850</v>
      </c>
      <c r="R72" s="5">
        <f>Q72*1.005</f>
        <v>6884.2499999999991</v>
      </c>
      <c r="S72" s="5" t="s">
        <v>29</v>
      </c>
      <c r="T72" s="3" t="s">
        <v>265</v>
      </c>
      <c r="U72" s="3" t="s">
        <v>94</v>
      </c>
      <c r="V72" s="21">
        <v>2006</v>
      </c>
    </row>
    <row r="73" spans="1:22" x14ac:dyDescent="0.15">
      <c r="A73" s="15">
        <v>42986</v>
      </c>
      <c r="B73" s="12" t="s">
        <v>14</v>
      </c>
      <c r="C73" s="12" t="s">
        <v>252</v>
      </c>
      <c r="D73" s="3" t="s">
        <v>69</v>
      </c>
      <c r="E73" s="3">
        <v>2</v>
      </c>
      <c r="F73" s="4" t="str">
        <f t="shared" si="20"/>
        <v>B</v>
      </c>
      <c r="G73" s="4" t="str">
        <f t="shared" si="21"/>
        <v>I</v>
      </c>
      <c r="H73" s="62" t="s">
        <v>21</v>
      </c>
      <c r="I73" s="6">
        <f>77*1.3</f>
        <v>100.10000000000001</v>
      </c>
      <c r="J73" s="57">
        <f>36+8/12</f>
        <v>36.666666666666664</v>
      </c>
      <c r="K73" s="4" t="s">
        <v>40</v>
      </c>
      <c r="L73" s="57">
        <f t="shared" si="22"/>
        <v>34.8125</v>
      </c>
      <c r="M73" s="57">
        <f>12+8/12</f>
        <v>12.666666666666666</v>
      </c>
      <c r="N73" s="4">
        <f t="shared" si="23"/>
        <v>11.666666666666666</v>
      </c>
      <c r="O73" s="4">
        <f t="shared" si="23"/>
        <v>11.666666666666666</v>
      </c>
      <c r="P73" s="4">
        <f t="shared" si="24"/>
        <v>10.208333333333334</v>
      </c>
      <c r="Q73" s="5">
        <v>6000</v>
      </c>
      <c r="R73" s="5">
        <v>6029</v>
      </c>
      <c r="S73" s="5" t="s">
        <v>29</v>
      </c>
      <c r="T73" s="3" t="s">
        <v>78</v>
      </c>
      <c r="U73" s="3" t="s">
        <v>78</v>
      </c>
      <c r="V73" s="21">
        <v>1976</v>
      </c>
    </row>
    <row r="74" spans="1:22" x14ac:dyDescent="0.15">
      <c r="A74" s="15">
        <v>42992</v>
      </c>
      <c r="B74" s="12" t="s">
        <v>14</v>
      </c>
      <c r="C74" s="12" t="s">
        <v>254</v>
      </c>
      <c r="D74" s="3" t="s">
        <v>69</v>
      </c>
      <c r="E74" s="3">
        <v>2</v>
      </c>
      <c r="F74" s="4" t="str">
        <f t="shared" si="20"/>
        <v>B</v>
      </c>
      <c r="G74" s="4" t="str">
        <f t="shared" si="21"/>
        <v>I</v>
      </c>
      <c r="H74" s="62" t="s">
        <v>21</v>
      </c>
      <c r="I74" s="6">
        <f>74*1.3</f>
        <v>96.2</v>
      </c>
      <c r="J74" s="57">
        <f>34+2/12</f>
        <v>34.166666666666664</v>
      </c>
      <c r="K74" s="4" t="s">
        <v>40</v>
      </c>
      <c r="L74" s="57">
        <f t="shared" si="22"/>
        <v>34.8125</v>
      </c>
      <c r="M74" s="57">
        <f>12+1.5/12</f>
        <v>12.125</v>
      </c>
      <c r="N74" s="4">
        <f t="shared" si="23"/>
        <v>11.666666666666666</v>
      </c>
      <c r="O74" s="4">
        <f t="shared" si="23"/>
        <v>11.666666666666666</v>
      </c>
      <c r="P74" s="4">
        <f t="shared" si="24"/>
        <v>10.208333333333334</v>
      </c>
      <c r="Q74" s="5">
        <v>6000</v>
      </c>
      <c r="R74" s="5">
        <v>6025</v>
      </c>
      <c r="S74" s="5" t="s">
        <v>29</v>
      </c>
      <c r="T74" s="3" t="s">
        <v>78</v>
      </c>
      <c r="U74" s="3" t="s">
        <v>78</v>
      </c>
      <c r="V74" s="21" t="s">
        <v>291</v>
      </c>
    </row>
    <row r="75" spans="1:22" x14ac:dyDescent="0.15">
      <c r="A75" s="15">
        <v>42986</v>
      </c>
      <c r="B75" s="12" t="s">
        <v>14</v>
      </c>
      <c r="C75" s="12" t="s">
        <v>251</v>
      </c>
      <c r="D75" s="3" t="s">
        <v>69</v>
      </c>
      <c r="E75" s="3">
        <v>2</v>
      </c>
      <c r="F75" s="4" t="str">
        <f t="shared" si="20"/>
        <v>B</v>
      </c>
      <c r="G75" s="4" t="str">
        <f t="shared" si="21"/>
        <v>I</v>
      </c>
      <c r="H75" s="62" t="s">
        <v>21</v>
      </c>
      <c r="I75" s="6">
        <f>77*1.3</f>
        <v>100.10000000000001</v>
      </c>
      <c r="J75" s="57">
        <f>36+8/12</f>
        <v>36.666666666666664</v>
      </c>
      <c r="K75" s="4" t="s">
        <v>40</v>
      </c>
      <c r="L75" s="57">
        <f t="shared" si="22"/>
        <v>34.8125</v>
      </c>
      <c r="M75" s="57">
        <f>12+1.5/12</f>
        <v>12.125</v>
      </c>
      <c r="N75" s="4">
        <f t="shared" si="23"/>
        <v>11.666666666666666</v>
      </c>
      <c r="O75" s="4">
        <f t="shared" si="23"/>
        <v>11.666666666666666</v>
      </c>
      <c r="P75" s="4">
        <f t="shared" si="24"/>
        <v>10.208333333333334</v>
      </c>
      <c r="Q75" s="5">
        <v>6000</v>
      </c>
      <c r="R75" s="5">
        <v>6025</v>
      </c>
      <c r="S75" s="5" t="s">
        <v>29</v>
      </c>
      <c r="T75" s="3" t="s">
        <v>78</v>
      </c>
      <c r="U75" s="3" t="s">
        <v>78</v>
      </c>
      <c r="V75" s="21" t="s">
        <v>291</v>
      </c>
    </row>
    <row r="76" spans="1:22" x14ac:dyDescent="0.15">
      <c r="A76" s="15">
        <v>42993</v>
      </c>
      <c r="B76" s="12" t="s">
        <v>14</v>
      </c>
      <c r="C76" s="12" t="s">
        <v>250</v>
      </c>
      <c r="D76" s="3" t="s">
        <v>69</v>
      </c>
      <c r="E76" s="3">
        <v>2</v>
      </c>
      <c r="F76" s="4" t="str">
        <f t="shared" si="20"/>
        <v>B</v>
      </c>
      <c r="G76" s="4" t="str">
        <f t="shared" si="21"/>
        <v>I</v>
      </c>
      <c r="H76" s="62" t="s">
        <v>21</v>
      </c>
      <c r="I76" s="6">
        <f>77*1.3</f>
        <v>100.10000000000001</v>
      </c>
      <c r="J76" s="57">
        <f>36+8/12</f>
        <v>36.666666666666664</v>
      </c>
      <c r="K76" s="4" t="s">
        <v>40</v>
      </c>
      <c r="L76" s="57">
        <f t="shared" si="22"/>
        <v>34.8125</v>
      </c>
      <c r="M76" s="57">
        <f>12+8/12</f>
        <v>12.666666666666666</v>
      </c>
      <c r="N76" s="4">
        <f t="shared" si="23"/>
        <v>11.666666666666666</v>
      </c>
      <c r="O76" s="4">
        <f t="shared" si="23"/>
        <v>11.666666666666666</v>
      </c>
      <c r="P76" s="4">
        <f t="shared" si="24"/>
        <v>10.208333333333334</v>
      </c>
      <c r="Q76" s="5">
        <v>6000</v>
      </c>
      <c r="R76" s="5">
        <v>6025</v>
      </c>
      <c r="S76" s="5" t="s">
        <v>29</v>
      </c>
      <c r="T76" s="3" t="s">
        <v>78</v>
      </c>
      <c r="U76" s="3" t="s">
        <v>78</v>
      </c>
      <c r="V76" s="21" t="s">
        <v>291</v>
      </c>
    </row>
    <row r="77" spans="1:22" x14ac:dyDescent="0.15">
      <c r="A77" s="15">
        <v>42993</v>
      </c>
      <c r="B77" s="12" t="s">
        <v>259</v>
      </c>
      <c r="C77" s="12" t="s">
        <v>260</v>
      </c>
      <c r="D77" s="3" t="s">
        <v>69</v>
      </c>
      <c r="E77" s="3">
        <v>1</v>
      </c>
      <c r="F77" s="4" t="str">
        <f t="shared" si="20"/>
        <v>A</v>
      </c>
      <c r="G77" s="4" t="str">
        <f t="shared" si="21"/>
        <v>II</v>
      </c>
      <c r="H77" s="28" t="s">
        <v>20</v>
      </c>
      <c r="I77" s="6">
        <f>26*1.3</f>
        <v>33.800000000000004</v>
      </c>
      <c r="J77" s="57">
        <f>59+7.75/12</f>
        <v>59.645833333333336</v>
      </c>
      <c r="K77" s="7" t="s">
        <v>40</v>
      </c>
      <c r="L77" s="57">
        <f>40+8.25/12</f>
        <v>40.6875</v>
      </c>
      <c r="M77" s="57">
        <f>13+2/12</f>
        <v>13.166666666666666</v>
      </c>
      <c r="N77" s="4">
        <f>27+1/12</f>
        <v>27.083333333333332</v>
      </c>
      <c r="O77" s="4">
        <f>27+1/12</f>
        <v>27.083333333333332</v>
      </c>
      <c r="P77" s="4">
        <f>11+0.25/12</f>
        <v>11.020833333333334</v>
      </c>
      <c r="Q77" s="5">
        <v>12125</v>
      </c>
      <c r="R77" s="5">
        <v>12125</v>
      </c>
      <c r="S77" s="7" t="s">
        <v>29</v>
      </c>
      <c r="T77" s="3" t="s">
        <v>15</v>
      </c>
      <c r="U77" s="3" t="s">
        <v>78</v>
      </c>
      <c r="V77" s="21">
        <v>1999</v>
      </c>
    </row>
    <row r="78" spans="1:22" x14ac:dyDescent="0.15">
      <c r="A78" s="15">
        <v>42993</v>
      </c>
      <c r="B78" s="12" t="s">
        <v>259</v>
      </c>
      <c r="C78" s="12" t="s">
        <v>261</v>
      </c>
      <c r="D78" s="3" t="s">
        <v>69</v>
      </c>
      <c r="E78" s="3">
        <v>1</v>
      </c>
      <c r="F78" s="4" t="str">
        <f t="shared" si="20"/>
        <v>A</v>
      </c>
      <c r="G78" s="4" t="str">
        <f t="shared" si="21"/>
        <v>II</v>
      </c>
      <c r="H78" s="28" t="s">
        <v>20</v>
      </c>
      <c r="I78" s="6">
        <f>59*1.3</f>
        <v>76.7</v>
      </c>
      <c r="J78" s="57">
        <f>58+0.75/12</f>
        <v>58.0625</v>
      </c>
      <c r="K78" s="7" t="s">
        <v>40</v>
      </c>
      <c r="L78" s="57">
        <f>31+1/12</f>
        <v>31.083333333333332</v>
      </c>
      <c r="M78" s="57">
        <f>12+1.75/12</f>
        <v>12.145833333333334</v>
      </c>
      <c r="N78" s="4">
        <f>20+6/12</f>
        <v>20.5</v>
      </c>
      <c r="O78" s="4">
        <f>20+6/12</f>
        <v>20.5</v>
      </c>
      <c r="P78" s="4">
        <f>11+5/12</f>
        <v>11.416666666666666</v>
      </c>
      <c r="Q78" s="5">
        <v>11684</v>
      </c>
      <c r="R78" s="5">
        <v>11684</v>
      </c>
      <c r="S78" s="5" t="s">
        <v>29</v>
      </c>
      <c r="T78" s="3" t="s">
        <v>258</v>
      </c>
      <c r="U78" s="3" t="s">
        <v>78</v>
      </c>
      <c r="V78" s="21">
        <v>1998</v>
      </c>
    </row>
    <row r="79" spans="1:22" x14ac:dyDescent="0.15">
      <c r="A79" s="15">
        <v>42993</v>
      </c>
      <c r="B79" s="12" t="s">
        <v>259</v>
      </c>
      <c r="C79" s="12" t="s">
        <v>263</v>
      </c>
      <c r="D79" s="3" t="s">
        <v>69</v>
      </c>
      <c r="E79" s="3">
        <v>2</v>
      </c>
      <c r="F79" s="4" t="str">
        <f t="shared" si="20"/>
        <v>A</v>
      </c>
      <c r="G79" s="4" t="str">
        <f t="shared" si="21"/>
        <v>I</v>
      </c>
      <c r="H79" s="28" t="s">
        <v>21</v>
      </c>
      <c r="I79" s="6">
        <f>61*1.3</f>
        <v>79.3</v>
      </c>
      <c r="J79" s="57">
        <f>38+11/12</f>
        <v>38.916666666666664</v>
      </c>
      <c r="K79" s="7" t="s">
        <v>40</v>
      </c>
      <c r="L79" s="57">
        <f>28+7.25/12</f>
        <v>28.604166666666668</v>
      </c>
      <c r="M79" s="57">
        <f>9+1/12</f>
        <v>9.0833333333333339</v>
      </c>
      <c r="N79" s="4">
        <v>7</v>
      </c>
      <c r="O79" s="4">
        <v>7</v>
      </c>
      <c r="P79" s="4">
        <f>11+0.75/12</f>
        <v>11.0625</v>
      </c>
      <c r="Q79" s="5">
        <v>4563</v>
      </c>
      <c r="R79" s="5">
        <v>4563</v>
      </c>
      <c r="S79" s="5" t="s">
        <v>29</v>
      </c>
      <c r="T79" s="3" t="s">
        <v>78</v>
      </c>
      <c r="U79" s="3" t="s">
        <v>78</v>
      </c>
      <c r="V79" s="21">
        <v>1997</v>
      </c>
    </row>
    <row r="80" spans="1:22" x14ac:dyDescent="0.15">
      <c r="A80" s="15">
        <v>42993</v>
      </c>
      <c r="B80" s="12" t="s">
        <v>259</v>
      </c>
      <c r="C80" s="12" t="s">
        <v>262</v>
      </c>
      <c r="D80" s="3" t="s">
        <v>43</v>
      </c>
      <c r="E80" s="3">
        <v>2</v>
      </c>
      <c r="F80" s="4" t="str">
        <f t="shared" si="20"/>
        <v>A</v>
      </c>
      <c r="G80" s="4" t="str">
        <f t="shared" si="21"/>
        <v>II</v>
      </c>
      <c r="H80" s="28" t="s">
        <v>21</v>
      </c>
      <c r="I80" s="6">
        <v>70</v>
      </c>
      <c r="J80" s="57">
        <f>72+4.5/12</f>
        <v>72.375</v>
      </c>
      <c r="K80" s="7" t="s">
        <v>40</v>
      </c>
      <c r="L80" s="57">
        <f>42+11.75/12</f>
        <v>42.979166666666664</v>
      </c>
      <c r="M80" s="57">
        <f>16+1/12</f>
        <v>16.083333333333332</v>
      </c>
      <c r="N80" s="4">
        <f>14+5.25/12</f>
        <v>14.4375</v>
      </c>
      <c r="O80" s="4">
        <f>14+5.25/12</f>
        <v>14.4375</v>
      </c>
      <c r="P80" s="4">
        <f>11+2/12</f>
        <v>11.166666666666666</v>
      </c>
      <c r="Q80" s="5">
        <v>15432</v>
      </c>
      <c r="R80" s="5">
        <v>16534</v>
      </c>
      <c r="S80" s="5" t="s">
        <v>29</v>
      </c>
      <c r="T80" s="3" t="s">
        <v>78</v>
      </c>
      <c r="U80" s="3" t="s">
        <v>78</v>
      </c>
      <c r="V80" s="21">
        <v>1992</v>
      </c>
    </row>
    <row r="81" spans="1:22" x14ac:dyDescent="0.15">
      <c r="A81" s="15">
        <v>43033</v>
      </c>
      <c r="B81" s="12" t="s">
        <v>36</v>
      </c>
      <c r="C81" s="26" t="s">
        <v>77</v>
      </c>
      <c r="D81" s="3" t="s">
        <v>43</v>
      </c>
      <c r="E81" s="3">
        <v>2</v>
      </c>
      <c r="F81" s="4" t="str">
        <f>IF($I81&lt;=0,"No Value",IF($I81&lt;91,"A",IF(AND($I81&gt;=91,$I81&lt;121),"B",IF(AND($I81&gt;=121,$I81&lt;141),"C",IF(AND($I81&gt;=141,$I81&lt;166),"D","E")))))</f>
        <v>B</v>
      </c>
      <c r="G81" s="4" t="str">
        <f>IF($J81&lt;=0,"No Value",IF($J81&lt;49,"I",IF(AND($J81&gt;=49,$J81&lt;79),"II",IF(AND($J81&gt;=79,$J81&lt;118),"III",IF(AND($J81&gt;=118,$J81&lt;171),"IV",IF(AND($J81&gt;=171,$J81&lt;214),"V",IF(AND($J81&gt;=214,$J81&lt;262),"VI","Greater than 262' WS")))))))</f>
        <v>III</v>
      </c>
      <c r="H81" s="61" t="s">
        <v>21</v>
      </c>
      <c r="I81" s="6">
        <v>120</v>
      </c>
      <c r="J81" s="57">
        <f>81+3/12</f>
        <v>81.25</v>
      </c>
      <c r="K81" s="4" t="s">
        <v>40</v>
      </c>
      <c r="L81" s="57">
        <f>89+6/12</f>
        <v>89.5</v>
      </c>
      <c r="M81" s="57">
        <f>25+4/12</f>
        <v>25.333333333333332</v>
      </c>
      <c r="N81" s="4">
        <f t="shared" ref="N81:O82" si="25">14+5.25/12</f>
        <v>14.4375</v>
      </c>
      <c r="O81" s="4">
        <f t="shared" si="25"/>
        <v>14.4375</v>
      </c>
      <c r="P81" s="4">
        <f t="shared" ref="P81:P82" si="26">11+2/12</f>
        <v>11.166666666666666</v>
      </c>
      <c r="Q81" s="5">
        <v>50265</v>
      </c>
      <c r="R81" s="5">
        <v>16534</v>
      </c>
      <c r="S81" s="5" t="s">
        <v>16</v>
      </c>
      <c r="T81" s="3" t="s">
        <v>39</v>
      </c>
      <c r="U81" s="3" t="s">
        <v>26</v>
      </c>
      <c r="V81" s="20">
        <v>2014</v>
      </c>
    </row>
    <row r="82" spans="1:22" x14ac:dyDescent="0.15">
      <c r="A82" s="15">
        <v>43033</v>
      </c>
      <c r="B82" s="12" t="s">
        <v>36</v>
      </c>
      <c r="C82" s="12" t="s">
        <v>38</v>
      </c>
      <c r="D82" s="3" t="s">
        <v>43</v>
      </c>
      <c r="E82" s="3">
        <v>2</v>
      </c>
      <c r="F82" s="4" t="str">
        <f>IF($I82&lt;=0,"No Value",IF($I82&lt;91,"A",IF(AND($I82&gt;=91,$I82&lt;121),"B",IF(AND($I82&gt;=121,$I82&lt;141),"C",IF(AND($I82&gt;=141,$I82&lt;166),"D","E")))))</f>
        <v>B</v>
      </c>
      <c r="G82" s="4" t="str">
        <f>IF($J82&lt;=0,"No Value",IF($J82&lt;49,"I",IF(AND($J82&gt;=49,$J82&lt;79),"II",IF(AND($J82&gt;=79,$J82&lt;118),"III",IF(AND($J82&gt;=118,$J82&lt;171),"IV",IF(AND($J82&gt;=171,$J82&lt;214),"V",IF(AND($J82&gt;=214,$J82&lt;262),"VI","Greater than 262' WS")))))))</f>
        <v>II</v>
      </c>
      <c r="H82" s="61" t="s">
        <v>21</v>
      </c>
      <c r="I82" s="6">
        <f>1.3*88</f>
        <v>114.4</v>
      </c>
      <c r="J82" s="57">
        <f>70+4/12</f>
        <v>70.333333333333329</v>
      </c>
      <c r="K82" s="4" t="s">
        <v>40</v>
      </c>
      <c r="L82" s="57">
        <f>64+9/12</f>
        <v>64.75</v>
      </c>
      <c r="M82" s="57">
        <f>22+11/12</f>
        <v>22.916666666666668</v>
      </c>
      <c r="N82" s="4">
        <f t="shared" si="25"/>
        <v>14.4375</v>
      </c>
      <c r="O82" s="4">
        <f t="shared" si="25"/>
        <v>14.4375</v>
      </c>
      <c r="P82" s="4">
        <f t="shared" si="26"/>
        <v>11.166666666666666</v>
      </c>
      <c r="Q82" s="5">
        <v>29000</v>
      </c>
      <c r="R82" s="5">
        <v>16534</v>
      </c>
      <c r="S82" s="5" t="s">
        <v>16</v>
      </c>
      <c r="T82" s="3" t="s">
        <v>37</v>
      </c>
      <c r="U82" s="3" t="s">
        <v>26</v>
      </c>
      <c r="V82" s="20">
        <v>2016</v>
      </c>
    </row>
  </sheetData>
  <sortState ref="A2:XDR19">
    <sortCondition ref="B2:B19"/>
    <sortCondition ref="C2:C1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9:F21"/>
  <sheetViews>
    <sheetView workbookViewId="0">
      <selection activeCell="E16" sqref="E16:K33"/>
    </sheetView>
  </sheetViews>
  <sheetFormatPr baseColWidth="10" defaultColWidth="8.83203125" defaultRowHeight="13" x14ac:dyDescent="0.15"/>
  <cols>
    <col min="6" max="6" width="11.5" customWidth="1"/>
  </cols>
  <sheetData>
    <row r="19" spans="5:6" x14ac:dyDescent="0.15">
      <c r="E19" s="46"/>
      <c r="F19" s="46"/>
    </row>
    <row r="20" spans="5:6" x14ac:dyDescent="0.15">
      <c r="E20" s="46"/>
      <c r="F20" s="46"/>
    </row>
    <row r="21" spans="5:6" x14ac:dyDescent="0.15">
      <c r="E21" s="46"/>
      <c r="F21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4"/>
  <sheetViews>
    <sheetView workbookViewId="0">
      <selection activeCell="A69" sqref="A69:XFD69"/>
    </sheetView>
  </sheetViews>
  <sheetFormatPr baseColWidth="10" defaultColWidth="8.83203125" defaultRowHeight="15" customHeight="1" x14ac:dyDescent="0.15"/>
  <cols>
    <col min="2" max="2" width="25" bestFit="1" customWidth="1"/>
    <col min="3" max="3" width="10" bestFit="1" customWidth="1"/>
    <col min="4" max="4" width="39.5" bestFit="1" customWidth="1"/>
    <col min="5" max="5" width="86.83203125" bestFit="1" customWidth="1"/>
  </cols>
  <sheetData>
    <row r="1" spans="2:5" ht="15" customHeight="1" thickBot="1" x14ac:dyDescent="0.2"/>
    <row r="2" spans="2:5" ht="15" customHeight="1" thickBot="1" x14ac:dyDescent="0.2">
      <c r="B2" s="29" t="s">
        <v>109</v>
      </c>
      <c r="C2" s="29" t="s">
        <v>110</v>
      </c>
      <c r="D2" s="29" t="s">
        <v>111</v>
      </c>
      <c r="E2" s="29" t="s">
        <v>112</v>
      </c>
    </row>
    <row r="3" spans="2:5" ht="15" customHeight="1" thickBot="1" x14ac:dyDescent="0.2">
      <c r="B3" s="30" t="s">
        <v>239</v>
      </c>
      <c r="C3" s="31">
        <v>1936</v>
      </c>
      <c r="D3" s="31">
        <v>1207</v>
      </c>
      <c r="E3" s="32" t="s">
        <v>211</v>
      </c>
    </row>
    <row r="4" spans="2:5" ht="15" customHeight="1" thickBot="1" x14ac:dyDescent="0.2">
      <c r="B4" s="30" t="s">
        <v>238</v>
      </c>
      <c r="C4" s="31">
        <v>1938</v>
      </c>
      <c r="D4" s="40">
        <v>19888</v>
      </c>
      <c r="E4" s="32" t="s">
        <v>211</v>
      </c>
    </row>
    <row r="5" spans="2:5" ht="15" customHeight="1" thickBot="1" x14ac:dyDescent="0.2">
      <c r="B5" s="32" t="s">
        <v>229</v>
      </c>
      <c r="C5" s="31">
        <v>1939</v>
      </c>
      <c r="D5" s="31">
        <v>1</v>
      </c>
      <c r="E5" s="32" t="s">
        <v>230</v>
      </c>
    </row>
    <row r="6" spans="2:5" ht="15" customHeight="1" x14ac:dyDescent="0.15">
      <c r="B6" s="33" t="s">
        <v>237</v>
      </c>
      <c r="C6" s="34">
        <v>1939</v>
      </c>
      <c r="D6" s="34">
        <v>1251</v>
      </c>
      <c r="E6" s="36" t="s">
        <v>211</v>
      </c>
    </row>
    <row r="7" spans="2:5" ht="15" customHeight="1" thickBot="1" x14ac:dyDescent="0.2">
      <c r="B7" s="39" t="s">
        <v>232</v>
      </c>
      <c r="C7" s="37">
        <v>1940</v>
      </c>
      <c r="D7" s="37">
        <v>1</v>
      </c>
      <c r="E7" s="35" t="s">
        <v>233</v>
      </c>
    </row>
    <row r="8" spans="2:5" ht="15" customHeight="1" thickBot="1" x14ac:dyDescent="0.2">
      <c r="B8" s="30" t="s">
        <v>236</v>
      </c>
      <c r="C8" s="31">
        <v>1940</v>
      </c>
      <c r="D8" s="31">
        <v>1507</v>
      </c>
      <c r="E8" s="32" t="s">
        <v>211</v>
      </c>
    </row>
    <row r="9" spans="2:5" ht="15" customHeight="1" thickBot="1" x14ac:dyDescent="0.2">
      <c r="B9" s="32" t="s">
        <v>228</v>
      </c>
      <c r="C9" s="31">
        <v>1941</v>
      </c>
      <c r="D9" s="31">
        <v>1</v>
      </c>
      <c r="E9" s="32" t="s">
        <v>211</v>
      </c>
    </row>
    <row r="10" spans="2:5" ht="15" customHeight="1" thickBot="1" x14ac:dyDescent="0.2">
      <c r="B10" s="32" t="s">
        <v>231</v>
      </c>
      <c r="C10" s="31">
        <v>1941</v>
      </c>
      <c r="D10" s="31">
        <v>1</v>
      </c>
      <c r="E10" s="32" t="s">
        <v>211</v>
      </c>
    </row>
    <row r="11" spans="2:5" ht="15" customHeight="1" thickBot="1" x14ac:dyDescent="0.2">
      <c r="B11" s="30" t="s">
        <v>117</v>
      </c>
      <c r="C11" s="31">
        <v>1942</v>
      </c>
      <c r="D11" s="31">
        <v>1</v>
      </c>
      <c r="E11" s="32" t="s">
        <v>118</v>
      </c>
    </row>
    <row r="12" spans="2:5" ht="15" customHeight="1" thickBot="1" x14ac:dyDescent="0.2">
      <c r="B12" s="30" t="s">
        <v>115</v>
      </c>
      <c r="C12" s="31">
        <v>1943</v>
      </c>
      <c r="D12" s="31">
        <v>1</v>
      </c>
      <c r="E12" s="32" t="s">
        <v>116</v>
      </c>
    </row>
    <row r="13" spans="2:5" ht="15" customHeight="1" thickBot="1" x14ac:dyDescent="0.2">
      <c r="B13" s="30" t="s">
        <v>113</v>
      </c>
      <c r="C13" s="31">
        <v>1944</v>
      </c>
      <c r="D13" s="31">
        <v>1</v>
      </c>
      <c r="E13" s="32" t="s">
        <v>114</v>
      </c>
    </row>
    <row r="14" spans="2:5" ht="15" customHeight="1" thickBot="1" x14ac:dyDescent="0.2">
      <c r="B14" s="30" t="s">
        <v>131</v>
      </c>
      <c r="C14" s="31">
        <v>1944</v>
      </c>
      <c r="D14" s="31">
        <v>1</v>
      </c>
      <c r="E14" s="32" t="s">
        <v>132</v>
      </c>
    </row>
    <row r="15" spans="2:5" ht="15" customHeight="1" x14ac:dyDescent="0.15">
      <c r="B15" s="36" t="s">
        <v>226</v>
      </c>
      <c r="C15" s="34">
        <v>1944</v>
      </c>
      <c r="D15" s="34">
        <v>1</v>
      </c>
      <c r="E15" s="36" t="s">
        <v>227</v>
      </c>
    </row>
    <row r="16" spans="2:5" ht="15" customHeight="1" thickBot="1" x14ac:dyDescent="0.2">
      <c r="B16" s="35" t="s">
        <v>130</v>
      </c>
      <c r="C16" s="37">
        <v>1945</v>
      </c>
      <c r="D16" s="37">
        <v>2</v>
      </c>
      <c r="E16" s="39" t="s">
        <v>114</v>
      </c>
    </row>
    <row r="17" spans="2:5" ht="15" customHeight="1" thickBot="1" x14ac:dyDescent="0.2">
      <c r="B17" s="30" t="s">
        <v>134</v>
      </c>
      <c r="C17" s="31">
        <v>1945</v>
      </c>
      <c r="D17" s="31">
        <v>2</v>
      </c>
      <c r="E17" s="32" t="s">
        <v>135</v>
      </c>
    </row>
    <row r="18" spans="2:5" ht="15" customHeight="1" thickBot="1" x14ac:dyDescent="0.2">
      <c r="B18" s="30" t="s">
        <v>234</v>
      </c>
      <c r="C18" s="31">
        <v>1945</v>
      </c>
      <c r="D18" s="31">
        <v>35</v>
      </c>
      <c r="E18" s="32" t="s">
        <v>235</v>
      </c>
    </row>
    <row r="19" spans="2:5" ht="15" customHeight="1" thickBot="1" x14ac:dyDescent="0.2">
      <c r="B19" s="30" t="s">
        <v>222</v>
      </c>
      <c r="C19" s="31">
        <v>1946</v>
      </c>
      <c r="D19" s="31">
        <v>3760</v>
      </c>
      <c r="E19" s="32" t="s">
        <v>211</v>
      </c>
    </row>
    <row r="20" spans="2:5" ht="15" customHeight="1" thickBot="1" x14ac:dyDescent="0.2">
      <c r="B20" s="30" t="s">
        <v>223</v>
      </c>
      <c r="C20" s="31">
        <v>1947</v>
      </c>
      <c r="D20" s="31">
        <v>1541</v>
      </c>
      <c r="E20" s="32" t="s">
        <v>211</v>
      </c>
    </row>
    <row r="21" spans="2:5" ht="15" customHeight="1" thickBot="1" x14ac:dyDescent="0.2">
      <c r="B21" s="30" t="s">
        <v>212</v>
      </c>
      <c r="C21" s="31">
        <v>1948</v>
      </c>
      <c r="D21" s="31">
        <v>214</v>
      </c>
      <c r="E21" s="32" t="s">
        <v>213</v>
      </c>
    </row>
    <row r="22" spans="2:5" ht="15" customHeight="1" thickBot="1" x14ac:dyDescent="0.2">
      <c r="B22" s="30" t="s">
        <v>216</v>
      </c>
      <c r="C22" s="31">
        <v>1948</v>
      </c>
      <c r="D22" s="31">
        <v>387</v>
      </c>
      <c r="E22" s="32" t="s">
        <v>217</v>
      </c>
    </row>
    <row r="23" spans="2:5" ht="15" customHeight="1" thickBot="1" x14ac:dyDescent="0.2">
      <c r="B23" s="30" t="s">
        <v>218</v>
      </c>
      <c r="C23" s="31">
        <v>1948</v>
      </c>
      <c r="D23" s="31">
        <v>238</v>
      </c>
      <c r="E23" s="32" t="s">
        <v>211</v>
      </c>
    </row>
    <row r="24" spans="2:5" ht="15" customHeight="1" thickBot="1" x14ac:dyDescent="0.2">
      <c r="B24" s="30" t="s">
        <v>209</v>
      </c>
      <c r="C24" s="31">
        <v>1949</v>
      </c>
      <c r="D24" s="31">
        <v>3</v>
      </c>
      <c r="E24" s="32" t="s">
        <v>245</v>
      </c>
    </row>
    <row r="25" spans="2:5" ht="15" customHeight="1" x14ac:dyDescent="0.15">
      <c r="B25" s="33" t="s">
        <v>214</v>
      </c>
      <c r="C25" s="34">
        <v>1949</v>
      </c>
      <c r="D25" s="34">
        <v>736</v>
      </c>
      <c r="E25" s="36" t="s">
        <v>215</v>
      </c>
    </row>
    <row r="26" spans="2:5" ht="15" customHeight="1" thickBot="1" x14ac:dyDescent="0.2">
      <c r="B26" s="35" t="s">
        <v>207</v>
      </c>
      <c r="C26" s="37">
        <v>1950</v>
      </c>
      <c r="D26" s="37">
        <v>1120</v>
      </c>
      <c r="E26" s="39" t="s">
        <v>208</v>
      </c>
    </row>
    <row r="27" spans="2:5" ht="15" customHeight="1" thickBot="1" x14ac:dyDescent="0.2">
      <c r="B27" s="30" t="s">
        <v>210</v>
      </c>
      <c r="C27" s="31">
        <v>1950</v>
      </c>
      <c r="D27" s="40">
        <v>10222</v>
      </c>
      <c r="E27" s="32" t="s">
        <v>211</v>
      </c>
    </row>
    <row r="28" spans="2:5" ht="15" customHeight="1" thickBot="1" x14ac:dyDescent="0.2">
      <c r="B28" s="30" t="s">
        <v>203</v>
      </c>
      <c r="C28" s="31">
        <v>1951</v>
      </c>
      <c r="D28" s="31">
        <v>9490</v>
      </c>
      <c r="E28" s="32" t="s">
        <v>204</v>
      </c>
    </row>
    <row r="29" spans="2:5" ht="15" customHeight="1" thickBot="1" x14ac:dyDescent="0.2">
      <c r="B29" s="30" t="s">
        <v>201</v>
      </c>
      <c r="C29" s="31">
        <v>1954</v>
      </c>
      <c r="D29" s="31">
        <v>2047</v>
      </c>
      <c r="E29" s="32" t="s">
        <v>202</v>
      </c>
    </row>
    <row r="30" spans="2:5" ht="15" customHeight="1" thickBot="1" x14ac:dyDescent="0.2">
      <c r="B30" s="30" t="s">
        <v>199</v>
      </c>
      <c r="C30" s="31">
        <v>1958</v>
      </c>
      <c r="D30" s="31">
        <v>4717</v>
      </c>
      <c r="E30" s="32" t="s">
        <v>200</v>
      </c>
    </row>
    <row r="31" spans="2:5" ht="15" customHeight="1" thickBot="1" x14ac:dyDescent="0.2">
      <c r="B31" s="30" t="s">
        <v>197</v>
      </c>
      <c r="C31" s="31">
        <v>1959</v>
      </c>
      <c r="D31" s="31">
        <v>5167</v>
      </c>
      <c r="E31" s="32" t="s">
        <v>158</v>
      </c>
    </row>
    <row r="32" spans="2:5" ht="15" customHeight="1" thickBot="1" x14ac:dyDescent="0.2">
      <c r="B32" s="30" t="s">
        <v>193</v>
      </c>
      <c r="C32" s="31">
        <v>1960</v>
      </c>
      <c r="D32" s="31">
        <v>4929</v>
      </c>
      <c r="E32" s="32" t="s">
        <v>194</v>
      </c>
    </row>
    <row r="33" spans="2:5" ht="15" customHeight="1" thickBot="1" x14ac:dyDescent="0.2">
      <c r="B33" s="30" t="s">
        <v>191</v>
      </c>
      <c r="C33" s="31">
        <v>1961</v>
      </c>
      <c r="D33" s="40">
        <v>10896</v>
      </c>
      <c r="E33" s="32" t="s">
        <v>192</v>
      </c>
    </row>
    <row r="34" spans="2:5" ht="15" customHeight="1" thickBot="1" x14ac:dyDescent="0.2">
      <c r="B34" s="30" t="s">
        <v>179</v>
      </c>
      <c r="C34" s="31">
        <v>1962</v>
      </c>
      <c r="D34" s="31">
        <v>1</v>
      </c>
      <c r="E34" s="32" t="s">
        <v>180</v>
      </c>
    </row>
    <row r="35" spans="2:5" ht="15" customHeight="1" thickBot="1" x14ac:dyDescent="0.2">
      <c r="B35" s="30" t="s">
        <v>177</v>
      </c>
      <c r="C35" s="31">
        <v>1963</v>
      </c>
      <c r="D35" s="31">
        <v>2001</v>
      </c>
      <c r="E35" s="32" t="s">
        <v>178</v>
      </c>
    </row>
    <row r="36" spans="2:5" ht="15" customHeight="1" thickBot="1" x14ac:dyDescent="0.2">
      <c r="B36" s="30" t="s">
        <v>185</v>
      </c>
      <c r="C36" s="31">
        <v>1964</v>
      </c>
      <c r="D36" s="31">
        <v>2913</v>
      </c>
      <c r="E36" s="32" t="s">
        <v>186</v>
      </c>
    </row>
    <row r="37" spans="2:5" ht="15" customHeight="1" x14ac:dyDescent="0.15">
      <c r="B37" s="33" t="s">
        <v>187</v>
      </c>
      <c r="C37" s="34">
        <v>1964</v>
      </c>
      <c r="D37" s="41">
        <v>10089</v>
      </c>
      <c r="E37" s="36" t="s">
        <v>188</v>
      </c>
    </row>
    <row r="38" spans="2:5" ht="15" customHeight="1" thickBot="1" x14ac:dyDescent="0.2">
      <c r="B38" s="35" t="s">
        <v>70</v>
      </c>
      <c r="C38" s="37">
        <v>1964</v>
      </c>
      <c r="D38" s="37">
        <v>148</v>
      </c>
      <c r="E38" s="39" t="s">
        <v>198</v>
      </c>
    </row>
    <row r="39" spans="2:5" ht="15" customHeight="1" thickBot="1" x14ac:dyDescent="0.2">
      <c r="B39" s="30" t="s">
        <v>163</v>
      </c>
      <c r="C39" s="31">
        <v>1966</v>
      </c>
      <c r="D39" s="31">
        <v>1</v>
      </c>
      <c r="E39" s="32" t="s">
        <v>164</v>
      </c>
    </row>
    <row r="40" spans="2:5" ht="15" customHeight="1" thickBot="1" x14ac:dyDescent="0.2">
      <c r="B40" s="30" t="s">
        <v>167</v>
      </c>
      <c r="C40" s="31">
        <v>1966</v>
      </c>
      <c r="D40" s="31">
        <v>4373</v>
      </c>
      <c r="E40" s="32" t="s">
        <v>168</v>
      </c>
    </row>
    <row r="41" spans="2:5" ht="15" customHeight="1" thickBot="1" x14ac:dyDescent="0.2">
      <c r="B41" s="30" t="s">
        <v>133</v>
      </c>
      <c r="C41" s="31">
        <v>1967</v>
      </c>
      <c r="D41" s="31">
        <v>1010</v>
      </c>
      <c r="E41" s="32" t="s">
        <v>241</v>
      </c>
    </row>
    <row r="42" spans="2:5" ht="15" customHeight="1" thickBot="1" x14ac:dyDescent="0.2">
      <c r="B42" s="30" t="s">
        <v>72</v>
      </c>
      <c r="C42" s="31">
        <v>1967</v>
      </c>
      <c r="D42" s="31">
        <v>1785</v>
      </c>
      <c r="E42" s="32" t="s">
        <v>176</v>
      </c>
    </row>
    <row r="43" spans="2:5" ht="15" customHeight="1" thickBot="1" x14ac:dyDescent="0.2">
      <c r="B43" s="30" t="s">
        <v>183</v>
      </c>
      <c r="C43" s="31">
        <v>1967</v>
      </c>
      <c r="D43" s="31">
        <v>6694</v>
      </c>
      <c r="E43" s="32" t="s">
        <v>184</v>
      </c>
    </row>
    <row r="44" spans="2:5" ht="15" customHeight="1" thickBot="1" x14ac:dyDescent="0.2">
      <c r="B44" s="33" t="s">
        <v>159</v>
      </c>
      <c r="C44" s="34">
        <v>1968</v>
      </c>
      <c r="D44" s="37">
        <v>1</v>
      </c>
      <c r="E44" s="36" t="s">
        <v>160</v>
      </c>
    </row>
    <row r="45" spans="2:5" ht="15" customHeight="1" thickBot="1" x14ac:dyDescent="0.2">
      <c r="B45" s="35" t="s">
        <v>74</v>
      </c>
      <c r="C45" s="37">
        <v>1970</v>
      </c>
      <c r="D45" s="37">
        <v>155</v>
      </c>
      <c r="E45" s="35" t="s">
        <v>152</v>
      </c>
    </row>
    <row r="46" spans="2:5" ht="15" customHeight="1" thickBot="1" x14ac:dyDescent="0.2">
      <c r="B46" s="30" t="s">
        <v>172</v>
      </c>
      <c r="C46" s="31">
        <v>1970</v>
      </c>
      <c r="D46" s="31">
        <v>309</v>
      </c>
      <c r="E46" s="32" t="s">
        <v>173</v>
      </c>
    </row>
    <row r="47" spans="2:5" ht="15" customHeight="1" thickBot="1" x14ac:dyDescent="0.2">
      <c r="B47" s="30" t="s">
        <v>136</v>
      </c>
      <c r="C47" s="31">
        <v>1971</v>
      </c>
      <c r="D47" s="31">
        <v>4</v>
      </c>
      <c r="E47" s="32" t="s">
        <v>137</v>
      </c>
    </row>
    <row r="48" spans="2:5" ht="15" customHeight="1" thickBot="1" x14ac:dyDescent="0.2">
      <c r="B48" s="30" t="s">
        <v>73</v>
      </c>
      <c r="C48" s="31">
        <v>1972</v>
      </c>
      <c r="D48" s="31" t="s">
        <v>161</v>
      </c>
      <c r="E48" s="32" t="s">
        <v>162</v>
      </c>
    </row>
    <row r="49" spans="2:5" ht="15" customHeight="1" thickBot="1" x14ac:dyDescent="0.2">
      <c r="B49" s="30" t="s">
        <v>150</v>
      </c>
      <c r="C49" s="31">
        <v>1973</v>
      </c>
      <c r="D49" s="31" t="s">
        <v>242</v>
      </c>
      <c r="E49" s="32" t="s">
        <v>151</v>
      </c>
    </row>
    <row r="50" spans="2:5" ht="15" customHeight="1" thickBot="1" x14ac:dyDescent="0.2">
      <c r="B50" s="30" t="s">
        <v>157</v>
      </c>
      <c r="C50" s="31">
        <v>1973</v>
      </c>
      <c r="D50" s="31">
        <v>938</v>
      </c>
      <c r="E50" s="32" t="s">
        <v>158</v>
      </c>
    </row>
    <row r="51" spans="2:5" ht="15" customHeight="1" thickBot="1" x14ac:dyDescent="0.2">
      <c r="B51" s="30" t="s">
        <v>174</v>
      </c>
      <c r="C51" s="31">
        <v>1973</v>
      </c>
      <c r="D51" s="31">
        <v>1825</v>
      </c>
      <c r="E51" s="32" t="s">
        <v>175</v>
      </c>
    </row>
    <row r="52" spans="2:5" ht="15" customHeight="1" thickBot="1" x14ac:dyDescent="0.2">
      <c r="B52" s="32" t="s">
        <v>148</v>
      </c>
      <c r="C52" s="31">
        <v>1974</v>
      </c>
      <c r="D52" s="31">
        <v>1</v>
      </c>
      <c r="E52" s="32" t="s">
        <v>149</v>
      </c>
    </row>
    <row r="53" spans="2:5" ht="15" customHeight="1" thickBot="1" x14ac:dyDescent="0.2">
      <c r="B53" s="30" t="s">
        <v>169</v>
      </c>
      <c r="C53" s="31">
        <v>1974</v>
      </c>
      <c r="D53" s="31">
        <v>847</v>
      </c>
      <c r="E53" s="32" t="s">
        <v>170</v>
      </c>
    </row>
    <row r="54" spans="2:5" ht="15" customHeight="1" thickBot="1" x14ac:dyDescent="0.2">
      <c r="B54" s="30" t="s">
        <v>189</v>
      </c>
      <c r="C54" s="31">
        <v>1974</v>
      </c>
      <c r="D54" s="31">
        <v>4842</v>
      </c>
      <c r="E54" s="32" t="s">
        <v>190</v>
      </c>
    </row>
    <row r="55" spans="2:5" ht="15" customHeight="1" thickBot="1" x14ac:dyDescent="0.2">
      <c r="B55" s="30" t="s">
        <v>165</v>
      </c>
      <c r="C55" s="31">
        <v>1976</v>
      </c>
      <c r="D55" s="31">
        <v>2721</v>
      </c>
      <c r="E55" s="32" t="s">
        <v>166</v>
      </c>
    </row>
    <row r="56" spans="2:5" ht="15" customHeight="1" thickBot="1" x14ac:dyDescent="0.2">
      <c r="B56" s="30" t="s">
        <v>153</v>
      </c>
      <c r="C56" s="31">
        <v>1978</v>
      </c>
      <c r="D56" s="31">
        <v>2519</v>
      </c>
      <c r="E56" s="32" t="s">
        <v>154</v>
      </c>
    </row>
    <row r="57" spans="2:5" ht="15" customHeight="1" thickBot="1" x14ac:dyDescent="0.2">
      <c r="B57" s="30" t="s">
        <v>144</v>
      </c>
      <c r="C57" s="31">
        <v>1979</v>
      </c>
      <c r="D57" s="31">
        <v>469</v>
      </c>
      <c r="E57" s="32" t="s">
        <v>145</v>
      </c>
    </row>
    <row r="58" spans="2:5" ht="15" customHeight="1" thickBot="1" x14ac:dyDescent="0.2">
      <c r="B58" s="30" t="s">
        <v>120</v>
      </c>
      <c r="C58" s="31">
        <v>1980</v>
      </c>
      <c r="D58" s="31">
        <v>175</v>
      </c>
      <c r="E58" s="32" t="s">
        <v>121</v>
      </c>
    </row>
    <row r="59" spans="2:5" ht="15" customHeight="1" thickBot="1" x14ac:dyDescent="0.2">
      <c r="B59" s="30" t="s">
        <v>181</v>
      </c>
      <c r="C59" s="31">
        <v>1982</v>
      </c>
      <c r="D59" s="31" t="s">
        <v>244</v>
      </c>
      <c r="E59" s="30" t="s">
        <v>182</v>
      </c>
    </row>
    <row r="60" spans="2:5" ht="15" customHeight="1" x14ac:dyDescent="0.15">
      <c r="B60" s="33" t="s">
        <v>71</v>
      </c>
      <c r="C60" s="34">
        <v>1983</v>
      </c>
      <c r="D60" s="38" t="s">
        <v>171</v>
      </c>
      <c r="E60" s="36" t="s">
        <v>243</v>
      </c>
    </row>
    <row r="61" spans="2:5" ht="15" customHeight="1" thickBot="1" x14ac:dyDescent="0.2">
      <c r="B61" s="35" t="s">
        <v>140</v>
      </c>
      <c r="C61" s="37">
        <v>1984</v>
      </c>
      <c r="D61" s="37">
        <v>344</v>
      </c>
      <c r="E61" s="39" t="s">
        <v>141</v>
      </c>
    </row>
    <row r="62" spans="2:5" ht="15" customHeight="1" thickBot="1" x14ac:dyDescent="0.2">
      <c r="B62" s="30" t="s">
        <v>138</v>
      </c>
      <c r="C62" s="31">
        <v>2008</v>
      </c>
      <c r="D62" s="31">
        <v>1</v>
      </c>
      <c r="E62" s="32" t="s">
        <v>139</v>
      </c>
    </row>
    <row r="63" spans="2:5" ht="15" customHeight="1" thickBot="1" x14ac:dyDescent="0.2">
      <c r="B63" s="30" t="s">
        <v>119</v>
      </c>
      <c r="C63" s="31">
        <v>2010</v>
      </c>
      <c r="D63" s="31">
        <v>40</v>
      </c>
      <c r="E63" s="30" t="s">
        <v>240</v>
      </c>
    </row>
    <row r="64" spans="2:5" ht="15" customHeight="1" thickBot="1" x14ac:dyDescent="0.2">
      <c r="B64" s="30" t="s">
        <v>122</v>
      </c>
      <c r="C64" s="31">
        <v>2015</v>
      </c>
      <c r="D64" s="31">
        <v>0</v>
      </c>
      <c r="E64" s="32" t="s">
        <v>123</v>
      </c>
    </row>
    <row r="65" spans="2:5" ht="15" customHeight="1" thickBot="1" x14ac:dyDescent="0.2">
      <c r="B65" s="30" t="s">
        <v>124</v>
      </c>
      <c r="C65" s="31">
        <v>2015</v>
      </c>
      <c r="D65" s="31">
        <v>0</v>
      </c>
      <c r="E65" s="32" t="s">
        <v>123</v>
      </c>
    </row>
    <row r="66" spans="2:5" ht="15" customHeight="1" thickBot="1" x14ac:dyDescent="0.2">
      <c r="B66" s="30" t="s">
        <v>125</v>
      </c>
      <c r="C66" s="31">
        <v>2015</v>
      </c>
      <c r="D66" s="31">
        <v>0</v>
      </c>
      <c r="E66" s="32" t="s">
        <v>126</v>
      </c>
    </row>
    <row r="67" spans="2:5" ht="15" customHeight="1" thickBot="1" x14ac:dyDescent="0.2">
      <c r="B67" s="32" t="s">
        <v>219</v>
      </c>
      <c r="C67" s="31" t="s">
        <v>220</v>
      </c>
      <c r="D67" s="31" t="s">
        <v>220</v>
      </c>
      <c r="E67" s="32" t="s">
        <v>221</v>
      </c>
    </row>
    <row r="68" spans="2:5" ht="15" customHeight="1" thickBot="1" x14ac:dyDescent="0.2">
      <c r="B68" s="32" t="s">
        <v>127</v>
      </c>
      <c r="C68" s="31"/>
      <c r="D68" s="31" t="s">
        <v>128</v>
      </c>
      <c r="E68" s="32" t="s">
        <v>129</v>
      </c>
    </row>
    <row r="69" spans="2:5" ht="15" customHeight="1" thickBot="1" x14ac:dyDescent="0.2">
      <c r="B69" s="32" t="s">
        <v>142</v>
      </c>
      <c r="C69" s="31"/>
      <c r="D69" s="31" t="s">
        <v>128</v>
      </c>
      <c r="E69" s="32" t="s">
        <v>143</v>
      </c>
    </row>
    <row r="70" spans="2:5" ht="15" customHeight="1" thickBot="1" x14ac:dyDescent="0.2">
      <c r="B70" s="32" t="s">
        <v>146</v>
      </c>
      <c r="C70" s="31"/>
      <c r="D70" s="31" t="s">
        <v>128</v>
      </c>
      <c r="E70" s="32" t="s">
        <v>147</v>
      </c>
    </row>
    <row r="71" spans="2:5" ht="15" customHeight="1" thickBot="1" x14ac:dyDescent="0.2">
      <c r="B71" s="32" t="s">
        <v>155</v>
      </c>
      <c r="C71" s="31"/>
      <c r="D71" s="31" t="s">
        <v>128</v>
      </c>
      <c r="E71" s="32" t="s">
        <v>156</v>
      </c>
    </row>
    <row r="72" spans="2:5" ht="15" customHeight="1" thickBot="1" x14ac:dyDescent="0.2">
      <c r="B72" s="32" t="s">
        <v>195</v>
      </c>
      <c r="C72" s="31"/>
      <c r="D72" s="31" t="s">
        <v>128</v>
      </c>
      <c r="E72" s="32" t="s">
        <v>196</v>
      </c>
    </row>
    <row r="73" spans="2:5" ht="15" customHeight="1" thickBot="1" x14ac:dyDescent="0.2">
      <c r="B73" s="32" t="s">
        <v>205</v>
      </c>
      <c r="C73" s="31"/>
      <c r="D73" s="31" t="s">
        <v>128</v>
      </c>
      <c r="E73" s="30" t="s">
        <v>206</v>
      </c>
    </row>
    <row r="74" spans="2:5" ht="15" customHeight="1" thickBot="1" x14ac:dyDescent="0.2">
      <c r="B74" s="32" t="s">
        <v>224</v>
      </c>
      <c r="C74" s="31"/>
      <c r="D74" s="31" t="s">
        <v>128</v>
      </c>
      <c r="E74" s="32" t="s">
        <v>225</v>
      </c>
    </row>
  </sheetData>
  <sortState ref="B3:E80">
    <sortCondition ref="C3:C80"/>
  </sortState>
  <hyperlinks>
    <hyperlink ref="B13" r:id="rId1" tooltip="Piper PA-8" display="https://en.wikipedia.org/wiki/Piper_PA-8" xr:uid="{00000000-0004-0000-0200-000000000000}"/>
    <hyperlink ref="B12" r:id="rId2" tooltip="Piper PA-7" display="https://en.wikipedia.org/wiki/Piper_PA-7" xr:uid="{00000000-0004-0000-0200-000001000000}"/>
    <hyperlink ref="B11" r:id="rId3" tooltip="Piper PT-1" display="https://en.wikipedia.org/wiki/Piper_PT-1" xr:uid="{00000000-0004-0000-0200-000002000000}"/>
    <hyperlink ref="B63" r:id="rId4" tooltip="CZAW SportCruiser" display="https://en.wikipedia.org/wiki/CZAW_SportCruiser" xr:uid="{00000000-0004-0000-0200-000003000000}"/>
    <hyperlink ref="E63" r:id="rId5" tooltip="Light-sport aircraft" display="https://en.wikipedia.org/wiki/Light-sport_aircraft" xr:uid="{00000000-0004-0000-0200-000004000000}"/>
    <hyperlink ref="B58" r:id="rId6" tooltip="Piper PA-42 Cheyenne" display="https://en.wikipedia.org/wiki/Piper_PA-42_Cheyenne" xr:uid="{00000000-0004-0000-0200-000005000000}"/>
    <hyperlink ref="B64" r:id="rId7" tooltip="Piper M600" display="https://en.wikipedia.org/wiki/Piper_M600" xr:uid="{00000000-0004-0000-0200-000006000000}"/>
    <hyperlink ref="B65" r:id="rId8" tooltip="Piper M500" display="https://en.wikipedia.org/wiki/Piper_M500" xr:uid="{00000000-0004-0000-0200-000007000000}"/>
    <hyperlink ref="B66" r:id="rId9" tooltip="Piper M350" display="https://en.wikipedia.org/wiki/Piper_M350" xr:uid="{00000000-0004-0000-0200-000008000000}"/>
    <hyperlink ref="B16" r:id="rId10" tooltip="Piper PA-8" display="https://en.wikipedia.org/wiki/Piper_PA-8" xr:uid="{00000000-0004-0000-0200-000009000000}"/>
    <hyperlink ref="B14" r:id="rId11" tooltip="Piper PA-7" display="https://en.wikipedia.org/wiki/Piper_PA-7" xr:uid="{00000000-0004-0000-0200-00000A000000}"/>
    <hyperlink ref="B41" r:id="rId12" tooltip="Piper Aerostar" display="https://en.wikipedia.org/wiki/Piper_Aerostar" xr:uid="{00000000-0004-0000-0200-00000B000000}"/>
    <hyperlink ref="B17" r:id="rId13" tooltip="Piper PA-6" display="https://en.wikipedia.org/wiki/Piper_PA-6" xr:uid="{00000000-0004-0000-0200-00000C000000}"/>
    <hyperlink ref="B47" r:id="rId14" tooltip="Piper PA-48 Enforcer" display="https://en.wikipedia.org/wiki/Piper_PA-48_Enforcer" xr:uid="{00000000-0004-0000-0200-00000D000000}"/>
    <hyperlink ref="B62" r:id="rId15" tooltip="Piper PA-47 PiperJet" display="https://en.wikipedia.org/wiki/Piper_PA-47_PiperJet" xr:uid="{00000000-0004-0000-0200-00000E000000}"/>
    <hyperlink ref="B61" r:id="rId16" tooltip="Piper PA-46" display="https://en.wikipedia.org/wiki/Piper_PA-46" xr:uid="{00000000-0004-0000-0200-00000F000000}"/>
    <hyperlink ref="B57" r:id="rId17" tooltip="Piper PA-44 Seminole" display="https://en.wikipedia.org/wiki/Piper_PA-44_Seminole" xr:uid="{00000000-0004-0000-0200-000010000000}"/>
    <hyperlink ref="B49" r:id="rId18" tooltip="Piper PA-40 Arapaho" display="https://en.wikipedia.org/wiki/Piper_PA-40_Arapaho" xr:uid="{00000000-0004-0000-0200-000011000000}"/>
    <hyperlink ref="B45" r:id="rId19" tooltip="Piper PA-30 Twin Comanche" display="https://en.wikipedia.org/wiki/Piper_PA-30_Twin_Comanche" xr:uid="{00000000-0004-0000-0200-000012000000}"/>
    <hyperlink ref="E45" r:id="rId20" tooltip="Counter-rotating propellers" display="https://en.wikipedia.org/wiki/Counter-rotating_propellers" xr:uid="{00000000-0004-0000-0200-000013000000}"/>
    <hyperlink ref="B56" r:id="rId21" tooltip="Piper PA-38 Tomahawk" display="https://en.wikipedia.org/wiki/Piper_PA-38_Tomahawk" xr:uid="{00000000-0004-0000-0200-000014000000}"/>
    <hyperlink ref="B50" r:id="rId22" tooltip="Piper PA-36 Pawnee Brave" display="https://en.wikipedia.org/wiki/Piper_PA-36_Pawnee_Brave" xr:uid="{00000000-0004-0000-0200-000015000000}"/>
    <hyperlink ref="B44" r:id="rId23" tooltip="Piper PA-35 Pocono" display="https://en.wikipedia.org/wiki/Piper_PA-35_Pocono" xr:uid="{00000000-0004-0000-0200-000016000000}"/>
    <hyperlink ref="B48" r:id="rId24" tooltip="Piper PA-34 Seneca" display="https://en.wikipedia.org/wiki/Piper_PA-34_Seneca" xr:uid="{00000000-0004-0000-0200-000017000000}"/>
    <hyperlink ref="B39" r:id="rId25" tooltip="Piper PA-24 Comanche" display="https://en.wikipedia.org/wiki/Piper_PA-24_Comanche" xr:uid="{00000000-0004-0000-0200-000018000000}"/>
    <hyperlink ref="B55" r:id="rId26" tooltip="Piper PA-32R" display="https://en.wikipedia.org/wiki/Piper_PA-32R" xr:uid="{00000000-0004-0000-0200-000019000000}"/>
    <hyperlink ref="B40" r:id="rId27" tooltip="Piper PA-32" display="https://en.wikipedia.org/wiki/Piper_PA-32" xr:uid="{00000000-0004-0000-0200-00001A000000}"/>
    <hyperlink ref="B53" r:id="rId28" tooltip="Piper PA-31T Cheyenne" display="https://en.wikipedia.org/wiki/Piper_PA-31T_Cheyenne" xr:uid="{00000000-0004-0000-0200-00001B000000}"/>
    <hyperlink ref="B60" r:id="rId29" tooltip="Piper PA-31 Navajo" display="https://en.wikipedia.org/wiki/Piper_PA-31_Navajo" xr:uid="{00000000-0004-0000-0200-00001C000000}"/>
    <hyperlink ref="D60" r:id="rId30" location="cite_note-FrawCh-62" display="https://en.wikipedia.org/wiki/Piper_Aircraft - cite_note-FrawCh-62" xr:uid="{00000000-0004-0000-0200-00001D000000}"/>
    <hyperlink ref="B46" r:id="rId31" tooltip="Piper PA-31 Navajo" display="https://en.wikipedia.org/wiki/Piper_PA-31_Navajo" xr:uid="{00000000-0004-0000-0200-00001E000000}"/>
    <hyperlink ref="B51" r:id="rId32" tooltip="Piper PA-31 Navajo" display="https://en.wikipedia.org/wiki/Piper_PA-31_Navajo" xr:uid="{00000000-0004-0000-0200-00001F000000}"/>
    <hyperlink ref="B42" r:id="rId33" tooltip="Piper PA-31 Navajo" display="https://en.wikipedia.org/wiki/Piper_PA-31_Navajo" xr:uid="{00000000-0004-0000-0200-000020000000}"/>
    <hyperlink ref="B35" r:id="rId34" tooltip="Piper PA-30 Twin Comanche" display="https://en.wikipedia.org/wiki/Piper_PA-30_Twin_Comanche" xr:uid="{00000000-0004-0000-0200-000021000000}"/>
    <hyperlink ref="B34" r:id="rId35" tooltip="Piper PA-29 Papoose" display="https://en.wikipedia.org/wiki/Piper_PA-29_Papoose" xr:uid="{00000000-0004-0000-0200-000022000000}"/>
    <hyperlink ref="B59" r:id="rId36" tooltip="ENAER T-35 Pillán" display="https://en.wikipedia.org/wiki/ENAER_T-35_Pill%C3%A1n" xr:uid="{00000000-0004-0000-0200-000023000000}"/>
    <hyperlink ref="E59" r:id="rId37" tooltip="ENAER" display="https://en.wikipedia.org/wiki/ENAER" xr:uid="{00000000-0004-0000-0200-000024000000}"/>
    <hyperlink ref="B43" r:id="rId38" tooltip="Piper PA-28" display="https://en.wikipedia.org/wiki/Piper_PA-28" xr:uid="{00000000-0004-0000-0200-000025000000}"/>
    <hyperlink ref="B36" r:id="rId39" tooltip="Piper PA-28" display="https://en.wikipedia.org/wiki/Piper_PA-28" xr:uid="{00000000-0004-0000-0200-000026000000}"/>
    <hyperlink ref="B37" r:id="rId40" tooltip="Piper PA-28" display="https://en.wikipedia.org/wiki/Piper_PA-28" xr:uid="{00000000-0004-0000-0200-000027000000}"/>
    <hyperlink ref="B54" r:id="rId41" tooltip="Piper PA-28" display="https://en.wikipedia.org/wiki/Piper_PA-28" xr:uid="{00000000-0004-0000-0200-000028000000}"/>
    <hyperlink ref="B33" r:id="rId42" tooltip="Piper PA-28" display="https://en.wikipedia.org/wiki/Piper_PA-28" xr:uid="{00000000-0004-0000-0200-000029000000}"/>
    <hyperlink ref="B32" r:id="rId43" tooltip="Piper PA-23" display="https://en.wikipedia.org/wiki/Piper_PA-23" xr:uid="{00000000-0004-0000-0200-00002A000000}"/>
    <hyperlink ref="B31" r:id="rId44" tooltip="Piper PA-25 Pawnee" display="https://en.wikipedia.org/wiki/Piper_PA-25_Pawnee" xr:uid="{00000000-0004-0000-0200-00002B000000}"/>
    <hyperlink ref="B38" r:id="rId45" tooltip="Piper PA-24 Comanche" display="https://en.wikipedia.org/wiki/Piper_PA-24_Comanche" xr:uid="{00000000-0004-0000-0200-00002C000000}"/>
    <hyperlink ref="B30" r:id="rId46" tooltip="Piper PA-24 Comanche" display="https://en.wikipedia.org/wiki/Piper_PA-24_Comanche" xr:uid="{00000000-0004-0000-0200-00002D000000}"/>
    <hyperlink ref="B29" r:id="rId47" tooltip="Piper PA-23" display="https://en.wikipedia.org/wiki/Piper_PA-23" xr:uid="{00000000-0004-0000-0200-00002E000000}"/>
    <hyperlink ref="B28" r:id="rId48" tooltip="Piper PA-20 Pacer" display="https://en.wikipedia.org/wiki/Piper_PA-20_Pacer" xr:uid="{00000000-0004-0000-0200-00002F000000}"/>
    <hyperlink ref="E73" r:id="rId49" tooltip="Baumann Brigadier" display="https://en.wikipedia.org/wiki/Baumann_Brigadier" xr:uid="{00000000-0004-0000-0200-000030000000}"/>
    <hyperlink ref="B26" r:id="rId50" tooltip="Piper PA-20 Pacer" display="https://en.wikipedia.org/wiki/Piper_PA-20_Pacer" xr:uid="{00000000-0004-0000-0200-000031000000}"/>
    <hyperlink ref="B24" r:id="rId51" tooltip="Piper PA-18" display="https://en.wikipedia.org/wiki/Piper_PA-18" xr:uid="{00000000-0004-0000-0200-000032000000}"/>
    <hyperlink ref="B27" r:id="rId52" tooltip="Piper PA-18" display="https://en.wikipedia.org/wiki/Piper_PA-18" xr:uid="{00000000-0004-0000-0200-000033000000}"/>
    <hyperlink ref="B21" r:id="rId53" tooltip="Piper PA-15 Vagabond" display="https://en.wikipedia.org/wiki/Piper_PA-15_Vagabond" xr:uid="{00000000-0004-0000-0200-000034000000}"/>
    <hyperlink ref="B25" r:id="rId54" tooltip="Piper PA-16 Clipper" display="https://en.wikipedia.org/wiki/Piper_PA-16_Clipper" xr:uid="{00000000-0004-0000-0200-000035000000}"/>
    <hyperlink ref="B22" r:id="rId55" tooltip="Piper PA-15 Vagabond" display="https://en.wikipedia.org/wiki/Piper_PA-15_Vagabond" xr:uid="{00000000-0004-0000-0200-000036000000}"/>
    <hyperlink ref="B23" r:id="rId56" tooltip="Piper PA-14 Family Cruiser" display="https://en.wikipedia.org/wiki/Piper_PA-14_Family_Cruiser" xr:uid="{00000000-0004-0000-0200-000037000000}"/>
    <hyperlink ref="B19" r:id="rId57" tooltip="Piper PA-12" display="https://en.wikipedia.org/wiki/Piper_PA-12" xr:uid="{00000000-0004-0000-0200-000038000000}"/>
    <hyperlink ref="B20" r:id="rId58" tooltip="Piper PA-11" display="https://en.wikipedia.org/wiki/Piper_PA-11" xr:uid="{00000000-0004-0000-0200-000039000000}"/>
    <hyperlink ref="E7" r:id="rId59" tooltip="Amphibious aircraft" display="https://en.wikipedia.org/wiki/Amphibious_aircraft" xr:uid="{00000000-0004-0000-0200-00003A000000}"/>
    <hyperlink ref="B18" r:id="rId60" tooltip="Piper LBP" display="https://en.wikipedia.org/wiki/Piper_LBP" xr:uid="{00000000-0004-0000-0200-00003B000000}"/>
    <hyperlink ref="B8" r:id="rId61" tooltip="Piper J-5" display="https://en.wikipedia.org/wiki/Piper_J-5" xr:uid="{00000000-0004-0000-0200-00003C000000}"/>
    <hyperlink ref="B6" r:id="rId62" tooltip="Piper J-4" display="https://en.wikipedia.org/wiki/Piper_J-4" xr:uid="{00000000-0004-0000-0200-00003D000000}"/>
    <hyperlink ref="B4" r:id="rId63" tooltip="Piper J-3" display="https://en.wikipedia.org/wiki/Piper_J-3" xr:uid="{00000000-0004-0000-0200-00003E000000}"/>
    <hyperlink ref="B3" r:id="rId64" tooltip="Taylor J-2" display="https://en.wikipedia.org/wiki/Taylor_J-2" xr:uid="{00000000-0004-0000-0200-00003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Aircraft</vt:lpstr>
      <vt:lpstr>Sheet1</vt:lpstr>
      <vt:lpstr>Piper froM Wikipedia</vt:lpstr>
      <vt:lpstr>Aircraft!Approach_Speed</vt:lpstr>
      <vt:lpstr>Aircraft!Approach_Speed.</vt:lpstr>
      <vt:lpstr>Aircraft!ARC</vt:lpstr>
      <vt:lpstr>Aircraft!ARC.</vt:lpstr>
      <vt:lpstr>Aircraft!Data_Area</vt:lpstr>
      <vt:lpstr>Aircraft!Database</vt:lpstr>
      <vt:lpstr>Aircraft!FAA_Code</vt:lpstr>
      <vt:lpstr>Aircraft!FAA_Code.</vt:lpstr>
      <vt:lpstr>Aircraft!Manufacturer</vt:lpstr>
      <vt:lpstr>Aircraft!Manufacturer.</vt:lpstr>
      <vt:lpstr>Aircraft!Model</vt:lpstr>
      <vt:lpstr>Aircraft!Model.</vt:lpstr>
      <vt:lpstr>Aircraft!MTOW</vt:lpstr>
      <vt:lpstr>Aircraft!MTOW.</vt:lpstr>
      <vt:lpstr>Aircraft!Print_Titles</vt:lpstr>
      <vt:lpstr>Aircraft!Tail_Height</vt:lpstr>
      <vt:lpstr>Aircraft!Tail_Height.</vt:lpstr>
      <vt:lpstr>Aircraft!Wingspan</vt:lpstr>
      <vt:lpstr>Aircraft!Wingspan.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Characteristics Data, 16 January 2018</dc:title>
  <dc:creator>FAA Airport Engineering Division, AAS-100</dc:creator>
  <cp:lastModifiedBy>Microsoft Office User</cp:lastModifiedBy>
  <dcterms:created xsi:type="dcterms:W3CDTF">2009-12-11T20:21:47Z</dcterms:created>
  <dcterms:modified xsi:type="dcterms:W3CDTF">2018-04-13T20:02:39Z</dcterms:modified>
</cp:coreProperties>
</file>