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Resultados/MILP/Datos Autoridades Portuarias/"/>
    </mc:Choice>
  </mc:AlternateContent>
  <xr:revisionPtr revIDLastSave="4176" documentId="13_ncr:1_{9679E121-86F7-4AB9-94AD-2E465E467240}" xr6:coauthVersionLast="47" xr6:coauthVersionMax="47" xr10:uidLastSave="{9BE506FE-1F9C-4C91-8010-0F4883D9436D}"/>
  <bookViews>
    <workbookView xWindow="-120" yWindow="-120" windowWidth="29040" windowHeight="15840" firstSheet="5" activeTab="9" xr2:uid="{00000000-000D-0000-FFFF-FFFF00000000}"/>
  </bookViews>
  <sheets>
    <sheet name="13 buques 14 kn 25000" sheetId="20" r:id="rId1"/>
    <sheet name="14 buques 19.5 kn 25000 charter" sheetId="11" r:id="rId2"/>
    <sheet name="13 buques 21.4 kn 25000 charter" sheetId="12" r:id="rId3"/>
    <sheet name="13 buques 21.4 12500 charter" sheetId="13" r:id="rId4"/>
    <sheet name="13 buques 19.5 kn 12500 charter" sheetId="14" r:id="rId5"/>
    <sheet name="13 buques 14 kn 12500" sheetId="21" r:id="rId6"/>
    <sheet name="14 buques 21.4 kn 50000" sheetId="19" r:id="rId7"/>
    <sheet name="14 buques 14 kn 50000" sheetId="22" r:id="rId8"/>
    <sheet name="13 buques 19.5 kn 50000" sheetId="18" r:id="rId9"/>
    <sheet name="Puertos" sheetId="2" r:id="rId10"/>
    <sheet name="NUTS_Europa" sheetId="3" r:id="rId11"/>
  </sheets>
  <externalReferences>
    <externalReference r:id="rId12"/>
    <externalReference r:id="rId13"/>
  </externalReferences>
  <definedNames>
    <definedName name="_xlnm._FilterDatabase" localSheetId="5" hidden="1">'13 buques 14 kn 12500'!$B$3:$I$83</definedName>
    <definedName name="_xlnm._FilterDatabase" localSheetId="0" hidden="1">'13 buques 14 kn 25000'!$B$3:$I$83</definedName>
    <definedName name="_xlnm._FilterDatabase" localSheetId="4" hidden="1">'13 buques 19.5 kn 12500 charter'!$B$3:$I$83</definedName>
    <definedName name="_xlnm._FilterDatabase" localSheetId="8" hidden="1">'13 buques 19.5 kn 50000'!$B$3:$I$83</definedName>
    <definedName name="_xlnm._FilterDatabase" localSheetId="3" hidden="1">'13 buques 21.4 12500 charter'!$B$3:$I$83</definedName>
    <definedName name="_xlnm._FilterDatabase" localSheetId="2" hidden="1">'13 buques 21.4 kn 25000 charter'!$B$3:$I$83</definedName>
    <definedName name="_xlnm._FilterDatabase" localSheetId="7" hidden="1">'14 buques 14 kn 50000'!$B$3:$I$83</definedName>
    <definedName name="_xlnm._FilterDatabase" localSheetId="1" hidden="1">'14 buques 19.5 kn 25000 charter'!$B$3:$O$83</definedName>
    <definedName name="_xlnm._FilterDatabase" localSheetId="6" hidden="1">'14 buques 21.4 kn 50000'!$B$3:$I$83</definedName>
    <definedName name="_xlnm._FilterDatabase" localSheetId="10" hidden="1">NUTS_Europa!$B$1:$E$81</definedName>
    <definedName name="NUTS_Europa">NUTS_Europa!$A$1:$B$1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60" i="11" l="1"/>
  <c r="T123" i="11"/>
  <c r="T124" i="11"/>
  <c r="T125" i="11"/>
  <c r="T126" i="11"/>
  <c r="T127" i="11"/>
  <c r="T128" i="11"/>
  <c r="T129" i="11"/>
  <c r="T122" i="11"/>
  <c r="Q162" i="11"/>
  <c r="Q161" i="11"/>
  <c r="Q160" i="11"/>
  <c r="N101" i="20"/>
  <c r="N100" i="20"/>
  <c r="N99" i="20"/>
  <c r="N98" i="20"/>
  <c r="N97" i="20"/>
  <c r="N96" i="20"/>
  <c r="N118" i="12" l="1"/>
  <c r="N117" i="12"/>
  <c r="N116" i="12"/>
  <c r="N115" i="12"/>
  <c r="N114" i="12"/>
  <c r="N113" i="12"/>
  <c r="N108" i="12"/>
  <c r="N107" i="12"/>
  <c r="N109" i="12"/>
  <c r="N106" i="12"/>
  <c r="N112" i="20"/>
  <c r="N111" i="20"/>
  <c r="N110" i="20"/>
  <c r="N107" i="20"/>
  <c r="N106" i="20"/>
  <c r="N105" i="20"/>
  <c r="Q136" i="20"/>
  <c r="Z136" i="20" s="1"/>
  <c r="Q137" i="20"/>
  <c r="Z137" i="20" s="1"/>
  <c r="N139" i="20"/>
  <c r="N138" i="20"/>
  <c r="N135" i="20"/>
  <c r="N134" i="20"/>
  <c r="P134" i="20" s="1"/>
  <c r="Q134" i="20" s="1"/>
  <c r="Z134" i="20" s="1"/>
  <c r="P135" i="20"/>
  <c r="Q135" i="20" s="1"/>
  <c r="Z135" i="20" s="1"/>
  <c r="P136" i="20"/>
  <c r="P137" i="20"/>
  <c r="N129" i="11"/>
  <c r="N128" i="11"/>
  <c r="N127" i="11"/>
  <c r="N124" i="11"/>
  <c r="N123" i="11"/>
  <c r="N122" i="11"/>
  <c r="N112" i="11"/>
  <c r="N111" i="11"/>
  <c r="N110" i="11"/>
  <c r="N105" i="11"/>
  <c r="N84" i="19"/>
  <c r="Y109" i="19"/>
  <c r="Y110" i="19"/>
  <c r="Y108" i="19"/>
  <c r="X109" i="19"/>
  <c r="X110" i="19"/>
  <c r="X108" i="19"/>
  <c r="W109" i="19"/>
  <c r="W110" i="19"/>
  <c r="W108" i="19"/>
  <c r="V109" i="19"/>
  <c r="V110" i="19"/>
  <c r="V108" i="19"/>
  <c r="T111" i="19"/>
  <c r="U111" i="19" s="1"/>
  <c r="T112" i="19"/>
  <c r="U112" i="19" s="1"/>
  <c r="T115" i="19"/>
  <c r="U115" i="19" s="1"/>
  <c r="T116" i="19"/>
  <c r="U116" i="19" s="1"/>
  <c r="Z101" i="19"/>
  <c r="S100" i="19"/>
  <c r="S101" i="19"/>
  <c r="S102" i="19"/>
  <c r="S103" i="19"/>
  <c r="S99" i="19"/>
  <c r="S98" i="19"/>
  <c r="S97" i="19"/>
  <c r="Q98" i="19"/>
  <c r="Z98" i="19" s="1"/>
  <c r="Q101" i="19"/>
  <c r="AB101" i="19" s="1"/>
  <c r="Q102" i="19"/>
  <c r="Z102" i="19" s="1"/>
  <c r="P100" i="19"/>
  <c r="Q100" i="19" s="1"/>
  <c r="P101" i="19"/>
  <c r="P102" i="19"/>
  <c r="P103" i="19"/>
  <c r="Q103" i="19" s="1"/>
  <c r="P99" i="19"/>
  <c r="Q99" i="19" s="1"/>
  <c r="P98" i="19"/>
  <c r="P97" i="19"/>
  <c r="Q97" i="19" s="1"/>
  <c r="R104" i="19"/>
  <c r="S104" i="19" s="1"/>
  <c r="R98" i="19"/>
  <c r="R97" i="19"/>
  <c r="S117" i="19"/>
  <c r="S109" i="19"/>
  <c r="S110" i="19"/>
  <c r="S111" i="19"/>
  <c r="S112" i="19"/>
  <c r="S113" i="19"/>
  <c r="S114" i="19"/>
  <c r="S115" i="19"/>
  <c r="S116" i="19"/>
  <c r="S108" i="19"/>
  <c r="R109" i="19"/>
  <c r="R110" i="19"/>
  <c r="R111" i="19"/>
  <c r="R112" i="19"/>
  <c r="R113" i="19"/>
  <c r="R114" i="19"/>
  <c r="R115" i="19"/>
  <c r="R116" i="19"/>
  <c r="R117" i="19"/>
  <c r="R108" i="19"/>
  <c r="Q109" i="19"/>
  <c r="Q110" i="19"/>
  <c r="Q113" i="19"/>
  <c r="Q114" i="19"/>
  <c r="Q117" i="19"/>
  <c r="Q118" i="19" s="1"/>
  <c r="Q119" i="19" s="1"/>
  <c r="Q120" i="19" s="1"/>
  <c r="Q108" i="19"/>
  <c r="P109" i="19"/>
  <c r="P110" i="19"/>
  <c r="P111" i="19"/>
  <c r="Q111" i="19" s="1"/>
  <c r="P112" i="19"/>
  <c r="Q112" i="19" s="1"/>
  <c r="P113" i="19"/>
  <c r="P114" i="19"/>
  <c r="P115" i="19"/>
  <c r="Q115" i="19" s="1"/>
  <c r="P116" i="19"/>
  <c r="Q116" i="19" s="1"/>
  <c r="P117" i="19"/>
  <c r="P108" i="19"/>
  <c r="J109" i="19"/>
  <c r="T109" i="19" s="1"/>
  <c r="U109" i="19" s="1"/>
  <c r="J110" i="19"/>
  <c r="T110" i="19" s="1"/>
  <c r="U110" i="19" s="1"/>
  <c r="J111" i="19"/>
  <c r="J112" i="19"/>
  <c r="J113" i="19"/>
  <c r="T113" i="19" s="1"/>
  <c r="U113" i="19" s="1"/>
  <c r="J114" i="19"/>
  <c r="T114" i="19" s="1"/>
  <c r="U114" i="19" s="1"/>
  <c r="J115" i="19"/>
  <c r="J116" i="19"/>
  <c r="J117" i="19"/>
  <c r="T117" i="19" s="1"/>
  <c r="U117" i="19" s="1"/>
  <c r="J108" i="19"/>
  <c r="T108" i="19" s="1"/>
  <c r="U108" i="19" s="1"/>
  <c r="J98" i="19"/>
  <c r="T98" i="19" s="1"/>
  <c r="U98" i="19" s="1"/>
  <c r="J99" i="19"/>
  <c r="T99" i="19" s="1"/>
  <c r="U99" i="19" s="1"/>
  <c r="J100" i="19"/>
  <c r="T100" i="19" s="1"/>
  <c r="U100" i="19" s="1"/>
  <c r="J101" i="19"/>
  <c r="T101" i="19" s="1"/>
  <c r="U101" i="19" s="1"/>
  <c r="J102" i="19"/>
  <c r="T102" i="19" s="1"/>
  <c r="U102" i="19" s="1"/>
  <c r="J103" i="19"/>
  <c r="T103" i="19" s="1"/>
  <c r="U103" i="19" s="1"/>
  <c r="J104" i="19"/>
  <c r="T104" i="19" s="1"/>
  <c r="U104" i="19" s="1"/>
  <c r="J97" i="19"/>
  <c r="T97" i="19" s="1"/>
  <c r="U97" i="19" s="1"/>
  <c r="J107" i="19"/>
  <c r="W111" i="18"/>
  <c r="X111" i="18"/>
  <c r="Y111" i="18"/>
  <c r="W112" i="18"/>
  <c r="X112" i="18"/>
  <c r="Y112" i="18"/>
  <c r="W113" i="18"/>
  <c r="X113" i="18"/>
  <c r="Y113" i="18"/>
  <c r="W114" i="18"/>
  <c r="X114" i="18"/>
  <c r="Y114" i="18"/>
  <c r="W115" i="18"/>
  <c r="X115" i="18"/>
  <c r="Y115" i="18"/>
  <c r="W116" i="18"/>
  <c r="X116" i="18"/>
  <c r="Y116" i="18"/>
  <c r="W117" i="18"/>
  <c r="X117" i="18"/>
  <c r="Y117" i="18"/>
  <c r="W118" i="18"/>
  <c r="X118" i="18"/>
  <c r="Y118" i="18"/>
  <c r="V111" i="18"/>
  <c r="V112" i="18"/>
  <c r="V113" i="18"/>
  <c r="V114" i="18"/>
  <c r="V115" i="18"/>
  <c r="V116" i="18"/>
  <c r="V117" i="18"/>
  <c r="V118" i="18"/>
  <c r="U114" i="18"/>
  <c r="U117" i="18"/>
  <c r="U118" i="18"/>
  <c r="U125" i="18"/>
  <c r="T111" i="18"/>
  <c r="U111" i="18" s="1"/>
  <c r="T113" i="18"/>
  <c r="T114" i="18"/>
  <c r="T115" i="18"/>
  <c r="U115" i="18" s="1"/>
  <c r="T117" i="18"/>
  <c r="T118" i="18"/>
  <c r="T122" i="18"/>
  <c r="U122" i="18" s="1"/>
  <c r="T125" i="18"/>
  <c r="S111" i="18"/>
  <c r="S112" i="18"/>
  <c r="S114" i="18"/>
  <c r="S115" i="18"/>
  <c r="S116" i="18"/>
  <c r="S117" i="18"/>
  <c r="S118" i="18"/>
  <c r="S122" i="18"/>
  <c r="S123" i="18"/>
  <c r="S124" i="18"/>
  <c r="S125" i="18"/>
  <c r="S128" i="18"/>
  <c r="S129" i="18"/>
  <c r="S130" i="18"/>
  <c r="S131" i="18"/>
  <c r="S132" i="18"/>
  <c r="S133" i="18"/>
  <c r="S134" i="18"/>
  <c r="Q128" i="18"/>
  <c r="Q129" i="18"/>
  <c r="Q130" i="18"/>
  <c r="Q132" i="18"/>
  <c r="Q133" i="18"/>
  <c r="Q134" i="18"/>
  <c r="P128" i="18"/>
  <c r="P111" i="18"/>
  <c r="Q111" i="18" s="1"/>
  <c r="P112" i="18"/>
  <c r="Q112" i="18" s="1"/>
  <c r="P114" i="18"/>
  <c r="Q114" i="18" s="1"/>
  <c r="P115" i="18"/>
  <c r="Q115" i="18" s="1"/>
  <c r="P116" i="18"/>
  <c r="Q116" i="18" s="1"/>
  <c r="P117" i="18"/>
  <c r="Q117" i="18" s="1"/>
  <c r="P118" i="18"/>
  <c r="Q118" i="18" s="1"/>
  <c r="P122" i="18"/>
  <c r="Q122" i="18" s="1"/>
  <c r="P123" i="18"/>
  <c r="Q123" i="18" s="1"/>
  <c r="P124" i="18"/>
  <c r="Q124" i="18" s="1"/>
  <c r="P125" i="18"/>
  <c r="Q125" i="18" s="1"/>
  <c r="P129" i="18"/>
  <c r="P130" i="18"/>
  <c r="P131" i="18"/>
  <c r="Q131" i="18" s="1"/>
  <c r="P132" i="18"/>
  <c r="P133" i="18"/>
  <c r="P134" i="18"/>
  <c r="R113" i="18"/>
  <c r="S113" i="18" s="1"/>
  <c r="U113" i="18" s="1"/>
  <c r="R112" i="18"/>
  <c r="J106" i="18"/>
  <c r="J107" i="18"/>
  <c r="J108" i="18"/>
  <c r="J109" i="18"/>
  <c r="J110" i="18"/>
  <c r="J111" i="18"/>
  <c r="J112" i="18"/>
  <c r="T112" i="18" s="1"/>
  <c r="U112" i="18" s="1"/>
  <c r="J113" i="18"/>
  <c r="J114" i="18"/>
  <c r="J115" i="18"/>
  <c r="J116" i="18"/>
  <c r="T116" i="18" s="1"/>
  <c r="U116" i="18" s="1"/>
  <c r="J117" i="18"/>
  <c r="J118" i="18"/>
  <c r="J119" i="18"/>
  <c r="J120" i="18"/>
  <c r="J121" i="18"/>
  <c r="J122" i="18"/>
  <c r="J123" i="18"/>
  <c r="T123" i="18" s="1"/>
  <c r="U123" i="18" s="1"/>
  <c r="J124" i="18"/>
  <c r="T124" i="18" s="1"/>
  <c r="U124" i="18" s="1"/>
  <c r="J125" i="18"/>
  <c r="J126" i="18"/>
  <c r="J127" i="18"/>
  <c r="J128" i="18"/>
  <c r="T128" i="18" s="1"/>
  <c r="U128" i="18" s="1"/>
  <c r="J129" i="18"/>
  <c r="T129" i="18" s="1"/>
  <c r="U129" i="18" s="1"/>
  <c r="J130" i="18"/>
  <c r="T130" i="18" s="1"/>
  <c r="U130" i="18" s="1"/>
  <c r="J131" i="18"/>
  <c r="T131" i="18" s="1"/>
  <c r="U131" i="18" s="1"/>
  <c r="J132" i="18"/>
  <c r="T132" i="18" s="1"/>
  <c r="U132" i="18" s="1"/>
  <c r="J133" i="18"/>
  <c r="T133" i="18" s="1"/>
  <c r="U133" i="18" s="1"/>
  <c r="J134" i="18"/>
  <c r="T134" i="18" s="1"/>
  <c r="U134" i="18" s="1"/>
  <c r="Z103" i="18"/>
  <c r="T99" i="18"/>
  <c r="U99" i="18" s="1"/>
  <c r="T100" i="18"/>
  <c r="U100" i="18" s="1"/>
  <c r="T102" i="18"/>
  <c r="U102" i="18" s="1"/>
  <c r="T103" i="18"/>
  <c r="U103" i="18" s="1"/>
  <c r="T104" i="18"/>
  <c r="U104" i="18" s="1"/>
  <c r="T98" i="18"/>
  <c r="U98" i="18" s="1"/>
  <c r="Q103" i="18"/>
  <c r="P99" i="18"/>
  <c r="Q99" i="18" s="1"/>
  <c r="Z99" i="18" s="1"/>
  <c r="P100" i="18"/>
  <c r="Q100" i="18" s="1"/>
  <c r="Z100" i="18" s="1"/>
  <c r="P101" i="18"/>
  <c r="Q101" i="18" s="1"/>
  <c r="Z101" i="18" s="1"/>
  <c r="P102" i="18"/>
  <c r="Q102" i="18" s="1"/>
  <c r="Z102" i="18" s="1"/>
  <c r="P103" i="18"/>
  <c r="P104" i="18"/>
  <c r="Q104" i="18" s="1"/>
  <c r="Z104" i="18" s="1"/>
  <c r="P105" i="18"/>
  <c r="Q105" i="18" s="1"/>
  <c r="Z105" i="18" s="1"/>
  <c r="P98" i="18"/>
  <c r="Q98" i="18" s="1"/>
  <c r="S99" i="18"/>
  <c r="S100" i="18"/>
  <c r="S101" i="18"/>
  <c r="S102" i="18"/>
  <c r="S103" i="18"/>
  <c r="S104" i="18"/>
  <c r="S105" i="18"/>
  <c r="S98" i="18"/>
  <c r="J99" i="18"/>
  <c r="J100" i="18"/>
  <c r="J101" i="18"/>
  <c r="T101" i="18" s="1"/>
  <c r="U101" i="18" s="1"/>
  <c r="J102" i="18"/>
  <c r="J103" i="18"/>
  <c r="J104" i="18"/>
  <c r="J105" i="18"/>
  <c r="T105" i="18" s="1"/>
  <c r="U105" i="18" s="1"/>
  <c r="J98" i="18"/>
  <c r="W97" i="18"/>
  <c r="X97" i="18"/>
  <c r="Y97" i="18"/>
  <c r="Q96" i="18" l="1"/>
  <c r="R96" i="18" s="1"/>
  <c r="S96" i="18" s="1"/>
  <c r="Z98" i="18"/>
  <c r="Q126" i="18"/>
  <c r="R126" i="18" s="1"/>
  <c r="P113" i="18"/>
  <c r="Q113" i="18" s="1"/>
  <c r="AB99" i="19"/>
  <c r="Z99" i="19"/>
  <c r="AB100" i="19"/>
  <c r="Z100" i="19"/>
  <c r="Z97" i="19"/>
  <c r="AA98" i="19" s="1"/>
  <c r="AB97" i="19"/>
  <c r="AB103" i="19"/>
  <c r="Z103" i="19"/>
  <c r="P104" i="19"/>
  <c r="Q104" i="19" s="1"/>
  <c r="AB98" i="19"/>
  <c r="AB102" i="19"/>
  <c r="R109" i="22"/>
  <c r="R108" i="22"/>
  <c r="AB104" i="19" l="1"/>
  <c r="AB105" i="19" s="1"/>
  <c r="Z104" i="19"/>
  <c r="AA104" i="19" s="1"/>
  <c r="Q95" i="19"/>
  <c r="R95" i="19" s="1"/>
  <c r="S95" i="19" s="1"/>
  <c r="U113" i="22"/>
  <c r="U120" i="22"/>
  <c r="U121" i="22"/>
  <c r="P125" i="22"/>
  <c r="Q125" i="22" s="1"/>
  <c r="J125" i="22"/>
  <c r="T125" i="22" s="1"/>
  <c r="U125" i="22" s="1"/>
  <c r="S125" i="22"/>
  <c r="J108" i="22"/>
  <c r="T108" i="22" s="1"/>
  <c r="J109" i="22"/>
  <c r="T109" i="22" s="1"/>
  <c r="J110" i="22"/>
  <c r="T110" i="22" s="1"/>
  <c r="U110" i="22" s="1"/>
  <c r="J111" i="22"/>
  <c r="T111" i="22" s="1"/>
  <c r="U111" i="22" s="1"/>
  <c r="J112" i="22"/>
  <c r="J114" i="22"/>
  <c r="T114" i="22" s="1"/>
  <c r="J115" i="22"/>
  <c r="T115" i="22" s="1"/>
  <c r="J116" i="22"/>
  <c r="T116" i="22" s="1"/>
  <c r="U116" i="22" s="1"/>
  <c r="J107" i="22"/>
  <c r="T107" i="22" s="1"/>
  <c r="S109" i="22"/>
  <c r="S110" i="22"/>
  <c r="S111" i="22"/>
  <c r="S112" i="22"/>
  <c r="S114" i="22"/>
  <c r="S115" i="22"/>
  <c r="S116" i="22"/>
  <c r="S107" i="22"/>
  <c r="U107" i="22" s="1"/>
  <c r="Q110" i="22"/>
  <c r="Z110" i="22" s="1"/>
  <c r="Q111" i="22"/>
  <c r="Z111" i="22" s="1"/>
  <c r="P109" i="22"/>
  <c r="Q109" i="22" s="1"/>
  <c r="P110" i="22"/>
  <c r="P111" i="22"/>
  <c r="P112" i="22"/>
  <c r="Q112" i="22" s="1"/>
  <c r="AA112" i="22" s="1"/>
  <c r="P114" i="22"/>
  <c r="Q114" i="22" s="1"/>
  <c r="P115" i="22"/>
  <c r="Q115" i="22" s="1"/>
  <c r="P116" i="22"/>
  <c r="Q116" i="22" s="1"/>
  <c r="P107" i="22"/>
  <c r="Q107" i="22" s="1"/>
  <c r="AA107" i="22" s="1"/>
  <c r="S118" i="22"/>
  <c r="S119" i="22"/>
  <c r="S122" i="22"/>
  <c r="S123" i="22"/>
  <c r="S124" i="22"/>
  <c r="S126" i="22"/>
  <c r="U126" i="22" s="1"/>
  <c r="S127" i="22"/>
  <c r="U127" i="22" s="1"/>
  <c r="S128" i="22"/>
  <c r="U128" i="22" s="1"/>
  <c r="S129" i="22"/>
  <c r="U129" i="22" s="1"/>
  <c r="S130" i="22"/>
  <c r="U130" i="22" s="1"/>
  <c r="S117" i="22"/>
  <c r="P118" i="22"/>
  <c r="Q118" i="22" s="1"/>
  <c r="P119" i="22"/>
  <c r="Q119" i="22" s="1"/>
  <c r="P122" i="22"/>
  <c r="Q122" i="22" s="1"/>
  <c r="P123" i="22"/>
  <c r="Q123" i="22" s="1"/>
  <c r="AA123" i="22" s="1"/>
  <c r="P124" i="22"/>
  <c r="Q124" i="22" s="1"/>
  <c r="P126" i="22"/>
  <c r="Q126" i="22" s="1"/>
  <c r="P127" i="22"/>
  <c r="Q127" i="22" s="1"/>
  <c r="P128" i="22"/>
  <c r="Q128" i="22" s="1"/>
  <c r="P129" i="22"/>
  <c r="Q129" i="22" s="1"/>
  <c r="P130" i="22"/>
  <c r="Q130" i="22" s="1"/>
  <c r="P117" i="22"/>
  <c r="Q117" i="22" s="1"/>
  <c r="J118" i="22"/>
  <c r="T118" i="22" s="1"/>
  <c r="U118" i="22" s="1"/>
  <c r="J119" i="22"/>
  <c r="T119" i="22" s="1"/>
  <c r="U119" i="22" s="1"/>
  <c r="J120" i="22"/>
  <c r="J121" i="22"/>
  <c r="J122" i="22"/>
  <c r="T122" i="22" s="1"/>
  <c r="J123" i="22"/>
  <c r="T123" i="22" s="1"/>
  <c r="U123" i="22" s="1"/>
  <c r="J124" i="22"/>
  <c r="T124" i="22" s="1"/>
  <c r="U124" i="22" s="1"/>
  <c r="J126" i="22"/>
  <c r="J127" i="22"/>
  <c r="J128" i="22"/>
  <c r="J129" i="22"/>
  <c r="J130" i="22"/>
  <c r="J117" i="22"/>
  <c r="T117" i="22" s="1"/>
  <c r="D134" i="22"/>
  <c r="E134" i="22"/>
  <c r="B134" i="22"/>
  <c r="C134" i="22"/>
  <c r="B133" i="22"/>
  <c r="C133" i="22"/>
  <c r="D133" i="22"/>
  <c r="E133" i="22"/>
  <c r="D132" i="22"/>
  <c r="E132" i="22"/>
  <c r="B132" i="22"/>
  <c r="C132" i="22"/>
  <c r="B129" i="22"/>
  <c r="C129" i="22"/>
  <c r="D129" i="22"/>
  <c r="E129" i="22"/>
  <c r="B131" i="22"/>
  <c r="C131" i="22"/>
  <c r="D131" i="22"/>
  <c r="E131" i="22"/>
  <c r="D130" i="22"/>
  <c r="E130" i="22"/>
  <c r="B130" i="22"/>
  <c r="C130" i="22"/>
  <c r="B128" i="22"/>
  <c r="C128" i="22"/>
  <c r="D128" i="22"/>
  <c r="E128" i="22"/>
  <c r="D127" i="22"/>
  <c r="E127" i="22"/>
  <c r="B127" i="22"/>
  <c r="C127" i="22"/>
  <c r="D125" i="22"/>
  <c r="X125" i="22" s="1"/>
  <c r="E125" i="22"/>
  <c r="Y125" i="22" s="1"/>
  <c r="B125" i="22"/>
  <c r="V125" i="22" s="1"/>
  <c r="C125" i="22"/>
  <c r="W125" i="22" s="1"/>
  <c r="B126" i="22"/>
  <c r="C126" i="22"/>
  <c r="D126" i="22"/>
  <c r="E126" i="22"/>
  <c r="D123" i="22"/>
  <c r="X123" i="22" s="1"/>
  <c r="E123" i="22"/>
  <c r="Y123" i="22" s="1"/>
  <c r="B123" i="22"/>
  <c r="V123" i="22" s="1"/>
  <c r="C123" i="22"/>
  <c r="W123" i="22" s="1"/>
  <c r="B124" i="22"/>
  <c r="V124" i="22" s="1"/>
  <c r="C124" i="22"/>
  <c r="W124" i="22" s="1"/>
  <c r="D124" i="22"/>
  <c r="X124" i="22" s="1"/>
  <c r="E124" i="22"/>
  <c r="Y124" i="22" s="1"/>
  <c r="B122" i="22"/>
  <c r="V122" i="22" s="1"/>
  <c r="C122" i="22"/>
  <c r="W122" i="22" s="1"/>
  <c r="D122" i="22"/>
  <c r="X122" i="22" s="1"/>
  <c r="E122" i="22"/>
  <c r="Y122" i="22" s="1"/>
  <c r="D121" i="22"/>
  <c r="E121" i="22"/>
  <c r="B121" i="22"/>
  <c r="C121" i="22"/>
  <c r="D119" i="22"/>
  <c r="X119" i="22" s="1"/>
  <c r="E119" i="22"/>
  <c r="Y119" i="22" s="1"/>
  <c r="B119" i="22"/>
  <c r="V119" i="22" s="1"/>
  <c r="C119" i="22"/>
  <c r="W119" i="22" s="1"/>
  <c r="B120" i="22"/>
  <c r="C120" i="22"/>
  <c r="D120" i="22"/>
  <c r="E120" i="22"/>
  <c r="D117" i="22"/>
  <c r="X117" i="22" s="1"/>
  <c r="E117" i="22"/>
  <c r="Y117" i="22" s="1"/>
  <c r="B117" i="22"/>
  <c r="V117" i="22" s="1"/>
  <c r="C117" i="22"/>
  <c r="W117" i="22" s="1"/>
  <c r="B118" i="22"/>
  <c r="V118" i="22" s="1"/>
  <c r="C118" i="22"/>
  <c r="W118" i="22" s="1"/>
  <c r="D118" i="22"/>
  <c r="X118" i="22" s="1"/>
  <c r="E118" i="22"/>
  <c r="Y118" i="22" s="1"/>
  <c r="B116" i="22"/>
  <c r="V116" i="22" s="1"/>
  <c r="C116" i="22"/>
  <c r="W116" i="22" s="1"/>
  <c r="D116" i="22"/>
  <c r="X116" i="22" s="1"/>
  <c r="E116" i="22"/>
  <c r="Y116" i="22" s="1"/>
  <c r="D115" i="22"/>
  <c r="X115" i="22" s="1"/>
  <c r="E115" i="22"/>
  <c r="Y115" i="22" s="1"/>
  <c r="B115" i="22"/>
  <c r="V115" i="22" s="1"/>
  <c r="C115" i="22"/>
  <c r="W115" i="22" s="1"/>
  <c r="D113" i="22"/>
  <c r="E113" i="22"/>
  <c r="B113" i="22"/>
  <c r="C113" i="22"/>
  <c r="B114" i="22"/>
  <c r="V114" i="22" s="1"/>
  <c r="C114" i="22"/>
  <c r="W114" i="22" s="1"/>
  <c r="D114" i="22"/>
  <c r="X114" i="22" s="1"/>
  <c r="E114" i="22"/>
  <c r="Y114" i="22" s="1"/>
  <c r="B112" i="22"/>
  <c r="V112" i="22" s="1"/>
  <c r="C112" i="22"/>
  <c r="W112" i="22" s="1"/>
  <c r="D112" i="22"/>
  <c r="X112" i="22" s="1"/>
  <c r="E112" i="22"/>
  <c r="Y112" i="22" s="1"/>
  <c r="D111" i="22"/>
  <c r="X111" i="22" s="1"/>
  <c r="E111" i="22"/>
  <c r="Y111" i="22" s="1"/>
  <c r="B111" i="22"/>
  <c r="V111" i="22" s="1"/>
  <c r="C111" i="22"/>
  <c r="W111" i="22" s="1"/>
  <c r="B108" i="22"/>
  <c r="V108" i="22" s="1"/>
  <c r="C108" i="22"/>
  <c r="W108" i="22" s="1"/>
  <c r="D108" i="22"/>
  <c r="X108" i="22" s="1"/>
  <c r="E108" i="22"/>
  <c r="Y108" i="22" s="1"/>
  <c r="D107" i="22"/>
  <c r="X107" i="22" s="1"/>
  <c r="E107" i="22"/>
  <c r="Y107" i="22" s="1"/>
  <c r="B107" i="22"/>
  <c r="V107" i="22" s="1"/>
  <c r="C107" i="22"/>
  <c r="W107" i="22" s="1"/>
  <c r="D109" i="22"/>
  <c r="X109" i="22" s="1"/>
  <c r="E109" i="22"/>
  <c r="Y109" i="22" s="1"/>
  <c r="B109" i="22"/>
  <c r="V109" i="22" s="1"/>
  <c r="C109" i="22"/>
  <c r="W109" i="22" s="1"/>
  <c r="B110" i="22"/>
  <c r="V110" i="22" s="1"/>
  <c r="C110" i="22"/>
  <c r="W110" i="22" s="1"/>
  <c r="D110" i="22"/>
  <c r="X110" i="22" s="1"/>
  <c r="E110" i="22"/>
  <c r="Y110" i="22" s="1"/>
  <c r="B106" i="22"/>
  <c r="C106" i="22"/>
  <c r="D106" i="22"/>
  <c r="E106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P97" i="18" s="1"/>
  <c r="Q105" i="22"/>
  <c r="Q97" i="18" s="1"/>
  <c r="R105" i="22"/>
  <c r="R97" i="18" s="1"/>
  <c r="S105" i="22"/>
  <c r="S97" i="18" s="1"/>
  <c r="T105" i="22"/>
  <c r="T97" i="18" s="1"/>
  <c r="U105" i="22"/>
  <c r="U97" i="18" s="1"/>
  <c r="V105" i="22"/>
  <c r="V97" i="18" s="1"/>
  <c r="B105" i="22"/>
  <c r="J97" i="22"/>
  <c r="J98" i="22"/>
  <c r="J99" i="22"/>
  <c r="J100" i="22"/>
  <c r="J101" i="22"/>
  <c r="J96" i="22"/>
  <c r="D101" i="22"/>
  <c r="E101" i="22"/>
  <c r="B101" i="22"/>
  <c r="C101" i="22"/>
  <c r="D97" i="22"/>
  <c r="E97" i="22"/>
  <c r="B97" i="22"/>
  <c r="C97" i="22"/>
  <c r="B98" i="22"/>
  <c r="C98" i="22"/>
  <c r="D98" i="22"/>
  <c r="E98" i="22"/>
  <c r="B96" i="22"/>
  <c r="C96" i="22"/>
  <c r="D96" i="22"/>
  <c r="E96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B95" i="22"/>
  <c r="J88" i="22"/>
  <c r="J89" i="22"/>
  <c r="J90" i="22"/>
  <c r="J91" i="22"/>
  <c r="J92" i="22"/>
  <c r="J87" i="22"/>
  <c r="D92" i="22"/>
  <c r="E92" i="22"/>
  <c r="B92" i="22"/>
  <c r="C92" i="22"/>
  <c r="D90" i="22"/>
  <c r="E90" i="22"/>
  <c r="B90" i="22"/>
  <c r="C90" i="22"/>
  <c r="B91" i="22"/>
  <c r="C91" i="22"/>
  <c r="D91" i="22"/>
  <c r="E91" i="22"/>
  <c r="D88" i="22"/>
  <c r="E88" i="22"/>
  <c r="B88" i="22"/>
  <c r="C88" i="22"/>
  <c r="B89" i="22"/>
  <c r="C89" i="22"/>
  <c r="D89" i="22"/>
  <c r="E89" i="22"/>
  <c r="B87" i="22"/>
  <c r="C87" i="22"/>
  <c r="D87" i="22"/>
  <c r="E87" i="22"/>
  <c r="B4" i="22"/>
  <c r="C4" i="22"/>
  <c r="D4" i="22"/>
  <c r="E4" i="22"/>
  <c r="B5" i="22"/>
  <c r="C5" i="22"/>
  <c r="D5" i="22"/>
  <c r="E5" i="22"/>
  <c r="B6" i="22"/>
  <c r="C6" i="22"/>
  <c r="D6" i="22"/>
  <c r="E6" i="22"/>
  <c r="B7" i="22"/>
  <c r="C7" i="22"/>
  <c r="D7" i="22"/>
  <c r="E7" i="22"/>
  <c r="B8" i="22"/>
  <c r="C8" i="22"/>
  <c r="D8" i="22"/>
  <c r="E8" i="22"/>
  <c r="B9" i="22"/>
  <c r="C9" i="22"/>
  <c r="D9" i="22"/>
  <c r="E9" i="22"/>
  <c r="B10" i="22"/>
  <c r="C10" i="22"/>
  <c r="D10" i="22"/>
  <c r="E10" i="22"/>
  <c r="B11" i="22"/>
  <c r="C11" i="22"/>
  <c r="D11" i="22"/>
  <c r="E11" i="22"/>
  <c r="B12" i="22"/>
  <c r="C12" i="22"/>
  <c r="D12" i="22"/>
  <c r="E12" i="22"/>
  <c r="B13" i="22"/>
  <c r="C13" i="22"/>
  <c r="D13" i="22"/>
  <c r="E13" i="22"/>
  <c r="B14" i="22"/>
  <c r="C14" i="22"/>
  <c r="D14" i="22"/>
  <c r="E14" i="22"/>
  <c r="B15" i="22"/>
  <c r="C15" i="22"/>
  <c r="D15" i="22"/>
  <c r="E15" i="22"/>
  <c r="B16" i="22"/>
  <c r="C16" i="22"/>
  <c r="D16" i="22"/>
  <c r="E16" i="22"/>
  <c r="B17" i="22"/>
  <c r="C17" i="22"/>
  <c r="D17" i="22"/>
  <c r="E17" i="22"/>
  <c r="B18" i="22"/>
  <c r="C18" i="22"/>
  <c r="D18" i="22"/>
  <c r="E18" i="22"/>
  <c r="B19" i="22"/>
  <c r="C19" i="22"/>
  <c r="D19" i="22"/>
  <c r="E19" i="22"/>
  <c r="B20" i="22"/>
  <c r="C20" i="22"/>
  <c r="D20" i="22"/>
  <c r="E20" i="22"/>
  <c r="B21" i="22"/>
  <c r="C21" i="22"/>
  <c r="D21" i="22"/>
  <c r="E21" i="22"/>
  <c r="B22" i="22"/>
  <c r="C22" i="22"/>
  <c r="D22" i="22"/>
  <c r="E22" i="22"/>
  <c r="B23" i="22"/>
  <c r="C23" i="22"/>
  <c r="D23" i="22"/>
  <c r="E23" i="22"/>
  <c r="B24" i="22"/>
  <c r="C24" i="22"/>
  <c r="D24" i="22"/>
  <c r="E24" i="22"/>
  <c r="B25" i="22"/>
  <c r="C25" i="22"/>
  <c r="D25" i="22"/>
  <c r="E25" i="22"/>
  <c r="B26" i="22"/>
  <c r="C26" i="22"/>
  <c r="D26" i="22"/>
  <c r="E26" i="22"/>
  <c r="B27" i="22"/>
  <c r="C27" i="22"/>
  <c r="D27" i="22"/>
  <c r="E27" i="22"/>
  <c r="B28" i="22"/>
  <c r="C28" i="22"/>
  <c r="D28" i="22"/>
  <c r="E28" i="22"/>
  <c r="B29" i="22"/>
  <c r="C29" i="22"/>
  <c r="D29" i="22"/>
  <c r="E29" i="22"/>
  <c r="B30" i="22"/>
  <c r="C30" i="22"/>
  <c r="D30" i="22"/>
  <c r="E30" i="22"/>
  <c r="B31" i="22"/>
  <c r="C31" i="22"/>
  <c r="D31" i="22"/>
  <c r="E31" i="22"/>
  <c r="B32" i="22"/>
  <c r="C32" i="22"/>
  <c r="D32" i="22"/>
  <c r="E32" i="22"/>
  <c r="B33" i="22"/>
  <c r="C33" i="22"/>
  <c r="D33" i="22"/>
  <c r="E33" i="22"/>
  <c r="B34" i="22"/>
  <c r="C34" i="22"/>
  <c r="D34" i="22"/>
  <c r="E34" i="22"/>
  <c r="B35" i="22"/>
  <c r="C35" i="22"/>
  <c r="D35" i="22"/>
  <c r="E35" i="22"/>
  <c r="B36" i="22"/>
  <c r="C36" i="22"/>
  <c r="D36" i="22"/>
  <c r="E36" i="22"/>
  <c r="B37" i="22"/>
  <c r="C37" i="22"/>
  <c r="D37" i="22"/>
  <c r="E37" i="22"/>
  <c r="B38" i="22"/>
  <c r="C38" i="22"/>
  <c r="D38" i="22"/>
  <c r="E38" i="22"/>
  <c r="B39" i="22"/>
  <c r="C39" i="22"/>
  <c r="D39" i="22"/>
  <c r="E39" i="22"/>
  <c r="B40" i="22"/>
  <c r="C40" i="22"/>
  <c r="D40" i="22"/>
  <c r="E40" i="22"/>
  <c r="B41" i="22"/>
  <c r="C41" i="22"/>
  <c r="D41" i="22"/>
  <c r="E41" i="22"/>
  <c r="B42" i="22"/>
  <c r="C42" i="22"/>
  <c r="D42" i="22"/>
  <c r="E42" i="22"/>
  <c r="B43" i="22"/>
  <c r="C43" i="22"/>
  <c r="D43" i="22"/>
  <c r="E43" i="22"/>
  <c r="B44" i="22"/>
  <c r="C44" i="22"/>
  <c r="D44" i="22"/>
  <c r="E44" i="22"/>
  <c r="B45" i="22"/>
  <c r="C45" i="22"/>
  <c r="D45" i="22"/>
  <c r="E45" i="22"/>
  <c r="B46" i="22"/>
  <c r="C46" i="22"/>
  <c r="D46" i="22"/>
  <c r="E46" i="22"/>
  <c r="B47" i="22"/>
  <c r="C47" i="22"/>
  <c r="D47" i="22"/>
  <c r="E47" i="22"/>
  <c r="B48" i="22"/>
  <c r="C48" i="22"/>
  <c r="D48" i="22"/>
  <c r="E48" i="22"/>
  <c r="B49" i="22"/>
  <c r="C49" i="22"/>
  <c r="D49" i="22"/>
  <c r="E49" i="22"/>
  <c r="B50" i="22"/>
  <c r="C50" i="22"/>
  <c r="D50" i="22"/>
  <c r="E50" i="22"/>
  <c r="B51" i="22"/>
  <c r="C51" i="22"/>
  <c r="D51" i="22"/>
  <c r="E51" i="22"/>
  <c r="B52" i="22"/>
  <c r="C52" i="22"/>
  <c r="D52" i="22"/>
  <c r="E52" i="22"/>
  <c r="B53" i="22"/>
  <c r="C53" i="22"/>
  <c r="D53" i="22"/>
  <c r="E53" i="22"/>
  <c r="B54" i="22"/>
  <c r="C54" i="22"/>
  <c r="D54" i="22"/>
  <c r="E54" i="22"/>
  <c r="B55" i="22"/>
  <c r="C55" i="22"/>
  <c r="D55" i="22"/>
  <c r="E55" i="22"/>
  <c r="B56" i="22"/>
  <c r="C56" i="22"/>
  <c r="D56" i="22"/>
  <c r="E56" i="22"/>
  <c r="B57" i="22"/>
  <c r="C57" i="22"/>
  <c r="D57" i="22"/>
  <c r="E57" i="22"/>
  <c r="B58" i="22"/>
  <c r="C58" i="22"/>
  <c r="D58" i="22"/>
  <c r="E58" i="22"/>
  <c r="B59" i="22"/>
  <c r="C59" i="22"/>
  <c r="D59" i="22"/>
  <c r="E59" i="22"/>
  <c r="B60" i="22"/>
  <c r="C60" i="22"/>
  <c r="D60" i="22"/>
  <c r="E60" i="22"/>
  <c r="B61" i="22"/>
  <c r="C61" i="22"/>
  <c r="D61" i="22"/>
  <c r="E61" i="22"/>
  <c r="B62" i="22"/>
  <c r="C62" i="22"/>
  <c r="D62" i="22"/>
  <c r="E62" i="22"/>
  <c r="B63" i="22"/>
  <c r="C63" i="22"/>
  <c r="D63" i="22"/>
  <c r="E63" i="22"/>
  <c r="B64" i="22"/>
  <c r="C64" i="22"/>
  <c r="D64" i="22"/>
  <c r="E64" i="22"/>
  <c r="B65" i="22"/>
  <c r="C65" i="22"/>
  <c r="D65" i="22"/>
  <c r="E65" i="22"/>
  <c r="B66" i="22"/>
  <c r="C66" i="22"/>
  <c r="D66" i="22"/>
  <c r="E66" i="22"/>
  <c r="B67" i="22"/>
  <c r="C67" i="22"/>
  <c r="D67" i="22"/>
  <c r="E67" i="22"/>
  <c r="B68" i="22"/>
  <c r="C68" i="22"/>
  <c r="D68" i="22"/>
  <c r="E68" i="22"/>
  <c r="B69" i="22"/>
  <c r="C69" i="22"/>
  <c r="D69" i="22"/>
  <c r="E69" i="22"/>
  <c r="B70" i="22"/>
  <c r="C70" i="22"/>
  <c r="D70" i="22"/>
  <c r="E70" i="22"/>
  <c r="B71" i="22"/>
  <c r="C71" i="22"/>
  <c r="D71" i="22"/>
  <c r="E71" i="22"/>
  <c r="B72" i="22"/>
  <c r="C72" i="22"/>
  <c r="D72" i="22"/>
  <c r="E72" i="22"/>
  <c r="B73" i="22"/>
  <c r="C73" i="22"/>
  <c r="D73" i="22"/>
  <c r="E73" i="22"/>
  <c r="B74" i="22"/>
  <c r="C74" i="22"/>
  <c r="D74" i="22"/>
  <c r="E74" i="22"/>
  <c r="B75" i="22"/>
  <c r="C75" i="22"/>
  <c r="D75" i="22"/>
  <c r="E75" i="22"/>
  <c r="B76" i="22"/>
  <c r="C76" i="22"/>
  <c r="D76" i="22"/>
  <c r="E76" i="22"/>
  <c r="B77" i="22"/>
  <c r="C77" i="22"/>
  <c r="D77" i="22"/>
  <c r="E77" i="22"/>
  <c r="B78" i="22"/>
  <c r="C78" i="22"/>
  <c r="D78" i="22"/>
  <c r="E78" i="22"/>
  <c r="B79" i="22"/>
  <c r="C79" i="22"/>
  <c r="D79" i="22"/>
  <c r="E79" i="22"/>
  <c r="B80" i="22"/>
  <c r="C80" i="22"/>
  <c r="D80" i="22"/>
  <c r="E80" i="22"/>
  <c r="B81" i="22"/>
  <c r="C81" i="22"/>
  <c r="D81" i="22"/>
  <c r="E81" i="22"/>
  <c r="D99" i="22"/>
  <c r="E99" i="22"/>
  <c r="B99" i="22"/>
  <c r="C99" i="22"/>
  <c r="B100" i="22"/>
  <c r="C100" i="22"/>
  <c r="D100" i="22"/>
  <c r="E100" i="22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T114" i="13"/>
  <c r="AA113" i="13"/>
  <c r="R114" i="13"/>
  <c r="R113" i="13"/>
  <c r="S113" i="13" s="1"/>
  <c r="R112" i="13"/>
  <c r="S112" i="13" s="1"/>
  <c r="R111" i="13"/>
  <c r="R115" i="13" s="1"/>
  <c r="U100" i="13"/>
  <c r="S99" i="13"/>
  <c r="S100" i="13"/>
  <c r="S101" i="13"/>
  <c r="S102" i="13"/>
  <c r="S98" i="13"/>
  <c r="R103" i="13"/>
  <c r="S103" i="13" s="1"/>
  <c r="R102" i="13"/>
  <c r="Q100" i="13"/>
  <c r="AA100" i="13" s="1"/>
  <c r="Q101" i="13"/>
  <c r="P99" i="13"/>
  <c r="Q99" i="13" s="1"/>
  <c r="P100" i="13"/>
  <c r="P101" i="13"/>
  <c r="P102" i="13"/>
  <c r="Q102" i="13" s="1"/>
  <c r="Z102" i="13" s="1"/>
  <c r="P103" i="13"/>
  <c r="Q103" i="13" s="1"/>
  <c r="P104" i="13"/>
  <c r="Q104" i="13" s="1"/>
  <c r="P106" i="13"/>
  <c r="Q106" i="13" s="1"/>
  <c r="P107" i="13"/>
  <c r="Q107" i="13" s="1"/>
  <c r="P108" i="13"/>
  <c r="Q108" i="13" s="1"/>
  <c r="P109" i="13"/>
  <c r="Q109" i="13" s="1"/>
  <c r="P110" i="13"/>
  <c r="Q110" i="13" s="1"/>
  <c r="P111" i="13"/>
  <c r="Q111" i="13" s="1"/>
  <c r="P112" i="13"/>
  <c r="Q112" i="13" s="1"/>
  <c r="P113" i="13"/>
  <c r="Q113" i="13" s="1"/>
  <c r="Z113" i="13" s="1"/>
  <c r="P98" i="13"/>
  <c r="Q98" i="13" s="1"/>
  <c r="Q94" i="13" s="1"/>
  <c r="R94" i="13" s="1"/>
  <c r="S94" i="13" s="1"/>
  <c r="J99" i="13"/>
  <c r="T99" i="13" s="1"/>
  <c r="U99" i="13" s="1"/>
  <c r="J100" i="13"/>
  <c r="T100" i="13" s="1"/>
  <c r="J101" i="13"/>
  <c r="T101" i="13" s="1"/>
  <c r="U101" i="13" s="1"/>
  <c r="J102" i="13"/>
  <c r="T102" i="13" s="1"/>
  <c r="J103" i="13"/>
  <c r="T103" i="13" s="1"/>
  <c r="U103" i="13" s="1"/>
  <c r="J104" i="13"/>
  <c r="J106" i="13"/>
  <c r="J107" i="13"/>
  <c r="J108" i="13"/>
  <c r="J109" i="13"/>
  <c r="J110" i="13"/>
  <c r="J111" i="13"/>
  <c r="T111" i="13" s="1"/>
  <c r="J112" i="13"/>
  <c r="T112" i="13" s="1"/>
  <c r="J113" i="13"/>
  <c r="T113" i="13" s="1"/>
  <c r="J114" i="13"/>
  <c r="J115" i="13"/>
  <c r="T115" i="13" s="1"/>
  <c r="J116" i="13"/>
  <c r="T116" i="13" s="1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98" i="13"/>
  <c r="T98" i="13" s="1"/>
  <c r="U98" i="13" s="1"/>
  <c r="AA108" i="14"/>
  <c r="T126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R124" i="14"/>
  <c r="R123" i="14"/>
  <c r="Q111" i="14"/>
  <c r="R125" i="14"/>
  <c r="P125" i="14" s="1"/>
  <c r="Q125" i="14" s="1"/>
  <c r="R126" i="14"/>
  <c r="S126" i="14" s="1"/>
  <c r="R127" i="14"/>
  <c r="S127" i="14" s="1"/>
  <c r="R122" i="14"/>
  <c r="P122" i="14" s="1"/>
  <c r="Q122" i="14" s="1"/>
  <c r="P106" i="14"/>
  <c r="Q106" i="14" s="1"/>
  <c r="P107" i="14"/>
  <c r="Q107" i="14" s="1"/>
  <c r="P108" i="14"/>
  <c r="Q108" i="14" s="1"/>
  <c r="Z108" i="14" s="1"/>
  <c r="P109" i="14"/>
  <c r="Q109" i="14" s="1"/>
  <c r="P110" i="14"/>
  <c r="Q110" i="14" s="1"/>
  <c r="P111" i="14"/>
  <c r="P112" i="14"/>
  <c r="Q112" i="14" s="1"/>
  <c r="P105" i="14"/>
  <c r="Q105" i="14" s="1"/>
  <c r="J106" i="14"/>
  <c r="T106" i="14" s="1"/>
  <c r="J107" i="14"/>
  <c r="T107" i="14" s="1"/>
  <c r="J108" i="14"/>
  <c r="T108" i="14" s="1"/>
  <c r="J109" i="14"/>
  <c r="T109" i="14" s="1"/>
  <c r="J110" i="14"/>
  <c r="T110" i="14" s="1"/>
  <c r="J111" i="14"/>
  <c r="T111" i="14" s="1"/>
  <c r="J112" i="14"/>
  <c r="T112" i="14" s="1"/>
  <c r="J113" i="14"/>
  <c r="J114" i="14"/>
  <c r="J115" i="14"/>
  <c r="J116" i="14"/>
  <c r="J117" i="14"/>
  <c r="J118" i="14"/>
  <c r="J119" i="14"/>
  <c r="J120" i="14"/>
  <c r="J121" i="14"/>
  <c r="J122" i="14"/>
  <c r="T122" i="14" s="1"/>
  <c r="J123" i="14"/>
  <c r="T123" i="14" s="1"/>
  <c r="J124" i="14"/>
  <c r="T124" i="14" s="1"/>
  <c r="J125" i="14"/>
  <c r="T125" i="14" s="1"/>
  <c r="J126" i="14"/>
  <c r="J127" i="14"/>
  <c r="T127" i="14" s="1"/>
  <c r="U127" i="14" s="1"/>
  <c r="J105" i="14"/>
  <c r="T105" i="14" s="1"/>
  <c r="Z124" i="21"/>
  <c r="Z125" i="21"/>
  <c r="T124" i="21"/>
  <c r="S120" i="21"/>
  <c r="S121" i="21"/>
  <c r="S122" i="21"/>
  <c r="S119" i="21"/>
  <c r="Q120" i="21"/>
  <c r="Q121" i="21"/>
  <c r="AA121" i="21" s="1"/>
  <c r="Q122" i="21"/>
  <c r="Q123" i="21"/>
  <c r="Q124" i="21"/>
  <c r="AA124" i="21" s="1"/>
  <c r="Q125" i="21"/>
  <c r="AA125" i="21" s="1"/>
  <c r="Q126" i="21"/>
  <c r="Q119" i="21"/>
  <c r="Z119" i="21" s="1"/>
  <c r="R120" i="21"/>
  <c r="R121" i="21"/>
  <c r="R122" i="21"/>
  <c r="R119" i="21"/>
  <c r="R125" i="21"/>
  <c r="P125" i="21" s="1"/>
  <c r="R123" i="21"/>
  <c r="P123" i="21" s="1"/>
  <c r="Y89" i="21"/>
  <c r="S90" i="21"/>
  <c r="S91" i="21"/>
  <c r="S92" i="21"/>
  <c r="S89" i="21"/>
  <c r="Q90" i="21"/>
  <c r="AA90" i="21" s="1"/>
  <c r="Q91" i="21"/>
  <c r="P90" i="21"/>
  <c r="P91" i="21"/>
  <c r="P92" i="21"/>
  <c r="Q92" i="21" s="1"/>
  <c r="AA92" i="21" s="1"/>
  <c r="P89" i="21"/>
  <c r="Q89" i="21" s="1"/>
  <c r="P120" i="21"/>
  <c r="P121" i="21"/>
  <c r="P122" i="21"/>
  <c r="P119" i="21"/>
  <c r="J120" i="21"/>
  <c r="T120" i="21" s="1"/>
  <c r="U120" i="21" s="1"/>
  <c r="J121" i="21"/>
  <c r="T121" i="21" s="1"/>
  <c r="U121" i="21" s="1"/>
  <c r="J122" i="21"/>
  <c r="T122" i="21" s="1"/>
  <c r="U122" i="21" s="1"/>
  <c r="J123" i="21"/>
  <c r="T123" i="21" s="1"/>
  <c r="J124" i="21"/>
  <c r="J125" i="21"/>
  <c r="T125" i="21" s="1"/>
  <c r="J126" i="21"/>
  <c r="T126" i="21" s="1"/>
  <c r="J119" i="21"/>
  <c r="T119" i="21" s="1"/>
  <c r="U119" i="21" s="1"/>
  <c r="J90" i="21"/>
  <c r="T90" i="21" s="1"/>
  <c r="J91" i="21"/>
  <c r="T91" i="21" s="1"/>
  <c r="J92" i="21"/>
  <c r="T92" i="21" s="1"/>
  <c r="U92" i="21" s="1"/>
  <c r="J89" i="21"/>
  <c r="T89" i="21" s="1"/>
  <c r="U89" i="21" s="1"/>
  <c r="B143" i="21"/>
  <c r="C143" i="21"/>
  <c r="D143" i="21"/>
  <c r="E143" i="21"/>
  <c r="D142" i="21"/>
  <c r="E142" i="21"/>
  <c r="B142" i="21"/>
  <c r="C142" i="21"/>
  <c r="B141" i="21"/>
  <c r="C141" i="21"/>
  <c r="D141" i="21"/>
  <c r="E141" i="21"/>
  <c r="D140" i="21"/>
  <c r="E140" i="21"/>
  <c r="B140" i="21"/>
  <c r="C140" i="21"/>
  <c r="D138" i="21"/>
  <c r="E138" i="21"/>
  <c r="B138" i="21"/>
  <c r="C138" i="21"/>
  <c r="B139" i="21"/>
  <c r="C139" i="21"/>
  <c r="D139" i="21"/>
  <c r="E139" i="21"/>
  <c r="B137" i="21"/>
  <c r="C137" i="21"/>
  <c r="D137" i="21"/>
  <c r="E137" i="21"/>
  <c r="D136" i="21"/>
  <c r="E136" i="21"/>
  <c r="B136" i="21"/>
  <c r="C136" i="21"/>
  <c r="B135" i="21"/>
  <c r="C135" i="21"/>
  <c r="D135" i="21"/>
  <c r="E135" i="21"/>
  <c r="D134" i="21"/>
  <c r="E134" i="21"/>
  <c r="B134" i="21"/>
  <c r="C134" i="21"/>
  <c r="D130" i="21"/>
  <c r="E130" i="21"/>
  <c r="B130" i="21"/>
  <c r="C130" i="21"/>
  <c r="B131" i="21"/>
  <c r="C131" i="21"/>
  <c r="D131" i="21"/>
  <c r="E131" i="21"/>
  <c r="B129" i="21"/>
  <c r="C129" i="21"/>
  <c r="D129" i="21"/>
  <c r="E129" i="21"/>
  <c r="D128" i="21"/>
  <c r="E128" i="21"/>
  <c r="B128" i="21"/>
  <c r="C128" i="21"/>
  <c r="D132" i="21"/>
  <c r="E132" i="21"/>
  <c r="B132" i="21"/>
  <c r="C132" i="21"/>
  <c r="B133" i="21"/>
  <c r="C133" i="21"/>
  <c r="D133" i="21"/>
  <c r="E133" i="21"/>
  <c r="D126" i="21"/>
  <c r="X126" i="21" s="1"/>
  <c r="E126" i="21"/>
  <c r="Y126" i="21" s="1"/>
  <c r="B126" i="21"/>
  <c r="V126" i="21" s="1"/>
  <c r="C126" i="21"/>
  <c r="W126" i="21" s="1"/>
  <c r="B127" i="21"/>
  <c r="C127" i="21"/>
  <c r="D127" i="21"/>
  <c r="E127" i="21"/>
  <c r="B125" i="21"/>
  <c r="V125" i="21" s="1"/>
  <c r="C125" i="21"/>
  <c r="W125" i="21" s="1"/>
  <c r="D125" i="21"/>
  <c r="X125" i="21" s="1"/>
  <c r="E125" i="21"/>
  <c r="Y125" i="21" s="1"/>
  <c r="D124" i="21"/>
  <c r="X124" i="21" s="1"/>
  <c r="E124" i="21"/>
  <c r="Y124" i="21" s="1"/>
  <c r="B124" i="21"/>
  <c r="V124" i="21" s="1"/>
  <c r="C124" i="21"/>
  <c r="W124" i="21" s="1"/>
  <c r="B123" i="21"/>
  <c r="V123" i="21" s="1"/>
  <c r="C123" i="21"/>
  <c r="W123" i="21" s="1"/>
  <c r="D123" i="21"/>
  <c r="X123" i="21" s="1"/>
  <c r="E123" i="21"/>
  <c r="Y123" i="21" s="1"/>
  <c r="D122" i="21"/>
  <c r="X122" i="21" s="1"/>
  <c r="E122" i="21"/>
  <c r="Y122" i="21" s="1"/>
  <c r="B122" i="21"/>
  <c r="V122" i="21" s="1"/>
  <c r="C122" i="21"/>
  <c r="W122" i="21" s="1"/>
  <c r="D120" i="21"/>
  <c r="X120" i="21" s="1"/>
  <c r="E120" i="21"/>
  <c r="Y120" i="21" s="1"/>
  <c r="B120" i="21"/>
  <c r="V120" i="21" s="1"/>
  <c r="C120" i="21"/>
  <c r="W120" i="21" s="1"/>
  <c r="B121" i="21"/>
  <c r="V121" i="21" s="1"/>
  <c r="C121" i="21"/>
  <c r="W121" i="21" s="1"/>
  <c r="D121" i="21"/>
  <c r="X121" i="21" s="1"/>
  <c r="E121" i="21"/>
  <c r="Y121" i="21" s="1"/>
  <c r="B119" i="21"/>
  <c r="V119" i="21" s="1"/>
  <c r="C119" i="21"/>
  <c r="W119" i="21" s="1"/>
  <c r="D119" i="21"/>
  <c r="X119" i="21" s="1"/>
  <c r="E119" i="21"/>
  <c r="Y119" i="21" s="1"/>
  <c r="D118" i="21"/>
  <c r="E118" i="21"/>
  <c r="B118" i="21"/>
  <c r="C118" i="21"/>
  <c r="D116" i="21"/>
  <c r="E116" i="21"/>
  <c r="B116" i="21"/>
  <c r="C116" i="21"/>
  <c r="B117" i="21"/>
  <c r="C117" i="21"/>
  <c r="D117" i="21"/>
  <c r="E117" i="21"/>
  <c r="D114" i="21"/>
  <c r="E114" i="21"/>
  <c r="B114" i="21"/>
  <c r="C114" i="21"/>
  <c r="B115" i="21"/>
  <c r="C115" i="21"/>
  <c r="D115" i="21"/>
  <c r="E115" i="21"/>
  <c r="B113" i="21"/>
  <c r="C113" i="21"/>
  <c r="D113" i="21"/>
  <c r="E113" i="21"/>
  <c r="D112" i="21"/>
  <c r="E112" i="21"/>
  <c r="B112" i="21"/>
  <c r="C112" i="21"/>
  <c r="B104" i="21"/>
  <c r="C104" i="21"/>
  <c r="D104" i="21"/>
  <c r="E104" i="21"/>
  <c r="D103" i="21"/>
  <c r="E103" i="21"/>
  <c r="B103" i="21"/>
  <c r="C103" i="21"/>
  <c r="D101" i="21"/>
  <c r="E101" i="21"/>
  <c r="B101" i="21"/>
  <c r="C101" i="21"/>
  <c r="B102" i="21"/>
  <c r="C102" i="21"/>
  <c r="D102" i="21"/>
  <c r="E102" i="21"/>
  <c r="D99" i="21"/>
  <c r="E99" i="21"/>
  <c r="B99" i="21"/>
  <c r="C99" i="21"/>
  <c r="B100" i="21"/>
  <c r="C100" i="21"/>
  <c r="D100" i="21"/>
  <c r="E100" i="21"/>
  <c r="D97" i="21"/>
  <c r="E97" i="21"/>
  <c r="B97" i="21"/>
  <c r="C97" i="21"/>
  <c r="B98" i="21"/>
  <c r="C98" i="21"/>
  <c r="D98" i="21"/>
  <c r="E98" i="21"/>
  <c r="C88" i="21"/>
  <c r="C96" i="21" s="1"/>
  <c r="D88" i="21"/>
  <c r="D96" i="21" s="1"/>
  <c r="E88" i="21"/>
  <c r="E96" i="21" s="1"/>
  <c r="F88" i="21"/>
  <c r="F96" i="21" s="1"/>
  <c r="G88" i="21"/>
  <c r="G96" i="21" s="1"/>
  <c r="H88" i="21"/>
  <c r="H96" i="21" s="1"/>
  <c r="I88" i="21"/>
  <c r="I96" i="21" s="1"/>
  <c r="K88" i="21"/>
  <c r="K96" i="21" s="1"/>
  <c r="L88" i="21"/>
  <c r="L96" i="21" s="1"/>
  <c r="M88" i="21"/>
  <c r="M96" i="21" s="1"/>
  <c r="N88" i="21"/>
  <c r="N96" i="21" s="1"/>
  <c r="O88" i="21"/>
  <c r="O96" i="21" s="1"/>
  <c r="P88" i="21"/>
  <c r="Q88" i="21"/>
  <c r="S88" i="21"/>
  <c r="T88" i="21"/>
  <c r="U88" i="21"/>
  <c r="V88" i="21"/>
  <c r="V96" i="19" s="1"/>
  <c r="V107" i="19" s="1"/>
  <c r="W88" i="21"/>
  <c r="W96" i="19" s="1"/>
  <c r="W107" i="19" s="1"/>
  <c r="X88" i="21"/>
  <c r="Y88" i="21"/>
  <c r="B88" i="21"/>
  <c r="B96" i="21" s="1"/>
  <c r="D92" i="21"/>
  <c r="X92" i="21" s="1"/>
  <c r="E92" i="21"/>
  <c r="Y92" i="21" s="1"/>
  <c r="B92" i="21"/>
  <c r="V92" i="21" s="1"/>
  <c r="C92" i="21"/>
  <c r="W92" i="21" s="1"/>
  <c r="B91" i="21"/>
  <c r="V91" i="21" s="1"/>
  <c r="C91" i="21"/>
  <c r="W91" i="21" s="1"/>
  <c r="D91" i="21"/>
  <c r="X91" i="21" s="1"/>
  <c r="E91" i="21"/>
  <c r="Y91" i="21" s="1"/>
  <c r="D90" i="21"/>
  <c r="X90" i="21" s="1"/>
  <c r="E90" i="21"/>
  <c r="Y90" i="21" s="1"/>
  <c r="B90" i="21"/>
  <c r="V90" i="21" s="1"/>
  <c r="C90" i="21"/>
  <c r="W90" i="21" s="1"/>
  <c r="B89" i="21"/>
  <c r="V89" i="21" s="1"/>
  <c r="C89" i="21"/>
  <c r="W89" i="21" s="1"/>
  <c r="D89" i="21"/>
  <c r="X89" i="21" s="1"/>
  <c r="E89" i="21"/>
  <c r="B4" i="21"/>
  <c r="C4" i="21"/>
  <c r="D4" i="21"/>
  <c r="E4" i="21"/>
  <c r="B5" i="21"/>
  <c r="C5" i="21"/>
  <c r="D5" i="21"/>
  <c r="E5" i="21"/>
  <c r="B6" i="21"/>
  <c r="C6" i="21"/>
  <c r="D6" i="21"/>
  <c r="E6" i="21"/>
  <c r="B7" i="21"/>
  <c r="C7" i="21"/>
  <c r="D7" i="21"/>
  <c r="E7" i="21"/>
  <c r="B8" i="21"/>
  <c r="C8" i="21"/>
  <c r="D8" i="21"/>
  <c r="E8" i="21"/>
  <c r="B9" i="21"/>
  <c r="C9" i="21"/>
  <c r="D9" i="21"/>
  <c r="E9" i="21"/>
  <c r="B10" i="21"/>
  <c r="C10" i="21"/>
  <c r="D10" i="21"/>
  <c r="E10" i="21"/>
  <c r="B11" i="21"/>
  <c r="C11" i="21"/>
  <c r="D11" i="21"/>
  <c r="E11" i="21"/>
  <c r="B12" i="21"/>
  <c r="C12" i="21"/>
  <c r="D12" i="21"/>
  <c r="E12" i="21"/>
  <c r="B13" i="21"/>
  <c r="C13" i="21"/>
  <c r="D13" i="21"/>
  <c r="E13" i="21"/>
  <c r="B14" i="21"/>
  <c r="C14" i="21"/>
  <c r="D14" i="21"/>
  <c r="E14" i="21"/>
  <c r="B15" i="21"/>
  <c r="C15" i="21"/>
  <c r="D15" i="21"/>
  <c r="E15" i="21"/>
  <c r="B16" i="21"/>
  <c r="C16" i="21"/>
  <c r="D16" i="21"/>
  <c r="E16" i="21"/>
  <c r="B17" i="21"/>
  <c r="C17" i="21"/>
  <c r="D17" i="21"/>
  <c r="E17" i="21"/>
  <c r="B18" i="21"/>
  <c r="C18" i="21"/>
  <c r="D18" i="21"/>
  <c r="E18" i="21"/>
  <c r="B19" i="21"/>
  <c r="C19" i="21"/>
  <c r="D19" i="21"/>
  <c r="E1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B26" i="21"/>
  <c r="C26" i="21"/>
  <c r="D26" i="21"/>
  <c r="E26" i="21"/>
  <c r="B27" i="21"/>
  <c r="C27" i="21"/>
  <c r="D27" i="21"/>
  <c r="E27" i="21"/>
  <c r="B28" i="21"/>
  <c r="C28" i="21"/>
  <c r="D28" i="21"/>
  <c r="E28" i="21"/>
  <c r="B29" i="21"/>
  <c r="C29" i="21"/>
  <c r="D29" i="21"/>
  <c r="E29" i="21"/>
  <c r="B30" i="21"/>
  <c r="C30" i="21"/>
  <c r="D30" i="21"/>
  <c r="E30" i="21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B35" i="21"/>
  <c r="C35" i="21"/>
  <c r="D35" i="21"/>
  <c r="E35" i="21"/>
  <c r="B36" i="21"/>
  <c r="C36" i="21"/>
  <c r="D36" i="21"/>
  <c r="E36" i="21"/>
  <c r="B37" i="21"/>
  <c r="C37" i="21"/>
  <c r="D37" i="21"/>
  <c r="E37" i="21"/>
  <c r="B38" i="21"/>
  <c r="C38" i="21"/>
  <c r="D38" i="21"/>
  <c r="E38" i="21"/>
  <c r="B39" i="21"/>
  <c r="C39" i="21"/>
  <c r="D39" i="21"/>
  <c r="E39" i="21"/>
  <c r="B40" i="21"/>
  <c r="C40" i="21"/>
  <c r="D40" i="21"/>
  <c r="E40" i="21"/>
  <c r="B41" i="21"/>
  <c r="C41" i="21"/>
  <c r="D41" i="21"/>
  <c r="E41" i="21"/>
  <c r="B42" i="21"/>
  <c r="C42" i="21"/>
  <c r="D42" i="21"/>
  <c r="E42" i="21"/>
  <c r="B43" i="21"/>
  <c r="C43" i="21"/>
  <c r="D43" i="21"/>
  <c r="E43" i="21"/>
  <c r="B44" i="21"/>
  <c r="C44" i="21"/>
  <c r="D44" i="21"/>
  <c r="E44" i="21"/>
  <c r="B45" i="21"/>
  <c r="C45" i="21"/>
  <c r="D45" i="21"/>
  <c r="E45" i="21"/>
  <c r="B46" i="21"/>
  <c r="C46" i="21"/>
  <c r="D46" i="21"/>
  <c r="E46" i="21"/>
  <c r="B47" i="21"/>
  <c r="C47" i="21"/>
  <c r="D47" i="21"/>
  <c r="E47" i="21"/>
  <c r="B48" i="21"/>
  <c r="C48" i="21"/>
  <c r="D48" i="21"/>
  <c r="E48" i="21"/>
  <c r="B49" i="21"/>
  <c r="C49" i="21"/>
  <c r="D49" i="21"/>
  <c r="E49" i="21"/>
  <c r="B50" i="21"/>
  <c r="C50" i="21"/>
  <c r="D50" i="21"/>
  <c r="E50" i="21"/>
  <c r="B51" i="21"/>
  <c r="C51" i="21"/>
  <c r="D51" i="21"/>
  <c r="E51" i="21"/>
  <c r="B52" i="21"/>
  <c r="C52" i="21"/>
  <c r="D52" i="21"/>
  <c r="E52" i="21"/>
  <c r="B53" i="21"/>
  <c r="C53" i="21"/>
  <c r="D53" i="21"/>
  <c r="E53" i="21"/>
  <c r="B54" i="21"/>
  <c r="C54" i="21"/>
  <c r="D54" i="21"/>
  <c r="E54" i="21"/>
  <c r="B55" i="21"/>
  <c r="C55" i="21"/>
  <c r="D55" i="21"/>
  <c r="E55" i="21"/>
  <c r="B56" i="21"/>
  <c r="C56" i="21"/>
  <c r="D56" i="21"/>
  <c r="E56" i="21"/>
  <c r="B57" i="21"/>
  <c r="C57" i="21"/>
  <c r="D57" i="21"/>
  <c r="E57" i="21"/>
  <c r="B58" i="21"/>
  <c r="C58" i="21"/>
  <c r="D58" i="21"/>
  <c r="E58" i="21"/>
  <c r="B59" i="21"/>
  <c r="C59" i="21"/>
  <c r="D59" i="21"/>
  <c r="E59" i="21"/>
  <c r="B60" i="21"/>
  <c r="C60" i="21"/>
  <c r="D60" i="21"/>
  <c r="E60" i="21"/>
  <c r="B61" i="21"/>
  <c r="C61" i="21"/>
  <c r="D61" i="21"/>
  <c r="E61" i="21"/>
  <c r="B62" i="21"/>
  <c r="C62" i="21"/>
  <c r="D62" i="21"/>
  <c r="E62" i="21"/>
  <c r="B63" i="21"/>
  <c r="C63" i="21"/>
  <c r="D63" i="21"/>
  <c r="E63" i="21"/>
  <c r="B64" i="21"/>
  <c r="C64" i="21"/>
  <c r="D64" i="21"/>
  <c r="E64" i="21"/>
  <c r="B65" i="21"/>
  <c r="C65" i="21"/>
  <c r="D65" i="21"/>
  <c r="E65" i="21"/>
  <c r="B66" i="21"/>
  <c r="C66" i="21"/>
  <c r="D66" i="21"/>
  <c r="E66" i="21"/>
  <c r="B67" i="21"/>
  <c r="C67" i="21"/>
  <c r="D67" i="21"/>
  <c r="E67" i="21"/>
  <c r="B68" i="21"/>
  <c r="C68" i="21"/>
  <c r="D68" i="21"/>
  <c r="E68" i="21"/>
  <c r="B69" i="21"/>
  <c r="C69" i="21"/>
  <c r="D69" i="21"/>
  <c r="E69" i="21"/>
  <c r="B70" i="21"/>
  <c r="C70" i="21"/>
  <c r="D70" i="21"/>
  <c r="E70" i="21"/>
  <c r="B71" i="21"/>
  <c r="C71" i="21"/>
  <c r="D71" i="21"/>
  <c r="E71" i="21"/>
  <c r="B72" i="21"/>
  <c r="C72" i="21"/>
  <c r="D72" i="21"/>
  <c r="E72" i="21"/>
  <c r="B73" i="21"/>
  <c r="C73" i="21"/>
  <c r="D73" i="21"/>
  <c r="E73" i="21"/>
  <c r="B74" i="21"/>
  <c r="C74" i="21"/>
  <c r="D74" i="21"/>
  <c r="E74" i="21"/>
  <c r="B75" i="21"/>
  <c r="C75" i="21"/>
  <c r="D75" i="21"/>
  <c r="E75" i="21"/>
  <c r="B76" i="21"/>
  <c r="C76" i="21"/>
  <c r="D76" i="21"/>
  <c r="E76" i="21"/>
  <c r="B77" i="21"/>
  <c r="C77" i="21"/>
  <c r="D77" i="21"/>
  <c r="E77" i="21"/>
  <c r="B78" i="21"/>
  <c r="C78" i="21"/>
  <c r="D78" i="21"/>
  <c r="E78" i="21"/>
  <c r="B79" i="21"/>
  <c r="C79" i="21"/>
  <c r="D79" i="21"/>
  <c r="E79" i="21"/>
  <c r="B80" i="21"/>
  <c r="C80" i="21"/>
  <c r="D80" i="21"/>
  <c r="E80" i="21"/>
  <c r="B81" i="21"/>
  <c r="C81" i="21"/>
  <c r="D81" i="21"/>
  <c r="E81" i="21"/>
  <c r="B82" i="21"/>
  <c r="C82" i="21"/>
  <c r="D82" i="21"/>
  <c r="E82" i="21"/>
  <c r="B83" i="21"/>
  <c r="C83" i="21"/>
  <c r="D83" i="21"/>
  <c r="E83" i="21"/>
  <c r="X119" i="12"/>
  <c r="Y119" i="12"/>
  <c r="X120" i="12"/>
  <c r="Y120" i="12"/>
  <c r="X121" i="12"/>
  <c r="Y121" i="12"/>
  <c r="W119" i="12"/>
  <c r="W120" i="12"/>
  <c r="W121" i="12"/>
  <c r="V119" i="12"/>
  <c r="V120" i="12"/>
  <c r="V121" i="12"/>
  <c r="Z93" i="20"/>
  <c r="S105" i="20"/>
  <c r="S101" i="20"/>
  <c r="S100" i="20"/>
  <c r="S97" i="20"/>
  <c r="S96" i="20"/>
  <c r="P101" i="20"/>
  <c r="Q101" i="20" s="1"/>
  <c r="P100" i="20"/>
  <c r="Q100" i="20" s="1"/>
  <c r="Z100" i="20" s="1"/>
  <c r="R101" i="20"/>
  <c r="R100" i="20"/>
  <c r="R99" i="20"/>
  <c r="S99" i="20" s="1"/>
  <c r="R98" i="20"/>
  <c r="P98" i="20" s="1"/>
  <c r="Q98" i="20" s="1"/>
  <c r="Z98" i="20" s="1"/>
  <c r="R97" i="20"/>
  <c r="R96" i="20"/>
  <c r="P97" i="20"/>
  <c r="Q97" i="20" s="1"/>
  <c r="P96" i="20"/>
  <c r="Q96" i="20" s="1"/>
  <c r="Z96" i="20" s="1"/>
  <c r="J89" i="20"/>
  <c r="J90" i="20"/>
  <c r="J91" i="20"/>
  <c r="J96" i="20"/>
  <c r="T96" i="20" s="1"/>
  <c r="J97" i="20"/>
  <c r="T97" i="20" s="1"/>
  <c r="J98" i="20"/>
  <c r="T98" i="20" s="1"/>
  <c r="J99" i="20"/>
  <c r="T99" i="20" s="1"/>
  <c r="J100" i="20"/>
  <c r="T100" i="20" s="1"/>
  <c r="J101" i="20"/>
  <c r="T101" i="20" s="1"/>
  <c r="J88" i="20"/>
  <c r="J87" i="20"/>
  <c r="J95" i="20" s="1"/>
  <c r="Y120" i="20"/>
  <c r="Y121" i="20"/>
  <c r="Y122" i="20"/>
  <c r="X120" i="20"/>
  <c r="X121" i="20"/>
  <c r="X122" i="20"/>
  <c r="W120" i="20"/>
  <c r="W121" i="20"/>
  <c r="W122" i="20"/>
  <c r="V120" i="20"/>
  <c r="V121" i="20"/>
  <c r="V122" i="20"/>
  <c r="J106" i="20"/>
  <c r="T106" i="20" s="1"/>
  <c r="J107" i="20"/>
  <c r="T107" i="20" s="1"/>
  <c r="J108" i="20"/>
  <c r="T108" i="20" s="1"/>
  <c r="J109" i="20"/>
  <c r="T109" i="20" s="1"/>
  <c r="J110" i="20"/>
  <c r="J111" i="20"/>
  <c r="T111" i="20" s="1"/>
  <c r="J112" i="20"/>
  <c r="T112" i="20" s="1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T134" i="20" s="1"/>
  <c r="J135" i="20"/>
  <c r="T135" i="20" s="1"/>
  <c r="J136" i="20"/>
  <c r="T136" i="20" s="1"/>
  <c r="U136" i="20" s="1"/>
  <c r="J137" i="20"/>
  <c r="T137" i="20" s="1"/>
  <c r="U137" i="20" s="1"/>
  <c r="J138" i="20"/>
  <c r="T138" i="20" s="1"/>
  <c r="J139" i="20"/>
  <c r="T139" i="20" s="1"/>
  <c r="J140" i="20"/>
  <c r="J141" i="20"/>
  <c r="J105" i="20"/>
  <c r="T105" i="20" s="1"/>
  <c r="AA139" i="20"/>
  <c r="P108" i="20"/>
  <c r="Q108" i="20" s="1"/>
  <c r="P109" i="20"/>
  <c r="Q109" i="20" s="1"/>
  <c r="P110" i="20"/>
  <c r="Q110" i="20" s="1"/>
  <c r="AA110" i="20" s="1"/>
  <c r="P111" i="20"/>
  <c r="Q111" i="20" s="1"/>
  <c r="Z111" i="20" s="1"/>
  <c r="P112" i="20"/>
  <c r="Q112" i="20" s="1"/>
  <c r="P113" i="20"/>
  <c r="Q113" i="20" s="1"/>
  <c r="P114" i="20"/>
  <c r="Q114" i="20" s="1"/>
  <c r="P115" i="20"/>
  <c r="Q115" i="20" s="1"/>
  <c r="P116" i="20"/>
  <c r="Q116" i="20" s="1"/>
  <c r="P117" i="20"/>
  <c r="Q117" i="20" s="1"/>
  <c r="P118" i="20"/>
  <c r="Q118" i="20" s="1"/>
  <c r="P119" i="20"/>
  <c r="Q119" i="20" s="1"/>
  <c r="P120" i="20"/>
  <c r="Q120" i="20" s="1"/>
  <c r="P121" i="20"/>
  <c r="Q121" i="20" s="1"/>
  <c r="P122" i="20"/>
  <c r="Q122" i="20" s="1"/>
  <c r="P123" i="20"/>
  <c r="Q123" i="20" s="1"/>
  <c r="P124" i="20"/>
  <c r="Q124" i="20" s="1"/>
  <c r="P125" i="20"/>
  <c r="Q125" i="20" s="1"/>
  <c r="P126" i="20"/>
  <c r="Q126" i="20" s="1"/>
  <c r="P127" i="20"/>
  <c r="Q127" i="20" s="1"/>
  <c r="P128" i="20"/>
  <c r="Q128" i="20" s="1"/>
  <c r="P129" i="20"/>
  <c r="Q129" i="20" s="1"/>
  <c r="P130" i="20"/>
  <c r="Q130" i="20" s="1"/>
  <c r="P131" i="20"/>
  <c r="Q131" i="20" s="1"/>
  <c r="P132" i="20"/>
  <c r="Q132" i="20" s="1"/>
  <c r="P133" i="20"/>
  <c r="Q133" i="20" s="1"/>
  <c r="AA135" i="20"/>
  <c r="AA136" i="20"/>
  <c r="AA137" i="20"/>
  <c r="P107" i="20"/>
  <c r="Q107" i="20" s="1"/>
  <c r="P106" i="20"/>
  <c r="Q106" i="20" s="1"/>
  <c r="AA106" i="20" s="1"/>
  <c r="P105" i="20"/>
  <c r="Q105" i="20" s="1"/>
  <c r="S139" i="20"/>
  <c r="S138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07" i="20"/>
  <c r="U107" i="20" s="1"/>
  <c r="S106" i="20"/>
  <c r="R141" i="20"/>
  <c r="R140" i="20"/>
  <c r="P140" i="20" s="1"/>
  <c r="Q140" i="20" s="1"/>
  <c r="R139" i="20"/>
  <c r="P139" i="20" s="1"/>
  <c r="Q139" i="20" s="1"/>
  <c r="Z139" i="20" s="1"/>
  <c r="R138" i="20"/>
  <c r="R106" i="20"/>
  <c r="R105" i="20"/>
  <c r="Q104" i="20"/>
  <c r="Q87" i="20" s="1"/>
  <c r="Q95" i="20" s="1"/>
  <c r="R104" i="20"/>
  <c r="R87" i="20" s="1"/>
  <c r="R95" i="20" s="1"/>
  <c r="S104" i="20"/>
  <c r="S87" i="20" s="1"/>
  <c r="S95" i="20" s="1"/>
  <c r="T104" i="20"/>
  <c r="T87" i="20" s="1"/>
  <c r="T95" i="20" s="1"/>
  <c r="U104" i="20"/>
  <c r="U87" i="20" s="1"/>
  <c r="U95" i="20" s="1"/>
  <c r="V104" i="20"/>
  <c r="V87" i="20" s="1"/>
  <c r="V95" i="20" s="1"/>
  <c r="W104" i="20"/>
  <c r="W87" i="20" s="1"/>
  <c r="W95" i="20" s="1"/>
  <c r="X104" i="20"/>
  <c r="X87" i="20" s="1"/>
  <c r="X95" i="20" s="1"/>
  <c r="Y104" i="20"/>
  <c r="Y87" i="20" s="1"/>
  <c r="Y95" i="20" s="1"/>
  <c r="P104" i="20"/>
  <c r="P87" i="20" s="1"/>
  <c r="P95" i="20" s="1"/>
  <c r="D141" i="20"/>
  <c r="X141" i="20" s="1"/>
  <c r="E141" i="20"/>
  <c r="Y141" i="20" s="1"/>
  <c r="B141" i="20"/>
  <c r="V141" i="20" s="1"/>
  <c r="C141" i="20"/>
  <c r="W141" i="20" s="1"/>
  <c r="D139" i="20"/>
  <c r="X139" i="20" s="1"/>
  <c r="E139" i="20"/>
  <c r="Y139" i="20" s="1"/>
  <c r="B139" i="20"/>
  <c r="V139" i="20" s="1"/>
  <c r="C139" i="20"/>
  <c r="W139" i="20" s="1"/>
  <c r="B140" i="20"/>
  <c r="V140" i="20" s="1"/>
  <c r="C140" i="20"/>
  <c r="W140" i="20" s="1"/>
  <c r="D140" i="20"/>
  <c r="X140" i="20" s="1"/>
  <c r="E140" i="20"/>
  <c r="Y140" i="20" s="1"/>
  <c r="B138" i="20"/>
  <c r="V138" i="20" s="1"/>
  <c r="C138" i="20"/>
  <c r="W138" i="20" s="1"/>
  <c r="D138" i="20"/>
  <c r="X138" i="20" s="1"/>
  <c r="E138" i="20"/>
  <c r="Y138" i="20" s="1"/>
  <c r="D137" i="20"/>
  <c r="X137" i="20" s="1"/>
  <c r="E137" i="20"/>
  <c r="Y137" i="20" s="1"/>
  <c r="B137" i="20"/>
  <c r="V137" i="20" s="1"/>
  <c r="C137" i="20"/>
  <c r="W137" i="20" s="1"/>
  <c r="D135" i="20"/>
  <c r="X135" i="20" s="1"/>
  <c r="E135" i="20"/>
  <c r="Y135" i="20" s="1"/>
  <c r="B135" i="20"/>
  <c r="V135" i="20" s="1"/>
  <c r="C135" i="20"/>
  <c r="W135" i="20" s="1"/>
  <c r="B136" i="20"/>
  <c r="V136" i="20" s="1"/>
  <c r="C136" i="20"/>
  <c r="W136" i="20" s="1"/>
  <c r="D136" i="20"/>
  <c r="X136" i="20" s="1"/>
  <c r="E136" i="20"/>
  <c r="Y136" i="20" s="1"/>
  <c r="B132" i="20"/>
  <c r="V132" i="20" s="1"/>
  <c r="C132" i="20"/>
  <c r="W132" i="20" s="1"/>
  <c r="D132" i="20"/>
  <c r="X132" i="20" s="1"/>
  <c r="E132" i="20"/>
  <c r="Y132" i="20" s="1"/>
  <c r="D131" i="20"/>
  <c r="X131" i="20" s="1"/>
  <c r="E131" i="20"/>
  <c r="Y131" i="20" s="1"/>
  <c r="B131" i="20"/>
  <c r="V131" i="20" s="1"/>
  <c r="C131" i="20"/>
  <c r="W131" i="20" s="1"/>
  <c r="D133" i="20"/>
  <c r="X133" i="20" s="1"/>
  <c r="E133" i="20"/>
  <c r="Y133" i="20" s="1"/>
  <c r="B133" i="20"/>
  <c r="V133" i="20" s="1"/>
  <c r="C133" i="20"/>
  <c r="W133" i="20" s="1"/>
  <c r="B134" i="20"/>
  <c r="V134" i="20" s="1"/>
  <c r="C134" i="20"/>
  <c r="W134" i="20" s="1"/>
  <c r="D134" i="20"/>
  <c r="X134" i="20" s="1"/>
  <c r="E134" i="20"/>
  <c r="Y134" i="20" s="1"/>
  <c r="D129" i="20"/>
  <c r="X129" i="20" s="1"/>
  <c r="E129" i="20"/>
  <c r="Y129" i="20" s="1"/>
  <c r="B129" i="20"/>
  <c r="V129" i="20" s="1"/>
  <c r="C129" i="20"/>
  <c r="W129" i="20" s="1"/>
  <c r="B130" i="20"/>
  <c r="V130" i="20" s="1"/>
  <c r="C130" i="20"/>
  <c r="W130" i="20" s="1"/>
  <c r="D130" i="20"/>
  <c r="X130" i="20" s="1"/>
  <c r="E130" i="20"/>
  <c r="Y130" i="20" s="1"/>
  <c r="B128" i="20"/>
  <c r="V128" i="20" s="1"/>
  <c r="C128" i="20"/>
  <c r="W128" i="20" s="1"/>
  <c r="D128" i="20"/>
  <c r="X128" i="20" s="1"/>
  <c r="E128" i="20"/>
  <c r="Y128" i="20" s="1"/>
  <c r="D127" i="20"/>
  <c r="X127" i="20" s="1"/>
  <c r="E127" i="20"/>
  <c r="Y127" i="20" s="1"/>
  <c r="B127" i="20"/>
  <c r="V127" i="20" s="1"/>
  <c r="C127" i="20"/>
  <c r="W127" i="20" s="1"/>
  <c r="B124" i="20"/>
  <c r="V124" i="20" s="1"/>
  <c r="C124" i="20"/>
  <c r="W124" i="20" s="1"/>
  <c r="D124" i="20"/>
  <c r="X124" i="20" s="1"/>
  <c r="E124" i="20"/>
  <c r="Y124" i="20" s="1"/>
  <c r="D123" i="20"/>
  <c r="X123" i="20" s="1"/>
  <c r="E123" i="20"/>
  <c r="Y123" i="20" s="1"/>
  <c r="B123" i="20"/>
  <c r="V123" i="20" s="1"/>
  <c r="C123" i="20"/>
  <c r="W123" i="20" s="1"/>
  <c r="D125" i="20"/>
  <c r="X125" i="20" s="1"/>
  <c r="E125" i="20"/>
  <c r="Y125" i="20" s="1"/>
  <c r="B125" i="20"/>
  <c r="V125" i="20" s="1"/>
  <c r="C125" i="20"/>
  <c r="W125" i="20" s="1"/>
  <c r="B126" i="20"/>
  <c r="V126" i="20" s="1"/>
  <c r="C126" i="20"/>
  <c r="W126" i="20" s="1"/>
  <c r="D126" i="20"/>
  <c r="X126" i="20" s="1"/>
  <c r="E126" i="20"/>
  <c r="Y126" i="20" s="1"/>
  <c r="D118" i="20"/>
  <c r="X118" i="20" s="1"/>
  <c r="E118" i="20"/>
  <c r="Y118" i="20" s="1"/>
  <c r="B118" i="20"/>
  <c r="V118" i="20" s="1"/>
  <c r="C118" i="20"/>
  <c r="W118" i="20" s="1"/>
  <c r="B119" i="20"/>
  <c r="V119" i="20" s="1"/>
  <c r="C119" i="20"/>
  <c r="W119" i="20" s="1"/>
  <c r="D119" i="20"/>
  <c r="X119" i="20" s="1"/>
  <c r="E119" i="20"/>
  <c r="Y119" i="20" s="1"/>
  <c r="B117" i="20"/>
  <c r="V117" i="20" s="1"/>
  <c r="C117" i="20"/>
  <c r="W117" i="20" s="1"/>
  <c r="D117" i="20"/>
  <c r="X117" i="20" s="1"/>
  <c r="E117" i="20"/>
  <c r="Y117" i="20" s="1"/>
  <c r="D116" i="20"/>
  <c r="X116" i="20" s="1"/>
  <c r="E116" i="20"/>
  <c r="Y116" i="20" s="1"/>
  <c r="B116" i="20"/>
  <c r="V116" i="20" s="1"/>
  <c r="C116" i="20"/>
  <c r="W116" i="20" s="1"/>
  <c r="B115" i="20"/>
  <c r="V115" i="20" s="1"/>
  <c r="C115" i="20"/>
  <c r="W115" i="20" s="1"/>
  <c r="D115" i="20"/>
  <c r="X115" i="20" s="1"/>
  <c r="E115" i="20"/>
  <c r="Y115" i="20" s="1"/>
  <c r="B114" i="20"/>
  <c r="V114" i="20" s="1"/>
  <c r="C114" i="20"/>
  <c r="W114" i="20" s="1"/>
  <c r="D114" i="20"/>
  <c r="X114" i="20" s="1"/>
  <c r="E114" i="20"/>
  <c r="Y114" i="20" s="1"/>
  <c r="D113" i="20"/>
  <c r="X113" i="20" s="1"/>
  <c r="E113" i="20"/>
  <c r="Y113" i="20" s="1"/>
  <c r="B113" i="20"/>
  <c r="V113" i="20" s="1"/>
  <c r="C113" i="20"/>
  <c r="W113" i="20" s="1"/>
  <c r="D111" i="20"/>
  <c r="X111" i="20" s="1"/>
  <c r="E111" i="20"/>
  <c r="Y111" i="20" s="1"/>
  <c r="B111" i="20"/>
  <c r="V111" i="20" s="1"/>
  <c r="C111" i="20"/>
  <c r="W111" i="20" s="1"/>
  <c r="B112" i="20"/>
  <c r="V112" i="20" s="1"/>
  <c r="C112" i="20"/>
  <c r="W112" i="20" s="1"/>
  <c r="D112" i="20"/>
  <c r="X112" i="20" s="1"/>
  <c r="E112" i="20"/>
  <c r="Y112" i="20" s="1"/>
  <c r="D110" i="20"/>
  <c r="X110" i="20" s="1"/>
  <c r="E110" i="20"/>
  <c r="Y110" i="20" s="1"/>
  <c r="B110" i="20"/>
  <c r="V110" i="20" s="1"/>
  <c r="C110" i="20"/>
  <c r="W110" i="20" s="1"/>
  <c r="D108" i="20"/>
  <c r="X108" i="20" s="1"/>
  <c r="E108" i="20"/>
  <c r="Y108" i="20" s="1"/>
  <c r="B108" i="20"/>
  <c r="V108" i="20" s="1"/>
  <c r="C108" i="20"/>
  <c r="W108" i="20" s="1"/>
  <c r="B109" i="20"/>
  <c r="V109" i="20" s="1"/>
  <c r="C109" i="20"/>
  <c r="W109" i="20" s="1"/>
  <c r="D109" i="20"/>
  <c r="X109" i="20" s="1"/>
  <c r="E109" i="20"/>
  <c r="Y109" i="20" s="1"/>
  <c r="D106" i="20"/>
  <c r="X106" i="20" s="1"/>
  <c r="E106" i="20"/>
  <c r="Y106" i="20" s="1"/>
  <c r="B106" i="20"/>
  <c r="V106" i="20" s="1"/>
  <c r="C106" i="20"/>
  <c r="W106" i="20" s="1"/>
  <c r="B107" i="20"/>
  <c r="V107" i="20" s="1"/>
  <c r="C107" i="20"/>
  <c r="W107" i="20" s="1"/>
  <c r="D107" i="20"/>
  <c r="X107" i="20" s="1"/>
  <c r="E107" i="20"/>
  <c r="Y107" i="20" s="1"/>
  <c r="B105" i="20"/>
  <c r="V105" i="20" s="1"/>
  <c r="C105" i="20"/>
  <c r="W105" i="20" s="1"/>
  <c r="D105" i="20"/>
  <c r="X105" i="20" s="1"/>
  <c r="E105" i="20"/>
  <c r="Y105" i="20" s="1"/>
  <c r="D101" i="20"/>
  <c r="X101" i="20" s="1"/>
  <c r="E101" i="20"/>
  <c r="Y101" i="20" s="1"/>
  <c r="B101" i="20"/>
  <c r="V101" i="20" s="1"/>
  <c r="C101" i="20"/>
  <c r="W101" i="20" s="1"/>
  <c r="B100" i="20"/>
  <c r="V100" i="20" s="1"/>
  <c r="C100" i="20"/>
  <c r="W100" i="20" s="1"/>
  <c r="D100" i="20"/>
  <c r="X100" i="20" s="1"/>
  <c r="E100" i="20"/>
  <c r="Y100" i="20" s="1"/>
  <c r="D99" i="20"/>
  <c r="X99" i="20" s="1"/>
  <c r="E99" i="20"/>
  <c r="Y99" i="20" s="1"/>
  <c r="B99" i="20"/>
  <c r="V99" i="20" s="1"/>
  <c r="C99" i="20"/>
  <c r="W99" i="20" s="1"/>
  <c r="B98" i="20"/>
  <c r="V98" i="20" s="1"/>
  <c r="C98" i="20"/>
  <c r="W98" i="20" s="1"/>
  <c r="D98" i="20"/>
  <c r="X98" i="20" s="1"/>
  <c r="E98" i="20"/>
  <c r="Y98" i="20" s="1"/>
  <c r="D97" i="20"/>
  <c r="X97" i="20" s="1"/>
  <c r="E97" i="20"/>
  <c r="Y97" i="20" s="1"/>
  <c r="B97" i="20"/>
  <c r="V97" i="20" s="1"/>
  <c r="C97" i="20"/>
  <c r="W97" i="20" s="1"/>
  <c r="B96" i="20"/>
  <c r="V96" i="20" s="1"/>
  <c r="C96" i="20"/>
  <c r="W96" i="20" s="1"/>
  <c r="D96" i="20"/>
  <c r="X96" i="20" s="1"/>
  <c r="E96" i="20"/>
  <c r="Y96" i="20" s="1"/>
  <c r="D91" i="20"/>
  <c r="E91" i="20"/>
  <c r="B91" i="20"/>
  <c r="C91" i="20"/>
  <c r="B90" i="20"/>
  <c r="C90" i="20"/>
  <c r="D90" i="20"/>
  <c r="E90" i="20"/>
  <c r="D89" i="20"/>
  <c r="E89" i="20"/>
  <c r="B89" i="20"/>
  <c r="C89" i="20"/>
  <c r="B88" i="20"/>
  <c r="C88" i="20"/>
  <c r="D88" i="20"/>
  <c r="E88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B12" i="20"/>
  <c r="C12" i="20"/>
  <c r="D12" i="20"/>
  <c r="E12" i="20"/>
  <c r="B13" i="20"/>
  <c r="C13" i="20"/>
  <c r="D13" i="20"/>
  <c r="E13" i="20"/>
  <c r="B14" i="20"/>
  <c r="C14" i="20"/>
  <c r="D14" i="20"/>
  <c r="E14" i="20"/>
  <c r="B15" i="20"/>
  <c r="C15" i="20"/>
  <c r="D15" i="20"/>
  <c r="E15" i="20"/>
  <c r="B16" i="20"/>
  <c r="C16" i="20"/>
  <c r="D16" i="20"/>
  <c r="E16" i="20"/>
  <c r="B17" i="20"/>
  <c r="C17" i="20"/>
  <c r="D17" i="20"/>
  <c r="E17" i="20"/>
  <c r="B18" i="20"/>
  <c r="C18" i="20"/>
  <c r="D18" i="20"/>
  <c r="E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B23" i="20"/>
  <c r="C23" i="20"/>
  <c r="D23" i="20"/>
  <c r="E23" i="20"/>
  <c r="B24" i="20"/>
  <c r="C24" i="20"/>
  <c r="D24" i="20"/>
  <c r="E24" i="20"/>
  <c r="B25" i="20"/>
  <c r="C25" i="20"/>
  <c r="D25" i="20"/>
  <c r="E25" i="20"/>
  <c r="B26" i="20"/>
  <c r="C26" i="20"/>
  <c r="D26" i="20"/>
  <c r="E26" i="20"/>
  <c r="B27" i="20"/>
  <c r="C27" i="20"/>
  <c r="D27" i="20"/>
  <c r="E27" i="20"/>
  <c r="B28" i="20"/>
  <c r="C28" i="20"/>
  <c r="D28" i="20"/>
  <c r="E28" i="20"/>
  <c r="B29" i="20"/>
  <c r="C29" i="20"/>
  <c r="D29" i="20"/>
  <c r="E29" i="20"/>
  <c r="B30" i="20"/>
  <c r="C30" i="20"/>
  <c r="D30" i="20"/>
  <c r="E30" i="20"/>
  <c r="B31" i="20"/>
  <c r="C31" i="20"/>
  <c r="D31" i="20"/>
  <c r="E31" i="20"/>
  <c r="B32" i="20"/>
  <c r="C32" i="20"/>
  <c r="D32" i="20"/>
  <c r="E32" i="20"/>
  <c r="B33" i="20"/>
  <c r="C33" i="20"/>
  <c r="D33" i="20"/>
  <c r="E33" i="20"/>
  <c r="B34" i="20"/>
  <c r="C34" i="20"/>
  <c r="D34" i="20"/>
  <c r="E34" i="20"/>
  <c r="B35" i="20"/>
  <c r="C35" i="20"/>
  <c r="D35" i="20"/>
  <c r="E35" i="20"/>
  <c r="B36" i="20"/>
  <c r="C36" i="20"/>
  <c r="D36" i="20"/>
  <c r="E36" i="20"/>
  <c r="B37" i="20"/>
  <c r="C37" i="20"/>
  <c r="D37" i="20"/>
  <c r="E37" i="20"/>
  <c r="B38" i="20"/>
  <c r="C38" i="20"/>
  <c r="D38" i="20"/>
  <c r="E38" i="20"/>
  <c r="B39" i="20"/>
  <c r="C39" i="20"/>
  <c r="D39" i="20"/>
  <c r="E39" i="20"/>
  <c r="B40" i="20"/>
  <c r="C40" i="20"/>
  <c r="D40" i="20"/>
  <c r="E40" i="20"/>
  <c r="B41" i="20"/>
  <c r="C41" i="20"/>
  <c r="D41" i="20"/>
  <c r="E41" i="20"/>
  <c r="B42" i="20"/>
  <c r="C42" i="20"/>
  <c r="D42" i="20"/>
  <c r="E42" i="20"/>
  <c r="B43" i="20"/>
  <c r="C43" i="20"/>
  <c r="D43" i="20"/>
  <c r="E43" i="20"/>
  <c r="B44" i="20"/>
  <c r="C44" i="20"/>
  <c r="D44" i="20"/>
  <c r="E44" i="20"/>
  <c r="B45" i="20"/>
  <c r="C45" i="20"/>
  <c r="D45" i="20"/>
  <c r="E45" i="20"/>
  <c r="B46" i="20"/>
  <c r="C46" i="20"/>
  <c r="D46" i="20"/>
  <c r="E46" i="20"/>
  <c r="B47" i="20"/>
  <c r="C47" i="20"/>
  <c r="D47" i="20"/>
  <c r="E47" i="20"/>
  <c r="B48" i="20"/>
  <c r="C48" i="20"/>
  <c r="D48" i="20"/>
  <c r="E48" i="20"/>
  <c r="B49" i="20"/>
  <c r="C49" i="20"/>
  <c r="D49" i="20"/>
  <c r="E49" i="20"/>
  <c r="B50" i="20"/>
  <c r="C50" i="20"/>
  <c r="D50" i="20"/>
  <c r="E50" i="20"/>
  <c r="B51" i="20"/>
  <c r="C51" i="20"/>
  <c r="D51" i="20"/>
  <c r="E51" i="20"/>
  <c r="B52" i="20"/>
  <c r="C52" i="20"/>
  <c r="D52" i="20"/>
  <c r="E52" i="20"/>
  <c r="B53" i="20"/>
  <c r="C53" i="20"/>
  <c r="D53" i="20"/>
  <c r="E53" i="20"/>
  <c r="B54" i="20"/>
  <c r="C54" i="20"/>
  <c r="D54" i="20"/>
  <c r="E54" i="20"/>
  <c r="B55" i="20"/>
  <c r="C55" i="20"/>
  <c r="D55" i="20"/>
  <c r="E55" i="20"/>
  <c r="B56" i="20"/>
  <c r="C56" i="20"/>
  <c r="D56" i="20"/>
  <c r="E56" i="20"/>
  <c r="B57" i="20"/>
  <c r="C57" i="20"/>
  <c r="D57" i="20"/>
  <c r="E57" i="20"/>
  <c r="B58" i="20"/>
  <c r="C58" i="20"/>
  <c r="D58" i="20"/>
  <c r="E58" i="20"/>
  <c r="B59" i="20"/>
  <c r="C59" i="20"/>
  <c r="D59" i="20"/>
  <c r="E59" i="20"/>
  <c r="B60" i="20"/>
  <c r="C60" i="20"/>
  <c r="D60" i="20"/>
  <c r="E60" i="20"/>
  <c r="B61" i="20"/>
  <c r="C61" i="20"/>
  <c r="D61" i="20"/>
  <c r="E61" i="20"/>
  <c r="B62" i="20"/>
  <c r="C62" i="20"/>
  <c r="D62" i="20"/>
  <c r="E62" i="20"/>
  <c r="B63" i="20"/>
  <c r="C63" i="20"/>
  <c r="D63" i="20"/>
  <c r="E63" i="20"/>
  <c r="B64" i="20"/>
  <c r="C64" i="20"/>
  <c r="D64" i="20"/>
  <c r="E64" i="20"/>
  <c r="B65" i="20"/>
  <c r="C65" i="20"/>
  <c r="D65" i="20"/>
  <c r="E65" i="20"/>
  <c r="B66" i="20"/>
  <c r="C66" i="20"/>
  <c r="D66" i="20"/>
  <c r="E66" i="20"/>
  <c r="B67" i="20"/>
  <c r="C67" i="20"/>
  <c r="D67" i="20"/>
  <c r="E67" i="20"/>
  <c r="B68" i="20"/>
  <c r="C68" i="20"/>
  <c r="D68" i="20"/>
  <c r="E68" i="20"/>
  <c r="B69" i="20"/>
  <c r="C69" i="20"/>
  <c r="D69" i="20"/>
  <c r="E69" i="20"/>
  <c r="B70" i="20"/>
  <c r="C70" i="20"/>
  <c r="D70" i="20"/>
  <c r="E70" i="20"/>
  <c r="B71" i="20"/>
  <c r="C71" i="20"/>
  <c r="D71" i="20"/>
  <c r="E71" i="20"/>
  <c r="B72" i="20"/>
  <c r="C72" i="20"/>
  <c r="D72" i="20"/>
  <c r="E72" i="20"/>
  <c r="B73" i="20"/>
  <c r="C73" i="20"/>
  <c r="D73" i="20"/>
  <c r="E73" i="20"/>
  <c r="B74" i="20"/>
  <c r="C74" i="20"/>
  <c r="D74" i="20"/>
  <c r="E74" i="20"/>
  <c r="B75" i="20"/>
  <c r="C75" i="20"/>
  <c r="D75" i="20"/>
  <c r="E75" i="20"/>
  <c r="B76" i="20"/>
  <c r="C76" i="20"/>
  <c r="D76" i="20"/>
  <c r="E76" i="20"/>
  <c r="B77" i="20"/>
  <c r="C77" i="20"/>
  <c r="D77" i="20"/>
  <c r="E77" i="20"/>
  <c r="B78" i="20"/>
  <c r="C78" i="20"/>
  <c r="D78" i="20"/>
  <c r="E78" i="20"/>
  <c r="B79" i="20"/>
  <c r="C79" i="20"/>
  <c r="D79" i="20"/>
  <c r="E79" i="20"/>
  <c r="B80" i="20"/>
  <c r="C80" i="20"/>
  <c r="D80" i="20"/>
  <c r="E80" i="20"/>
  <c r="B81" i="20"/>
  <c r="C81" i="20"/>
  <c r="D81" i="20"/>
  <c r="E81" i="20"/>
  <c r="B82" i="20"/>
  <c r="C82" i="20"/>
  <c r="D82" i="20"/>
  <c r="E82" i="20"/>
  <c r="B83" i="20"/>
  <c r="C83" i="20"/>
  <c r="D83" i="20"/>
  <c r="E83" i="20"/>
  <c r="W118" i="12"/>
  <c r="Y118" i="12"/>
  <c r="X118" i="12"/>
  <c r="V118" i="12"/>
  <c r="U110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18" i="12"/>
  <c r="S117" i="12"/>
  <c r="U117" i="12" s="1"/>
  <c r="S110" i="12"/>
  <c r="S111" i="12"/>
  <c r="U111" i="12" s="1"/>
  <c r="S112" i="12"/>
  <c r="U112" i="12" s="1"/>
  <c r="S108" i="12"/>
  <c r="S107" i="12"/>
  <c r="R127" i="12"/>
  <c r="R128" i="12"/>
  <c r="R129" i="12"/>
  <c r="P129" i="12" s="1"/>
  <c r="Q129" i="12" s="1"/>
  <c r="R130" i="12"/>
  <c r="P130" i="12" s="1"/>
  <c r="Q130" i="12" s="1"/>
  <c r="R131" i="12"/>
  <c r="R126" i="12"/>
  <c r="P126" i="12" s="1"/>
  <c r="Q126" i="12" s="1"/>
  <c r="R118" i="12"/>
  <c r="P118" i="12" s="1"/>
  <c r="Q118" i="12" s="1"/>
  <c r="R117" i="12"/>
  <c r="Q121" i="12"/>
  <c r="Q122" i="12"/>
  <c r="R108" i="12"/>
  <c r="R107" i="12"/>
  <c r="P107" i="12" s="1"/>
  <c r="Q107" i="12" s="1"/>
  <c r="P104" i="12"/>
  <c r="P108" i="12"/>
  <c r="Q108" i="12" s="1"/>
  <c r="Z108" i="12" s="1"/>
  <c r="P110" i="12"/>
  <c r="Q110" i="12" s="1"/>
  <c r="P111" i="12"/>
  <c r="Q111" i="12" s="1"/>
  <c r="P112" i="12"/>
  <c r="Q112" i="12" s="1"/>
  <c r="P117" i="12"/>
  <c r="Q117" i="12" s="1"/>
  <c r="P119" i="12"/>
  <c r="Q119" i="12" s="1"/>
  <c r="P120" i="12"/>
  <c r="Q120" i="12" s="1"/>
  <c r="P121" i="12"/>
  <c r="P122" i="12"/>
  <c r="P123" i="12"/>
  <c r="Q123" i="12" s="1"/>
  <c r="P124" i="12"/>
  <c r="Q124" i="12" s="1"/>
  <c r="P125" i="12"/>
  <c r="Q125" i="12" s="1"/>
  <c r="P127" i="12"/>
  <c r="Q127" i="12" s="1"/>
  <c r="P128" i="12"/>
  <c r="Q128" i="12" s="1"/>
  <c r="P131" i="12"/>
  <c r="Q131" i="12" s="1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04" i="12"/>
  <c r="J105" i="12"/>
  <c r="J106" i="12"/>
  <c r="T106" i="12" s="1"/>
  <c r="J107" i="12"/>
  <c r="T107" i="12" s="1"/>
  <c r="U107" i="12" s="1"/>
  <c r="J108" i="12"/>
  <c r="T108" i="12" s="1"/>
  <c r="J109" i="12"/>
  <c r="T109" i="12" s="1"/>
  <c r="J110" i="12"/>
  <c r="J111" i="12"/>
  <c r="J112" i="12"/>
  <c r="J113" i="12"/>
  <c r="T113" i="12" s="1"/>
  <c r="J114" i="12"/>
  <c r="T114" i="12" s="1"/>
  <c r="J115" i="12"/>
  <c r="T115" i="12" s="1"/>
  <c r="J116" i="12"/>
  <c r="T116" i="12" s="1"/>
  <c r="J117" i="12"/>
  <c r="T117" i="12" s="1"/>
  <c r="J118" i="12"/>
  <c r="T118" i="12" s="1"/>
  <c r="U118" i="12" s="1"/>
  <c r="Q97" i="12"/>
  <c r="R102" i="12"/>
  <c r="P102" i="12" s="1"/>
  <c r="Q102" i="12" s="1"/>
  <c r="R101" i="12"/>
  <c r="S101" i="12" s="1"/>
  <c r="R98" i="12"/>
  <c r="P98" i="12" s="1"/>
  <c r="Q98" i="12" s="1"/>
  <c r="R99" i="12"/>
  <c r="P99" i="12" s="1"/>
  <c r="Q99" i="12" s="1"/>
  <c r="R100" i="12"/>
  <c r="R103" i="12" s="1"/>
  <c r="R97" i="12"/>
  <c r="P97" i="12" s="1"/>
  <c r="J98" i="12"/>
  <c r="T98" i="12" s="1"/>
  <c r="J99" i="12"/>
  <c r="T99" i="12" s="1"/>
  <c r="J100" i="12"/>
  <c r="T100" i="12" s="1"/>
  <c r="J101" i="12"/>
  <c r="T101" i="12" s="1"/>
  <c r="U101" i="12" s="1"/>
  <c r="J102" i="12"/>
  <c r="T102" i="12" s="1"/>
  <c r="J103" i="12"/>
  <c r="T103" i="12" s="1"/>
  <c r="J97" i="12"/>
  <c r="T97" i="12" s="1"/>
  <c r="J94" i="12"/>
  <c r="T121" i="11"/>
  <c r="J118" i="11"/>
  <c r="J119" i="11"/>
  <c r="J120" i="11"/>
  <c r="T120" i="11" s="1"/>
  <c r="J121" i="11"/>
  <c r="J122" i="11"/>
  <c r="J123" i="11"/>
  <c r="J124" i="11"/>
  <c r="J125" i="11"/>
  <c r="J126" i="11"/>
  <c r="J127" i="11"/>
  <c r="J128" i="11"/>
  <c r="J129" i="11"/>
  <c r="J130" i="11"/>
  <c r="T130" i="11" s="1"/>
  <c r="J131" i="11"/>
  <c r="J132" i="11"/>
  <c r="J133" i="11"/>
  <c r="T133" i="11" s="1"/>
  <c r="J134" i="11"/>
  <c r="T134" i="11" s="1"/>
  <c r="J135" i="11"/>
  <c r="T135" i="11" s="1"/>
  <c r="J136" i="11"/>
  <c r="T136" i="11" s="1"/>
  <c r="J137" i="11"/>
  <c r="T137" i="11" s="1"/>
  <c r="J138" i="11"/>
  <c r="T138" i="11" s="1"/>
  <c r="J139" i="11"/>
  <c r="T139" i="11" s="1"/>
  <c r="J140" i="11"/>
  <c r="T140" i="11" s="1"/>
  <c r="J141" i="11"/>
  <c r="T141" i="11" s="1"/>
  <c r="J142" i="11"/>
  <c r="T142" i="11" s="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T154" i="11" s="1"/>
  <c r="J155" i="11"/>
  <c r="T155" i="11" s="1"/>
  <c r="J156" i="11"/>
  <c r="T156" i="11" s="1"/>
  <c r="J157" i="11"/>
  <c r="T157" i="11" s="1"/>
  <c r="J158" i="11"/>
  <c r="T158" i="11" s="1"/>
  <c r="J117" i="11"/>
  <c r="S89" i="12"/>
  <c r="S90" i="12"/>
  <c r="S91" i="12"/>
  <c r="S88" i="12"/>
  <c r="P89" i="12"/>
  <c r="Q89" i="12" s="1"/>
  <c r="P90" i="12"/>
  <c r="Q90" i="12" s="1"/>
  <c r="P91" i="12"/>
  <c r="Q91" i="12" s="1"/>
  <c r="P88" i="12"/>
  <c r="Q88" i="12" s="1"/>
  <c r="Q87" i="12"/>
  <c r="Q94" i="12" s="1"/>
  <c r="R87" i="12"/>
  <c r="R94" i="12" s="1"/>
  <c r="S87" i="12"/>
  <c r="S94" i="12" s="1"/>
  <c r="T87" i="12"/>
  <c r="T94" i="12" s="1"/>
  <c r="U87" i="12"/>
  <c r="U94" i="12" s="1"/>
  <c r="V87" i="12"/>
  <c r="V94" i="12" s="1"/>
  <c r="W87" i="12"/>
  <c r="W94" i="12" s="1"/>
  <c r="X87" i="12"/>
  <c r="X94" i="12" s="1"/>
  <c r="Y87" i="12"/>
  <c r="Y94" i="12" s="1"/>
  <c r="P87" i="12"/>
  <c r="P94" i="12" s="1"/>
  <c r="J89" i="12"/>
  <c r="T89" i="12" s="1"/>
  <c r="U89" i="12" s="1"/>
  <c r="J90" i="12"/>
  <c r="T90" i="12" s="1"/>
  <c r="U90" i="12" s="1"/>
  <c r="J91" i="12"/>
  <c r="T91" i="12" s="1"/>
  <c r="J88" i="12"/>
  <c r="T88" i="12" s="1"/>
  <c r="U88" i="12" s="1"/>
  <c r="T153" i="11"/>
  <c r="J106" i="11"/>
  <c r="J107" i="11"/>
  <c r="J108" i="11"/>
  <c r="J109" i="11"/>
  <c r="J110" i="11"/>
  <c r="J111" i="11"/>
  <c r="J112" i="11"/>
  <c r="J105" i="11"/>
  <c r="J104" i="11"/>
  <c r="J88" i="21" s="1"/>
  <c r="J96" i="21" s="1"/>
  <c r="J97" i="11"/>
  <c r="T97" i="11" s="1"/>
  <c r="J98" i="11"/>
  <c r="T98" i="11" s="1"/>
  <c r="J99" i="11"/>
  <c r="T99" i="11" s="1"/>
  <c r="J100" i="11"/>
  <c r="T100" i="11" s="1"/>
  <c r="J101" i="11"/>
  <c r="T101" i="11" s="1"/>
  <c r="J96" i="11"/>
  <c r="T96" i="11" s="1"/>
  <c r="T110" i="20" l="1"/>
  <c r="U110" i="20" s="1"/>
  <c r="U115" i="22"/>
  <c r="U117" i="22"/>
  <c r="U122" i="22"/>
  <c r="U114" i="22"/>
  <c r="T112" i="22"/>
  <c r="U112" i="22" s="1"/>
  <c r="U123" i="21"/>
  <c r="S123" i="21"/>
  <c r="Z92" i="21"/>
  <c r="S125" i="21"/>
  <c r="U125" i="21" s="1"/>
  <c r="Z90" i="21"/>
  <c r="R126" i="21"/>
  <c r="Q127" i="21"/>
  <c r="Q128" i="21" s="1"/>
  <c r="Q129" i="21" s="1"/>
  <c r="Z121" i="21"/>
  <c r="U90" i="21"/>
  <c r="U125" i="14"/>
  <c r="Z109" i="14"/>
  <c r="AA109" i="14"/>
  <c r="S125" i="14"/>
  <c r="U112" i="13"/>
  <c r="S111" i="13"/>
  <c r="U113" i="13"/>
  <c r="S98" i="12"/>
  <c r="U98" i="12" s="1"/>
  <c r="U91" i="12"/>
  <c r="U108" i="12"/>
  <c r="Q92" i="12"/>
  <c r="Q93" i="12" s="1"/>
  <c r="R93" i="12" s="1"/>
  <c r="U96" i="21"/>
  <c r="U96" i="19"/>
  <c r="U107" i="19" s="1"/>
  <c r="X96" i="21"/>
  <c r="X96" i="19"/>
  <c r="X107" i="19" s="1"/>
  <c r="T96" i="21"/>
  <c r="T96" i="19"/>
  <c r="T107" i="19" s="1"/>
  <c r="W96" i="21"/>
  <c r="S96" i="21"/>
  <c r="S96" i="19"/>
  <c r="S107" i="19" s="1"/>
  <c r="V96" i="21"/>
  <c r="Q96" i="21"/>
  <c r="Q96" i="19"/>
  <c r="Q107" i="19" s="1"/>
  <c r="Y96" i="21"/>
  <c r="Y96" i="19"/>
  <c r="Y107" i="19" s="1"/>
  <c r="P96" i="21"/>
  <c r="P96" i="19"/>
  <c r="P107" i="19" s="1"/>
  <c r="U100" i="20"/>
  <c r="S140" i="20"/>
  <c r="U139" i="20"/>
  <c r="U138" i="20"/>
  <c r="S98" i="20"/>
  <c r="U98" i="20" s="1"/>
  <c r="P138" i="20"/>
  <c r="Q138" i="20" s="1"/>
  <c r="Z138" i="20" s="1"/>
  <c r="AA138" i="20" s="1"/>
  <c r="U135" i="20"/>
  <c r="Q86" i="14"/>
  <c r="Q104" i="14" s="1"/>
  <c r="Q95" i="13" s="1"/>
  <c r="J116" i="11"/>
  <c r="U112" i="20"/>
  <c r="U97" i="20"/>
  <c r="U111" i="20"/>
  <c r="U134" i="20"/>
  <c r="U96" i="20"/>
  <c r="U101" i="20"/>
  <c r="U108" i="20"/>
  <c r="Z106" i="20"/>
  <c r="U109" i="22"/>
  <c r="U109" i="20"/>
  <c r="U99" i="20"/>
  <c r="U100" i="12"/>
  <c r="Z117" i="12"/>
  <c r="AA117" i="12"/>
  <c r="AA109" i="20"/>
  <c r="Z109" i="20"/>
  <c r="W86" i="14"/>
  <c r="W104" i="14" s="1"/>
  <c r="W95" i="13" s="1"/>
  <c r="U103" i="12"/>
  <c r="P103" i="12"/>
  <c r="Q103" i="12" s="1"/>
  <c r="R106" i="12"/>
  <c r="S103" i="12"/>
  <c r="P86" i="14"/>
  <c r="P104" i="14" s="1"/>
  <c r="P95" i="13" s="1"/>
  <c r="V86" i="14"/>
  <c r="V104" i="14" s="1"/>
  <c r="V95" i="13" s="1"/>
  <c r="R86" i="14"/>
  <c r="R104" i="14" s="1"/>
  <c r="R95" i="13" s="1"/>
  <c r="S86" i="14"/>
  <c r="S104" i="14" s="1"/>
  <c r="S95" i="13" s="1"/>
  <c r="AA125" i="22"/>
  <c r="Z125" i="22"/>
  <c r="S102" i="12"/>
  <c r="AA118" i="12"/>
  <c r="Z118" i="12"/>
  <c r="U105" i="20"/>
  <c r="AA105" i="20"/>
  <c r="AB106" i="20" s="1"/>
  <c r="Q103" i="20"/>
  <c r="R103" i="20" s="1"/>
  <c r="S103" i="20" s="1"/>
  <c r="Z105" i="20"/>
  <c r="AB139" i="20"/>
  <c r="AC139" i="20" s="1"/>
  <c r="AD139" i="20" s="1"/>
  <c r="Z97" i="20"/>
  <c r="AA97" i="20"/>
  <c r="Z108" i="20"/>
  <c r="AA108" i="20"/>
  <c r="Z89" i="21"/>
  <c r="Q93" i="21"/>
  <c r="R93" i="21" s="1"/>
  <c r="AA89" i="21"/>
  <c r="AA124" i="22"/>
  <c r="Z124" i="22"/>
  <c r="T86" i="14"/>
  <c r="T104" i="14" s="1"/>
  <c r="T95" i="13" s="1"/>
  <c r="S100" i="12"/>
  <c r="AA107" i="12"/>
  <c r="Z107" i="12"/>
  <c r="U106" i="20"/>
  <c r="Z101" i="20"/>
  <c r="AA101" i="20"/>
  <c r="AA100" i="20"/>
  <c r="AA111" i="20"/>
  <c r="X86" i="14"/>
  <c r="X104" i="14" s="1"/>
  <c r="X95" i="13" s="1"/>
  <c r="S126" i="21"/>
  <c r="U126" i="21" s="1"/>
  <c r="P126" i="21"/>
  <c r="AA110" i="14"/>
  <c r="Z110" i="14"/>
  <c r="AA106" i="14"/>
  <c r="Z106" i="14"/>
  <c r="AA125" i="14"/>
  <c r="Z125" i="14"/>
  <c r="S124" i="14"/>
  <c r="U124" i="14" s="1"/>
  <c r="P124" i="14"/>
  <c r="Q124" i="14" s="1"/>
  <c r="R116" i="13"/>
  <c r="S115" i="13"/>
  <c r="U115" i="13" s="1"/>
  <c r="P115" i="13"/>
  <c r="Q115" i="13" s="1"/>
  <c r="Z100" i="13"/>
  <c r="Y86" i="14"/>
  <c r="Y104" i="14" s="1"/>
  <c r="Y95" i="13" s="1"/>
  <c r="P100" i="12"/>
  <c r="Q100" i="12" s="1"/>
  <c r="U102" i="12"/>
  <c r="Z112" i="20"/>
  <c r="AA112" i="20"/>
  <c r="U86" i="14"/>
  <c r="U104" i="14" s="1"/>
  <c r="U95" i="13" s="1"/>
  <c r="P101" i="12"/>
  <c r="Q101" i="12" s="1"/>
  <c r="Q104" i="12" s="1"/>
  <c r="Q105" i="12" s="1"/>
  <c r="R105" i="12" s="1"/>
  <c r="P105" i="12" s="1"/>
  <c r="S97" i="12"/>
  <c r="U97" i="12" s="1"/>
  <c r="S99" i="12"/>
  <c r="U99" i="12" s="1"/>
  <c r="S141" i="20"/>
  <c r="P141" i="20"/>
  <c r="Q141" i="20" s="1"/>
  <c r="Z107" i="20"/>
  <c r="AA107" i="20"/>
  <c r="AB110" i="20" s="1"/>
  <c r="AA96" i="20"/>
  <c r="P99" i="20"/>
  <c r="Q99" i="20" s="1"/>
  <c r="Q94" i="20" s="1"/>
  <c r="R94" i="20" s="1"/>
  <c r="S94" i="20" s="1"/>
  <c r="AA98" i="20"/>
  <c r="AA108" i="12"/>
  <c r="Z105" i="14"/>
  <c r="Q103" i="14"/>
  <c r="R103" i="14" s="1"/>
  <c r="S103" i="14" s="1"/>
  <c r="AA105" i="14"/>
  <c r="AA122" i="14"/>
  <c r="Z122" i="14"/>
  <c r="AA111" i="14"/>
  <c r="Z111" i="14"/>
  <c r="AA120" i="21"/>
  <c r="Z120" i="21"/>
  <c r="U111" i="13"/>
  <c r="U102" i="13"/>
  <c r="AA112" i="13"/>
  <c r="Z112" i="13"/>
  <c r="AA103" i="13"/>
  <c r="Z103" i="13"/>
  <c r="AA99" i="13"/>
  <c r="Z99" i="13"/>
  <c r="AA91" i="21"/>
  <c r="Z91" i="21"/>
  <c r="Z123" i="21"/>
  <c r="AA123" i="21"/>
  <c r="AA119" i="21"/>
  <c r="U91" i="21"/>
  <c r="Z112" i="14"/>
  <c r="AA112" i="14"/>
  <c r="Z110" i="20"/>
  <c r="Z107" i="14"/>
  <c r="AA107" i="14"/>
  <c r="S123" i="14"/>
  <c r="U123" i="14" s="1"/>
  <c r="P123" i="14"/>
  <c r="Q123" i="14" s="1"/>
  <c r="P126" i="14"/>
  <c r="Q126" i="14" s="1"/>
  <c r="AA98" i="13"/>
  <c r="Z98" i="13"/>
  <c r="Z111" i="13"/>
  <c r="AA111" i="13"/>
  <c r="AA102" i="13"/>
  <c r="AA126" i="21"/>
  <c r="Z126" i="21"/>
  <c r="AA122" i="21"/>
  <c r="Z122" i="21"/>
  <c r="S122" i="14"/>
  <c r="U122" i="14" s="1"/>
  <c r="P127" i="14"/>
  <c r="Q127" i="14" s="1"/>
  <c r="U126" i="14"/>
  <c r="Z101" i="13"/>
  <c r="AA101" i="13"/>
  <c r="S114" i="13"/>
  <c r="U114" i="13" s="1"/>
  <c r="P114" i="13"/>
  <c r="Q114" i="13" s="1"/>
  <c r="AA122" i="22"/>
  <c r="Z122" i="22"/>
  <c r="Q131" i="22"/>
  <c r="Q132" i="22" s="1"/>
  <c r="Q133" i="22" s="1"/>
  <c r="Z126" i="22"/>
  <c r="AA126" i="22" s="1"/>
  <c r="AB126" i="22" s="1"/>
  <c r="Z120" i="22"/>
  <c r="AA120" i="22" s="1"/>
  <c r="AA109" i="22"/>
  <c r="Z109" i="22"/>
  <c r="AB110" i="22" s="1"/>
  <c r="Z107" i="22"/>
  <c r="AA111" i="22"/>
  <c r="Z112" i="22"/>
  <c r="AB112" i="22" s="1"/>
  <c r="AA110" i="22"/>
  <c r="Z123" i="22"/>
  <c r="L102" i="11"/>
  <c r="AA144" i="21" l="1"/>
  <c r="AA123" i="14"/>
  <c r="AB123" i="14" s="1"/>
  <c r="Z123" i="14"/>
  <c r="AA124" i="14"/>
  <c r="AB125" i="14" s="1"/>
  <c r="Z124" i="14"/>
  <c r="Z142" i="20"/>
  <c r="AA134" i="20"/>
  <c r="Z140" i="20"/>
  <c r="Z114" i="13"/>
  <c r="AA114" i="13"/>
  <c r="AB114" i="13" s="1"/>
  <c r="Z113" i="20"/>
  <c r="Z104" i="20"/>
  <c r="AA135" i="22"/>
  <c r="Q149" i="14"/>
  <c r="Q150" i="14" s="1"/>
  <c r="Q151" i="14" s="1"/>
  <c r="Z127" i="14"/>
  <c r="Z149" i="14" s="1"/>
  <c r="AA127" i="14"/>
  <c r="AB112" i="13"/>
  <c r="AB111" i="14"/>
  <c r="Z94" i="13"/>
  <c r="R124" i="21"/>
  <c r="S93" i="21"/>
  <c r="P106" i="12"/>
  <c r="Q106" i="12" s="1"/>
  <c r="R109" i="12"/>
  <c r="S106" i="12"/>
  <c r="U106" i="12" s="1"/>
  <c r="AB112" i="20"/>
  <c r="AA115" i="13"/>
  <c r="Z115" i="13"/>
  <c r="Z126" i="14"/>
  <c r="AA126" i="14"/>
  <c r="Z103" i="14"/>
  <c r="AA99" i="20"/>
  <c r="Z99" i="20"/>
  <c r="Z102" i="20" s="1"/>
  <c r="S116" i="13"/>
  <c r="U116" i="13" s="1"/>
  <c r="P116" i="13"/>
  <c r="Q116" i="13" s="1"/>
  <c r="AA93" i="21"/>
  <c r="P143" i="11"/>
  <c r="S153" i="11"/>
  <c r="U153" i="11" s="1"/>
  <c r="S154" i="11"/>
  <c r="U154" i="11" s="1"/>
  <c r="S155" i="11"/>
  <c r="S156" i="11"/>
  <c r="U156" i="11" s="1"/>
  <c r="S157" i="11"/>
  <c r="U157" i="11" s="1"/>
  <c r="S158" i="11"/>
  <c r="U158" i="11" s="1"/>
  <c r="P153" i="11"/>
  <c r="Q153" i="11" s="1"/>
  <c r="P154" i="11"/>
  <c r="Q154" i="11" s="1"/>
  <c r="P155" i="11"/>
  <c r="Q155" i="11" s="1"/>
  <c r="P156" i="11"/>
  <c r="Q156" i="11" s="1"/>
  <c r="P157" i="11"/>
  <c r="Q157" i="11" s="1"/>
  <c r="P158" i="11"/>
  <c r="Q158" i="11" s="1"/>
  <c r="R140" i="11"/>
  <c r="R139" i="11"/>
  <c r="S124" i="21" l="1"/>
  <c r="U124" i="21" s="1"/>
  <c r="P124" i="21"/>
  <c r="AA106" i="12"/>
  <c r="Z106" i="12"/>
  <c r="AA116" i="13"/>
  <c r="AB116" i="13" s="1"/>
  <c r="Z116" i="13"/>
  <c r="S109" i="12"/>
  <c r="U109" i="12" s="1"/>
  <c r="R114" i="12"/>
  <c r="R115" i="12"/>
  <c r="R113" i="12"/>
  <c r="R116" i="12"/>
  <c r="P109" i="12"/>
  <c r="Q109" i="12" s="1"/>
  <c r="AB109" i="12" s="1"/>
  <c r="AC109" i="12" s="1"/>
  <c r="AD109" i="12" s="1"/>
  <c r="AB127" i="14"/>
  <c r="U155" i="11"/>
  <c r="R123" i="11"/>
  <c r="R122" i="11"/>
  <c r="P122" i="11" s="1"/>
  <c r="Q122" i="11" s="1"/>
  <c r="Y140" i="11"/>
  <c r="Y141" i="11"/>
  <c r="Y142" i="11"/>
  <c r="X140" i="11"/>
  <c r="X141" i="11"/>
  <c r="X142" i="11"/>
  <c r="W140" i="11"/>
  <c r="W141" i="11"/>
  <c r="W142" i="11"/>
  <c r="V140" i="11"/>
  <c r="V141" i="11"/>
  <c r="V142" i="11"/>
  <c r="S133" i="11"/>
  <c r="S134" i="11"/>
  <c r="S135" i="11"/>
  <c r="S136" i="11"/>
  <c r="S137" i="11"/>
  <c r="S138" i="11"/>
  <c r="S139" i="11"/>
  <c r="S140" i="11"/>
  <c r="S141" i="11"/>
  <c r="S142" i="11"/>
  <c r="P133" i="11"/>
  <c r="Q133" i="11" s="1"/>
  <c r="P134" i="11"/>
  <c r="Q134" i="11" s="1"/>
  <c r="P135" i="11"/>
  <c r="Q135" i="11" s="1"/>
  <c r="P136" i="11"/>
  <c r="Q136" i="11" s="1"/>
  <c r="P137" i="11"/>
  <c r="Q137" i="11" s="1"/>
  <c r="P138" i="11"/>
  <c r="Q138" i="11" s="1"/>
  <c r="P139" i="11"/>
  <c r="Q139" i="11" s="1"/>
  <c r="P140" i="11"/>
  <c r="Q140" i="11" s="1"/>
  <c r="P141" i="11"/>
  <c r="Q141" i="11" s="1"/>
  <c r="P142" i="11"/>
  <c r="Q142" i="11" s="1"/>
  <c r="S121" i="11"/>
  <c r="S122" i="11"/>
  <c r="S124" i="11"/>
  <c r="S125" i="11"/>
  <c r="S126" i="11"/>
  <c r="U126" i="11" s="1"/>
  <c r="S127" i="11"/>
  <c r="S128" i="11"/>
  <c r="S129" i="11"/>
  <c r="S130" i="11"/>
  <c r="U130" i="11" s="1"/>
  <c r="S120" i="11"/>
  <c r="P121" i="11"/>
  <c r="Q121" i="11" s="1"/>
  <c r="P124" i="11"/>
  <c r="Q124" i="11" s="1"/>
  <c r="P125" i="11"/>
  <c r="Q125" i="11" s="1"/>
  <c r="P126" i="11"/>
  <c r="Q126" i="11" s="1"/>
  <c r="P127" i="11"/>
  <c r="Q127" i="11" s="1"/>
  <c r="P128" i="11"/>
  <c r="Q128" i="11" s="1"/>
  <c r="P129" i="11"/>
  <c r="Q129" i="11" s="1"/>
  <c r="P130" i="11"/>
  <c r="Q130" i="11" s="1"/>
  <c r="P120" i="11"/>
  <c r="Q120" i="11" s="1"/>
  <c r="AA129" i="11" l="1"/>
  <c r="Z129" i="11"/>
  <c r="P115" i="12"/>
  <c r="Q115" i="12" s="1"/>
  <c r="S115" i="12"/>
  <c r="U115" i="12" s="1"/>
  <c r="Z128" i="11"/>
  <c r="AA128" i="11"/>
  <c r="Z124" i="11"/>
  <c r="AA124" i="11"/>
  <c r="AA122" i="11"/>
  <c r="Z122" i="11"/>
  <c r="Z109" i="12"/>
  <c r="AA109" i="12"/>
  <c r="AA110" i="12" s="1"/>
  <c r="P114" i="12"/>
  <c r="Q114" i="12" s="1"/>
  <c r="S114" i="12"/>
  <c r="U114" i="12" s="1"/>
  <c r="Z110" i="12"/>
  <c r="Z126" i="11"/>
  <c r="AA126" i="11"/>
  <c r="S113" i="12"/>
  <c r="U113" i="12" s="1"/>
  <c r="P113" i="12"/>
  <c r="Q113" i="12" s="1"/>
  <c r="AA125" i="11"/>
  <c r="Z125" i="11"/>
  <c r="AA127" i="11"/>
  <c r="Z127" i="11"/>
  <c r="Q143" i="11"/>
  <c r="R143" i="11" s="1"/>
  <c r="S143" i="11" s="1"/>
  <c r="P123" i="11"/>
  <c r="Q123" i="11" s="1"/>
  <c r="Q131" i="11" s="1"/>
  <c r="S131" i="11" s="1"/>
  <c r="R159" i="11"/>
  <c r="P116" i="12"/>
  <c r="Q116" i="12" s="1"/>
  <c r="S116" i="12"/>
  <c r="U116" i="12" s="1"/>
  <c r="T131" i="11"/>
  <c r="U142" i="11"/>
  <c r="U138" i="11"/>
  <c r="U134" i="11"/>
  <c r="S123" i="11"/>
  <c r="U129" i="11"/>
  <c r="U125" i="11"/>
  <c r="U120" i="11"/>
  <c r="U127" i="11"/>
  <c r="U141" i="11"/>
  <c r="U137" i="11"/>
  <c r="U133" i="11"/>
  <c r="U135" i="11"/>
  <c r="U121" i="11"/>
  <c r="U128" i="11"/>
  <c r="U124" i="11"/>
  <c r="U140" i="11"/>
  <c r="U136" i="11"/>
  <c r="U122" i="11"/>
  <c r="U139" i="11"/>
  <c r="U123" i="11"/>
  <c r="AB128" i="11" l="1"/>
  <c r="R131" i="11"/>
  <c r="Z116" i="12"/>
  <c r="AA116" i="12"/>
  <c r="AA114" i="12"/>
  <c r="Z114" i="12"/>
  <c r="AA115" i="12"/>
  <c r="Z115" i="12"/>
  <c r="AA123" i="11"/>
  <c r="Z123" i="11"/>
  <c r="Z130" i="11" s="1"/>
  <c r="AA113" i="20" s="1"/>
  <c r="AA113" i="12"/>
  <c r="Z113" i="12"/>
  <c r="AB118" i="12"/>
  <c r="AC118" i="12" s="1"/>
  <c r="AD118" i="12" s="1"/>
  <c r="Q159" i="11"/>
  <c r="R112" i="11"/>
  <c r="P112" i="11" s="1"/>
  <c r="Q112" i="11" s="1"/>
  <c r="R111" i="11"/>
  <c r="S111" i="11" s="1"/>
  <c r="S112" i="11"/>
  <c r="P111" i="11"/>
  <c r="Q111" i="11" s="1"/>
  <c r="R105" i="11"/>
  <c r="P105" i="11" s="1"/>
  <c r="Q105" i="11" s="1"/>
  <c r="R106" i="11"/>
  <c r="P106" i="11" s="1"/>
  <c r="Q106" i="11" s="1"/>
  <c r="R107" i="11"/>
  <c r="S107" i="11" s="1"/>
  <c r="R108" i="11"/>
  <c r="S108" i="11" s="1"/>
  <c r="R109" i="11"/>
  <c r="P109" i="11" s="1"/>
  <c r="Q109" i="11" s="1"/>
  <c r="R110" i="11"/>
  <c r="P110" i="11" s="1"/>
  <c r="Q110" i="11" s="1"/>
  <c r="R104" i="11"/>
  <c r="R88" i="21" s="1"/>
  <c r="S97" i="11"/>
  <c r="U97" i="11" s="1"/>
  <c r="P97" i="11"/>
  <c r="Q97" i="11" s="1"/>
  <c r="S98" i="11"/>
  <c r="U98" i="11" s="1"/>
  <c r="P98" i="11"/>
  <c r="Q98" i="11" s="1"/>
  <c r="S99" i="11"/>
  <c r="P99" i="11"/>
  <c r="Q99" i="11" s="1"/>
  <c r="S100" i="11"/>
  <c r="U100" i="11" s="1"/>
  <c r="P100" i="11"/>
  <c r="Q100" i="11" s="1"/>
  <c r="S101" i="11"/>
  <c r="U101" i="11" s="1"/>
  <c r="P101" i="11"/>
  <c r="Q101" i="11" s="1"/>
  <c r="P96" i="11"/>
  <c r="Q96" i="11" s="1"/>
  <c r="S96" i="11"/>
  <c r="U96" i="11" s="1"/>
  <c r="S110" i="11" l="1"/>
  <c r="R113" i="11"/>
  <c r="S109" i="11"/>
  <c r="U109" i="11" s="1"/>
  <c r="S105" i="11"/>
  <c r="U105" i="11" s="1"/>
  <c r="P108" i="11"/>
  <c r="Q108" i="11" s="1"/>
  <c r="Z108" i="11" s="1"/>
  <c r="R96" i="21"/>
  <c r="R96" i="19"/>
  <c r="R107" i="19" s="1"/>
  <c r="S106" i="11"/>
  <c r="U106" i="11" s="1"/>
  <c r="Z159" i="11"/>
  <c r="AA110" i="11"/>
  <c r="Z110" i="11"/>
  <c r="Z112" i="11"/>
  <c r="AA112" i="11"/>
  <c r="AA108" i="11"/>
  <c r="Z106" i="11"/>
  <c r="AA106" i="11"/>
  <c r="AA109" i="11"/>
  <c r="Z109" i="11"/>
  <c r="AA105" i="11"/>
  <c r="Z105" i="11"/>
  <c r="Q113" i="11"/>
  <c r="Q114" i="11" s="1"/>
  <c r="R114" i="11" s="1"/>
  <c r="P107" i="11"/>
  <c r="Q107" i="11" s="1"/>
  <c r="Z111" i="11"/>
  <c r="AA111" i="11"/>
  <c r="Z119" i="12"/>
  <c r="U111" i="11"/>
  <c r="U107" i="11"/>
  <c r="U112" i="11"/>
  <c r="U108" i="11"/>
  <c r="U110" i="11"/>
  <c r="U99" i="11"/>
  <c r="U102" i="11" s="1"/>
  <c r="Q102" i="11"/>
  <c r="Q103" i="11" s="1"/>
  <c r="R103" i="11" s="1"/>
  <c r="S106" i="14"/>
  <c r="U106" i="14" s="1"/>
  <c r="S107" i="14"/>
  <c r="U107" i="14" s="1"/>
  <c r="S108" i="14"/>
  <c r="U108" i="14" s="1"/>
  <c r="S109" i="14"/>
  <c r="U109" i="14" s="1"/>
  <c r="S110" i="14"/>
  <c r="U110" i="14" s="1"/>
  <c r="S111" i="14"/>
  <c r="U111" i="14" s="1"/>
  <c r="S112" i="14"/>
  <c r="U112" i="14" s="1"/>
  <c r="S105" i="14"/>
  <c r="U105" i="14" s="1"/>
  <c r="C150" i="19"/>
  <c r="B150" i="19"/>
  <c r="E150" i="19"/>
  <c r="D150" i="19"/>
  <c r="E149" i="19"/>
  <c r="D149" i="19"/>
  <c r="C149" i="19"/>
  <c r="B149" i="19"/>
  <c r="C148" i="19"/>
  <c r="B148" i="19"/>
  <c r="E148" i="19"/>
  <c r="D148" i="19"/>
  <c r="C147" i="19"/>
  <c r="B147" i="19"/>
  <c r="E147" i="19"/>
  <c r="D147" i="19"/>
  <c r="E146" i="19"/>
  <c r="D146" i="19"/>
  <c r="C146" i="19"/>
  <c r="B146" i="19"/>
  <c r="C145" i="19"/>
  <c r="B145" i="19"/>
  <c r="E145" i="19"/>
  <c r="D145" i="19"/>
  <c r="C143" i="19"/>
  <c r="B143" i="19"/>
  <c r="E143" i="19"/>
  <c r="D143" i="19"/>
  <c r="E144" i="19"/>
  <c r="D144" i="19"/>
  <c r="C144" i="19"/>
  <c r="B144" i="19"/>
  <c r="E142" i="19"/>
  <c r="D142" i="19"/>
  <c r="C142" i="19"/>
  <c r="B142" i="19"/>
  <c r="C141" i="19"/>
  <c r="B141" i="19"/>
  <c r="E141" i="19"/>
  <c r="D141" i="19"/>
  <c r="C138" i="19"/>
  <c r="B138" i="19"/>
  <c r="E138" i="19"/>
  <c r="D138" i="19"/>
  <c r="E140" i="19"/>
  <c r="D140" i="19"/>
  <c r="C140" i="19"/>
  <c r="B140" i="19"/>
  <c r="C139" i="19"/>
  <c r="B139" i="19"/>
  <c r="E139" i="19"/>
  <c r="D139" i="19"/>
  <c r="E137" i="19"/>
  <c r="D137" i="19"/>
  <c r="C137" i="19"/>
  <c r="B137" i="19"/>
  <c r="C136" i="19"/>
  <c r="B136" i="19"/>
  <c r="E136" i="19"/>
  <c r="D136" i="19"/>
  <c r="E135" i="19"/>
  <c r="D135" i="19"/>
  <c r="C135" i="19"/>
  <c r="B135" i="19"/>
  <c r="C134" i="19"/>
  <c r="B134" i="19"/>
  <c r="E134" i="19"/>
  <c r="D134" i="19"/>
  <c r="E133" i="19"/>
  <c r="D133" i="19"/>
  <c r="C133" i="19"/>
  <c r="B133" i="19"/>
  <c r="C132" i="19"/>
  <c r="B132" i="19"/>
  <c r="E132" i="19"/>
  <c r="D132" i="19"/>
  <c r="C122" i="19"/>
  <c r="B122" i="19"/>
  <c r="E122" i="19"/>
  <c r="D122" i="19"/>
  <c r="E123" i="19"/>
  <c r="D123" i="19"/>
  <c r="C123" i="19"/>
  <c r="B123" i="19"/>
  <c r="E121" i="19"/>
  <c r="D121" i="19"/>
  <c r="C121" i="19"/>
  <c r="B121" i="19"/>
  <c r="C117" i="19"/>
  <c r="W117" i="19" s="1"/>
  <c r="B117" i="19"/>
  <c r="V117" i="19" s="1"/>
  <c r="E117" i="19"/>
  <c r="Y117" i="19" s="1"/>
  <c r="D117" i="19"/>
  <c r="X117" i="19" s="1"/>
  <c r="E116" i="19"/>
  <c r="Y116" i="19" s="1"/>
  <c r="D116" i="19"/>
  <c r="X116" i="19" s="1"/>
  <c r="C116" i="19"/>
  <c r="W116" i="19" s="1"/>
  <c r="B116" i="19"/>
  <c r="V116" i="19" s="1"/>
  <c r="C115" i="19"/>
  <c r="W115" i="19" s="1"/>
  <c r="B115" i="19"/>
  <c r="V115" i="19" s="1"/>
  <c r="E115" i="19"/>
  <c r="Y115" i="19" s="1"/>
  <c r="D115" i="19"/>
  <c r="X115" i="19" s="1"/>
  <c r="C113" i="19"/>
  <c r="W113" i="19" s="1"/>
  <c r="B113" i="19"/>
  <c r="V113" i="19" s="1"/>
  <c r="E113" i="19"/>
  <c r="Y113" i="19" s="1"/>
  <c r="D113" i="19"/>
  <c r="X113" i="19" s="1"/>
  <c r="E114" i="19"/>
  <c r="Y114" i="19" s="1"/>
  <c r="D114" i="19"/>
  <c r="X114" i="19" s="1"/>
  <c r="C114" i="19"/>
  <c r="W114" i="19" s="1"/>
  <c r="B114" i="19"/>
  <c r="V114" i="19" s="1"/>
  <c r="C111" i="19"/>
  <c r="W111" i="19" s="1"/>
  <c r="B111" i="19"/>
  <c r="V111" i="19" s="1"/>
  <c r="E111" i="19"/>
  <c r="Y111" i="19" s="1"/>
  <c r="D111" i="19"/>
  <c r="X111" i="19" s="1"/>
  <c r="E112" i="19"/>
  <c r="Y112" i="19" s="1"/>
  <c r="D112" i="19"/>
  <c r="X112" i="19" s="1"/>
  <c r="C112" i="19"/>
  <c r="W112" i="19" s="1"/>
  <c r="B112" i="19"/>
  <c r="V112" i="19" s="1"/>
  <c r="C104" i="19"/>
  <c r="W104" i="19" s="1"/>
  <c r="B104" i="19"/>
  <c r="V104" i="19" s="1"/>
  <c r="E104" i="19"/>
  <c r="Y104" i="19" s="1"/>
  <c r="D104" i="19"/>
  <c r="X104" i="19" s="1"/>
  <c r="E103" i="19"/>
  <c r="Y103" i="19" s="1"/>
  <c r="D103" i="19"/>
  <c r="X103" i="19" s="1"/>
  <c r="C103" i="19"/>
  <c r="W103" i="19" s="1"/>
  <c r="B103" i="19"/>
  <c r="V103" i="19" s="1"/>
  <c r="C102" i="19"/>
  <c r="W102" i="19" s="1"/>
  <c r="B102" i="19"/>
  <c r="V102" i="19" s="1"/>
  <c r="E102" i="19"/>
  <c r="Y102" i="19" s="1"/>
  <c r="D102" i="19"/>
  <c r="X102" i="19" s="1"/>
  <c r="C100" i="19"/>
  <c r="W100" i="19" s="1"/>
  <c r="B100" i="19"/>
  <c r="V100" i="19" s="1"/>
  <c r="E100" i="19"/>
  <c r="Y100" i="19" s="1"/>
  <c r="D100" i="19"/>
  <c r="X100" i="19" s="1"/>
  <c r="E101" i="19"/>
  <c r="Y101" i="19" s="1"/>
  <c r="D101" i="19"/>
  <c r="X101" i="19" s="1"/>
  <c r="C101" i="19"/>
  <c r="W101" i="19" s="1"/>
  <c r="B101" i="19"/>
  <c r="V101" i="19" s="1"/>
  <c r="E99" i="19"/>
  <c r="Y99" i="19" s="1"/>
  <c r="D99" i="19"/>
  <c r="X99" i="19" s="1"/>
  <c r="C99" i="19"/>
  <c r="W99" i="19" s="1"/>
  <c r="B99" i="19"/>
  <c r="V99" i="19" s="1"/>
  <c r="C98" i="19"/>
  <c r="W98" i="19" s="1"/>
  <c r="B98" i="19"/>
  <c r="V98" i="19" s="1"/>
  <c r="E98" i="19"/>
  <c r="Y98" i="19" s="1"/>
  <c r="D98" i="19"/>
  <c r="X98" i="19" s="1"/>
  <c r="E97" i="19"/>
  <c r="Y97" i="19" s="1"/>
  <c r="D97" i="19"/>
  <c r="X97" i="19" s="1"/>
  <c r="C97" i="19"/>
  <c r="W97" i="19" s="1"/>
  <c r="B97" i="19"/>
  <c r="V97" i="19" s="1"/>
  <c r="C93" i="19"/>
  <c r="B93" i="19"/>
  <c r="E93" i="19"/>
  <c r="D93" i="19"/>
  <c r="E92" i="19"/>
  <c r="D92" i="19"/>
  <c r="C92" i="19"/>
  <c r="B92" i="19"/>
  <c r="C91" i="19"/>
  <c r="B91" i="19"/>
  <c r="E91" i="19"/>
  <c r="D91" i="19"/>
  <c r="E90" i="19"/>
  <c r="D90" i="19"/>
  <c r="C90" i="19"/>
  <c r="B90" i="19"/>
  <c r="C89" i="19"/>
  <c r="B89" i="19"/>
  <c r="E89" i="19"/>
  <c r="D89" i="19"/>
  <c r="E88" i="19"/>
  <c r="D88" i="19"/>
  <c r="C88" i="19"/>
  <c r="B88" i="19"/>
  <c r="C134" i="18"/>
  <c r="W134" i="18" s="1"/>
  <c r="B134" i="18"/>
  <c r="V134" i="18" s="1"/>
  <c r="E134" i="18"/>
  <c r="Y134" i="18" s="1"/>
  <c r="D134" i="18"/>
  <c r="X134" i="18" s="1"/>
  <c r="E133" i="18"/>
  <c r="Y133" i="18" s="1"/>
  <c r="D133" i="18"/>
  <c r="X133" i="18" s="1"/>
  <c r="C133" i="18"/>
  <c r="W133" i="18" s="1"/>
  <c r="B133" i="18"/>
  <c r="V133" i="18" s="1"/>
  <c r="C132" i="18"/>
  <c r="W132" i="18" s="1"/>
  <c r="B132" i="18"/>
  <c r="V132" i="18" s="1"/>
  <c r="E132" i="18"/>
  <c r="Y132" i="18" s="1"/>
  <c r="D132" i="18"/>
  <c r="X132" i="18" s="1"/>
  <c r="C131" i="18"/>
  <c r="W131" i="18" s="1"/>
  <c r="B131" i="18"/>
  <c r="V131" i="18" s="1"/>
  <c r="E131" i="18"/>
  <c r="Y131" i="18" s="1"/>
  <c r="D131" i="18"/>
  <c r="X131" i="18" s="1"/>
  <c r="E130" i="18"/>
  <c r="Y130" i="18" s="1"/>
  <c r="D130" i="18"/>
  <c r="X130" i="18" s="1"/>
  <c r="C130" i="18"/>
  <c r="W130" i="18" s="1"/>
  <c r="B130" i="18"/>
  <c r="V130" i="18" s="1"/>
  <c r="C129" i="18"/>
  <c r="W129" i="18" s="1"/>
  <c r="B129" i="18"/>
  <c r="V129" i="18" s="1"/>
  <c r="E129" i="18"/>
  <c r="Y129" i="18" s="1"/>
  <c r="D129" i="18"/>
  <c r="X129" i="18" s="1"/>
  <c r="C127" i="18"/>
  <c r="B127" i="18"/>
  <c r="E127" i="18"/>
  <c r="D127" i="18"/>
  <c r="E128" i="18"/>
  <c r="Y128" i="18" s="1"/>
  <c r="D128" i="18"/>
  <c r="X128" i="18" s="1"/>
  <c r="C128" i="18"/>
  <c r="W128" i="18" s="1"/>
  <c r="B128" i="18"/>
  <c r="V128" i="18" s="1"/>
  <c r="E124" i="18"/>
  <c r="Y124" i="18" s="1"/>
  <c r="D124" i="18"/>
  <c r="X124" i="18" s="1"/>
  <c r="C124" i="18"/>
  <c r="W124" i="18" s="1"/>
  <c r="B124" i="18"/>
  <c r="V124" i="18" s="1"/>
  <c r="C123" i="18"/>
  <c r="W123" i="18" s="1"/>
  <c r="B123" i="18"/>
  <c r="V123" i="18" s="1"/>
  <c r="E123" i="18"/>
  <c r="Y123" i="18" s="1"/>
  <c r="D123" i="18"/>
  <c r="X123" i="18" s="1"/>
  <c r="E122" i="18"/>
  <c r="Y122" i="18" s="1"/>
  <c r="D122" i="18"/>
  <c r="X122" i="18" s="1"/>
  <c r="C122" i="18"/>
  <c r="W122" i="18" s="1"/>
  <c r="B122" i="18"/>
  <c r="V122" i="18" s="1"/>
  <c r="C121" i="18"/>
  <c r="B121" i="18"/>
  <c r="E121" i="18"/>
  <c r="D121" i="18"/>
  <c r="E126" i="18"/>
  <c r="D126" i="18"/>
  <c r="C126" i="18"/>
  <c r="B126" i="18"/>
  <c r="C125" i="18"/>
  <c r="W125" i="18" s="1"/>
  <c r="B125" i="18"/>
  <c r="V125" i="18" s="1"/>
  <c r="E125" i="18"/>
  <c r="Y125" i="18" s="1"/>
  <c r="D125" i="18"/>
  <c r="X125" i="18" s="1"/>
  <c r="C119" i="18"/>
  <c r="B119" i="18"/>
  <c r="E119" i="18"/>
  <c r="D119" i="18"/>
  <c r="E120" i="18"/>
  <c r="D120" i="18"/>
  <c r="C120" i="18"/>
  <c r="B120" i="18"/>
  <c r="E110" i="18"/>
  <c r="D110" i="18"/>
  <c r="C110" i="18"/>
  <c r="B110" i="18"/>
  <c r="C109" i="18"/>
  <c r="B109" i="18"/>
  <c r="E109" i="18"/>
  <c r="D109" i="18"/>
  <c r="C107" i="18"/>
  <c r="B107" i="18"/>
  <c r="E107" i="18"/>
  <c r="D107" i="18"/>
  <c r="E108" i="18"/>
  <c r="D108" i="18"/>
  <c r="C108" i="18"/>
  <c r="B108" i="18"/>
  <c r="E106" i="18"/>
  <c r="D106" i="18"/>
  <c r="C106" i="18"/>
  <c r="B106" i="18"/>
  <c r="C105" i="18"/>
  <c r="W105" i="18" s="1"/>
  <c r="B105" i="18"/>
  <c r="V105" i="18" s="1"/>
  <c r="E105" i="18"/>
  <c r="Y105" i="18" s="1"/>
  <c r="D105" i="18"/>
  <c r="X105" i="18" s="1"/>
  <c r="E104" i="18"/>
  <c r="Y104" i="18" s="1"/>
  <c r="D104" i="18"/>
  <c r="X104" i="18" s="1"/>
  <c r="C104" i="18"/>
  <c r="W104" i="18" s="1"/>
  <c r="B104" i="18"/>
  <c r="V104" i="18" s="1"/>
  <c r="C103" i="18"/>
  <c r="W103" i="18" s="1"/>
  <c r="B103" i="18"/>
  <c r="V103" i="18" s="1"/>
  <c r="E103" i="18"/>
  <c r="Y103" i="18" s="1"/>
  <c r="D103" i="18"/>
  <c r="X103" i="18" s="1"/>
  <c r="C101" i="18"/>
  <c r="W101" i="18" s="1"/>
  <c r="B101" i="18"/>
  <c r="V101" i="18" s="1"/>
  <c r="E101" i="18"/>
  <c r="Y101" i="18" s="1"/>
  <c r="D101" i="18"/>
  <c r="X101" i="18" s="1"/>
  <c r="E102" i="18"/>
  <c r="Y102" i="18" s="1"/>
  <c r="D102" i="18"/>
  <c r="X102" i="18" s="1"/>
  <c r="C102" i="18"/>
  <c r="W102" i="18" s="1"/>
  <c r="B102" i="18"/>
  <c r="V102" i="18" s="1"/>
  <c r="C99" i="18"/>
  <c r="W99" i="18" s="1"/>
  <c r="B99" i="18"/>
  <c r="V99" i="18" s="1"/>
  <c r="E99" i="18"/>
  <c r="Y99" i="18" s="1"/>
  <c r="D99" i="18"/>
  <c r="X99" i="18" s="1"/>
  <c r="E100" i="18"/>
  <c r="Y100" i="18" s="1"/>
  <c r="D100" i="18"/>
  <c r="X100" i="18" s="1"/>
  <c r="C100" i="18"/>
  <c r="W100" i="18" s="1"/>
  <c r="B100" i="18"/>
  <c r="V100" i="18" s="1"/>
  <c r="E98" i="18"/>
  <c r="Y98" i="18" s="1"/>
  <c r="D98" i="18"/>
  <c r="X98" i="18" s="1"/>
  <c r="C98" i="18"/>
  <c r="W98" i="18" s="1"/>
  <c r="B98" i="18"/>
  <c r="V98" i="18" s="1"/>
  <c r="C93" i="18"/>
  <c r="B93" i="18"/>
  <c r="E93" i="18"/>
  <c r="D93" i="18"/>
  <c r="E92" i="18"/>
  <c r="D92" i="18"/>
  <c r="C92" i="18"/>
  <c r="B92" i="18"/>
  <c r="C91" i="18"/>
  <c r="B91" i="18"/>
  <c r="E91" i="18"/>
  <c r="D91" i="18"/>
  <c r="E90" i="18"/>
  <c r="D90" i="18"/>
  <c r="C90" i="18"/>
  <c r="B90" i="18"/>
  <c r="C89" i="18"/>
  <c r="B89" i="18"/>
  <c r="E89" i="18"/>
  <c r="D89" i="18"/>
  <c r="E88" i="18"/>
  <c r="D88" i="18"/>
  <c r="C88" i="18"/>
  <c r="B88" i="18"/>
  <c r="C148" i="14"/>
  <c r="B148" i="14"/>
  <c r="E148" i="14"/>
  <c r="D148" i="14"/>
  <c r="C145" i="14"/>
  <c r="B145" i="14"/>
  <c r="E145" i="14"/>
  <c r="D145" i="14"/>
  <c r="E147" i="14"/>
  <c r="D147" i="14"/>
  <c r="C147" i="14"/>
  <c r="B147" i="14"/>
  <c r="C146" i="14"/>
  <c r="B146" i="14"/>
  <c r="E146" i="14"/>
  <c r="D146" i="14"/>
  <c r="E144" i="14"/>
  <c r="D144" i="14"/>
  <c r="C144" i="14"/>
  <c r="B144" i="14"/>
  <c r="C143" i="14"/>
  <c r="B143" i="14"/>
  <c r="E143" i="14"/>
  <c r="D143" i="14"/>
  <c r="C141" i="14"/>
  <c r="B141" i="14"/>
  <c r="E141" i="14"/>
  <c r="D141" i="14"/>
  <c r="E142" i="14"/>
  <c r="D142" i="14"/>
  <c r="C142" i="14"/>
  <c r="B142" i="14"/>
  <c r="E140" i="14"/>
  <c r="D140" i="14"/>
  <c r="C140" i="14"/>
  <c r="B140" i="14"/>
  <c r="C139" i="14"/>
  <c r="B139" i="14"/>
  <c r="E139" i="14"/>
  <c r="D139" i="14"/>
  <c r="E138" i="14"/>
  <c r="D138" i="14"/>
  <c r="C138" i="14"/>
  <c r="B138" i="14"/>
  <c r="C136" i="14"/>
  <c r="B136" i="14"/>
  <c r="E136" i="14"/>
  <c r="D136" i="14"/>
  <c r="E137" i="14"/>
  <c r="D137" i="14"/>
  <c r="C137" i="14"/>
  <c r="B137" i="14"/>
  <c r="E135" i="14"/>
  <c r="D135" i="14"/>
  <c r="C135" i="14"/>
  <c r="B135" i="14"/>
  <c r="C134" i="14"/>
  <c r="B134" i="14"/>
  <c r="E134" i="14"/>
  <c r="D134" i="14"/>
  <c r="E133" i="14"/>
  <c r="D133" i="14"/>
  <c r="C133" i="14"/>
  <c r="B133" i="14"/>
  <c r="C132" i="14"/>
  <c r="B132" i="14"/>
  <c r="E132" i="14"/>
  <c r="D132" i="14"/>
  <c r="C130" i="14"/>
  <c r="B130" i="14"/>
  <c r="E130" i="14"/>
  <c r="D130" i="14"/>
  <c r="E131" i="14"/>
  <c r="D131" i="14"/>
  <c r="C131" i="14"/>
  <c r="B131" i="14"/>
  <c r="E129" i="14"/>
  <c r="D129" i="14"/>
  <c r="C129" i="14"/>
  <c r="B129" i="14"/>
  <c r="C128" i="14"/>
  <c r="B128" i="14"/>
  <c r="E128" i="14"/>
  <c r="D128" i="14"/>
  <c r="C126" i="14"/>
  <c r="W126" i="14" s="1"/>
  <c r="B126" i="14"/>
  <c r="V126" i="14" s="1"/>
  <c r="E126" i="14"/>
  <c r="Y126" i="14" s="1"/>
  <c r="D126" i="14"/>
  <c r="X126" i="14" s="1"/>
  <c r="E127" i="14"/>
  <c r="Y127" i="14" s="1"/>
  <c r="D127" i="14"/>
  <c r="X127" i="14" s="1"/>
  <c r="C127" i="14"/>
  <c r="W127" i="14" s="1"/>
  <c r="B127" i="14"/>
  <c r="V127" i="14" s="1"/>
  <c r="E125" i="14"/>
  <c r="Y125" i="14" s="1"/>
  <c r="D125" i="14"/>
  <c r="X125" i="14" s="1"/>
  <c r="C125" i="14"/>
  <c r="W125" i="14" s="1"/>
  <c r="B125" i="14"/>
  <c r="V125" i="14" s="1"/>
  <c r="C124" i="14"/>
  <c r="W124" i="14" s="1"/>
  <c r="B124" i="14"/>
  <c r="V124" i="14" s="1"/>
  <c r="E124" i="14"/>
  <c r="Y124" i="14" s="1"/>
  <c r="D124" i="14"/>
  <c r="X124" i="14" s="1"/>
  <c r="C122" i="14"/>
  <c r="W122" i="14" s="1"/>
  <c r="B122" i="14"/>
  <c r="V122" i="14" s="1"/>
  <c r="E122" i="14"/>
  <c r="Y122" i="14" s="1"/>
  <c r="D122" i="14"/>
  <c r="X122" i="14" s="1"/>
  <c r="E123" i="14"/>
  <c r="Y123" i="14" s="1"/>
  <c r="D123" i="14"/>
  <c r="X123" i="14" s="1"/>
  <c r="C123" i="14"/>
  <c r="W123" i="14" s="1"/>
  <c r="B123" i="14"/>
  <c r="V123" i="14" s="1"/>
  <c r="C120" i="14"/>
  <c r="W120" i="14" s="1"/>
  <c r="B120" i="14"/>
  <c r="V120" i="14" s="1"/>
  <c r="E120" i="14"/>
  <c r="Y120" i="14" s="1"/>
  <c r="D120" i="14"/>
  <c r="X120" i="14" s="1"/>
  <c r="E121" i="14"/>
  <c r="D121" i="14"/>
  <c r="C121" i="14"/>
  <c r="B121" i="14"/>
  <c r="C118" i="14"/>
  <c r="W118" i="14" s="1"/>
  <c r="B118" i="14"/>
  <c r="V118" i="14" s="1"/>
  <c r="E118" i="14"/>
  <c r="Y118" i="14" s="1"/>
  <c r="D118" i="14"/>
  <c r="X118" i="14" s="1"/>
  <c r="E119" i="14"/>
  <c r="Y119" i="14" s="1"/>
  <c r="D119" i="14"/>
  <c r="X119" i="14" s="1"/>
  <c r="C119" i="14"/>
  <c r="W119" i="14" s="1"/>
  <c r="B119" i="14"/>
  <c r="V119" i="14" s="1"/>
  <c r="E117" i="14"/>
  <c r="Y117" i="14" s="1"/>
  <c r="D117" i="14"/>
  <c r="X117" i="14" s="1"/>
  <c r="C117" i="14"/>
  <c r="W117" i="14" s="1"/>
  <c r="B117" i="14"/>
  <c r="V117" i="14" s="1"/>
  <c r="C116" i="14"/>
  <c r="W116" i="14" s="1"/>
  <c r="B116" i="14"/>
  <c r="V116" i="14" s="1"/>
  <c r="E116" i="14"/>
  <c r="Y116" i="14" s="1"/>
  <c r="D116" i="14"/>
  <c r="X116" i="14" s="1"/>
  <c r="C114" i="14"/>
  <c r="W114" i="14" s="1"/>
  <c r="B114" i="14"/>
  <c r="V114" i="14" s="1"/>
  <c r="E114" i="14"/>
  <c r="Y114" i="14" s="1"/>
  <c r="D114" i="14"/>
  <c r="X114" i="14" s="1"/>
  <c r="E115" i="14"/>
  <c r="Y115" i="14" s="1"/>
  <c r="D115" i="14"/>
  <c r="X115" i="14" s="1"/>
  <c r="C115" i="14"/>
  <c r="W115" i="14" s="1"/>
  <c r="B115" i="14"/>
  <c r="V115" i="14" s="1"/>
  <c r="C112" i="14"/>
  <c r="W112" i="14" s="1"/>
  <c r="B112" i="14"/>
  <c r="V112" i="14" s="1"/>
  <c r="E112" i="14"/>
  <c r="Y112" i="14" s="1"/>
  <c r="D112" i="14"/>
  <c r="X112" i="14" s="1"/>
  <c r="E113" i="14"/>
  <c r="Y113" i="14" s="1"/>
  <c r="D113" i="14"/>
  <c r="X113" i="14" s="1"/>
  <c r="C113" i="14"/>
  <c r="W113" i="14" s="1"/>
  <c r="B113" i="14"/>
  <c r="V113" i="14" s="1"/>
  <c r="E111" i="14"/>
  <c r="Y111" i="14" s="1"/>
  <c r="D111" i="14"/>
  <c r="X111" i="14" s="1"/>
  <c r="C111" i="14"/>
  <c r="W111" i="14" s="1"/>
  <c r="B111" i="14"/>
  <c r="V111" i="14" s="1"/>
  <c r="C110" i="14"/>
  <c r="W110" i="14" s="1"/>
  <c r="B110" i="14"/>
  <c r="V110" i="14" s="1"/>
  <c r="E110" i="14"/>
  <c r="Y110" i="14" s="1"/>
  <c r="D110" i="14"/>
  <c r="X110" i="14" s="1"/>
  <c r="C108" i="14"/>
  <c r="W108" i="14" s="1"/>
  <c r="B108" i="14"/>
  <c r="V108" i="14" s="1"/>
  <c r="E108" i="14"/>
  <c r="Y108" i="14" s="1"/>
  <c r="D108" i="14"/>
  <c r="X108" i="14" s="1"/>
  <c r="E109" i="14"/>
  <c r="Y109" i="14" s="1"/>
  <c r="D109" i="14"/>
  <c r="X109" i="14" s="1"/>
  <c r="C109" i="14"/>
  <c r="W109" i="14" s="1"/>
  <c r="B109" i="14"/>
  <c r="V109" i="14" s="1"/>
  <c r="E107" i="14"/>
  <c r="Y107" i="14" s="1"/>
  <c r="D107" i="14"/>
  <c r="X107" i="14" s="1"/>
  <c r="C107" i="14"/>
  <c r="W107" i="14" s="1"/>
  <c r="B107" i="14"/>
  <c r="V107" i="14" s="1"/>
  <c r="C106" i="14"/>
  <c r="W106" i="14" s="1"/>
  <c r="B106" i="14"/>
  <c r="V106" i="14" s="1"/>
  <c r="E106" i="14"/>
  <c r="Y106" i="14" s="1"/>
  <c r="D106" i="14"/>
  <c r="X106" i="14" s="1"/>
  <c r="E105" i="14"/>
  <c r="Y105" i="14" s="1"/>
  <c r="D105" i="14"/>
  <c r="X105" i="14" s="1"/>
  <c r="C105" i="14"/>
  <c r="W105" i="14" s="1"/>
  <c r="U115" i="14" s="1"/>
  <c r="B105" i="14"/>
  <c r="V105" i="14" s="1"/>
  <c r="C101" i="14"/>
  <c r="B101" i="14"/>
  <c r="E101" i="14"/>
  <c r="D101" i="14"/>
  <c r="E100" i="14"/>
  <c r="D100" i="14"/>
  <c r="C100" i="14"/>
  <c r="B100" i="14"/>
  <c r="C99" i="14"/>
  <c r="B99" i="14"/>
  <c r="E99" i="14"/>
  <c r="D99" i="14"/>
  <c r="E98" i="14"/>
  <c r="D98" i="14"/>
  <c r="C98" i="14"/>
  <c r="B98" i="14"/>
  <c r="C97" i="14"/>
  <c r="B97" i="14"/>
  <c r="E97" i="14"/>
  <c r="D97" i="14"/>
  <c r="E96" i="14"/>
  <c r="D96" i="14"/>
  <c r="C96" i="14"/>
  <c r="B96" i="14"/>
  <c r="C92" i="14"/>
  <c r="B92" i="14"/>
  <c r="E92" i="14"/>
  <c r="D92" i="14"/>
  <c r="E91" i="14"/>
  <c r="D91" i="14"/>
  <c r="C91" i="14"/>
  <c r="B91" i="14"/>
  <c r="C90" i="14"/>
  <c r="B90" i="14"/>
  <c r="E90" i="14"/>
  <c r="D90" i="14"/>
  <c r="E89" i="14"/>
  <c r="D89" i="14"/>
  <c r="C89" i="14"/>
  <c r="B89" i="14"/>
  <c r="C88" i="14"/>
  <c r="B88" i="14"/>
  <c r="E88" i="14"/>
  <c r="D88" i="14"/>
  <c r="E87" i="14"/>
  <c r="D87" i="14"/>
  <c r="C87" i="14"/>
  <c r="B87" i="14"/>
  <c r="C132" i="13"/>
  <c r="B132" i="13"/>
  <c r="E132" i="13"/>
  <c r="D132" i="13"/>
  <c r="C130" i="13"/>
  <c r="B130" i="13"/>
  <c r="E130" i="13"/>
  <c r="D130" i="13"/>
  <c r="E131" i="13"/>
  <c r="D131" i="13"/>
  <c r="C131" i="13"/>
  <c r="B131" i="13"/>
  <c r="C128" i="13"/>
  <c r="B128" i="13"/>
  <c r="E128" i="13"/>
  <c r="D128" i="13"/>
  <c r="E129" i="13"/>
  <c r="D129" i="13"/>
  <c r="C129" i="13"/>
  <c r="B129" i="13"/>
  <c r="E127" i="13"/>
  <c r="D127" i="13"/>
  <c r="C127" i="13"/>
  <c r="B127" i="13"/>
  <c r="C126" i="13"/>
  <c r="B126" i="13"/>
  <c r="E126" i="13"/>
  <c r="D126" i="13"/>
  <c r="C125" i="13"/>
  <c r="B125" i="13"/>
  <c r="E125" i="13"/>
  <c r="D125" i="13"/>
  <c r="C123" i="13"/>
  <c r="B123" i="13"/>
  <c r="E123" i="13"/>
  <c r="D123" i="13"/>
  <c r="E124" i="13"/>
  <c r="D124" i="13"/>
  <c r="C124" i="13"/>
  <c r="B124" i="13"/>
  <c r="E122" i="13"/>
  <c r="D122" i="13"/>
  <c r="C122" i="13"/>
  <c r="B122" i="13"/>
  <c r="C121" i="13"/>
  <c r="B121" i="13"/>
  <c r="E121" i="13"/>
  <c r="D121" i="13"/>
  <c r="C119" i="13"/>
  <c r="B119" i="13"/>
  <c r="E119" i="13"/>
  <c r="D119" i="13"/>
  <c r="E120" i="13"/>
  <c r="D120" i="13"/>
  <c r="C120" i="13"/>
  <c r="B120" i="13"/>
  <c r="E118" i="13"/>
  <c r="D118" i="13"/>
  <c r="C118" i="13"/>
  <c r="B118" i="13"/>
  <c r="C117" i="13"/>
  <c r="B117" i="13"/>
  <c r="E117" i="13"/>
  <c r="D117" i="13"/>
  <c r="C115" i="13"/>
  <c r="W115" i="13" s="1"/>
  <c r="B115" i="13"/>
  <c r="V115" i="13" s="1"/>
  <c r="E115" i="13"/>
  <c r="Y115" i="13" s="1"/>
  <c r="D115" i="13"/>
  <c r="X115" i="13" s="1"/>
  <c r="E116" i="13"/>
  <c r="Y116" i="13" s="1"/>
  <c r="D116" i="13"/>
  <c r="X116" i="13" s="1"/>
  <c r="C116" i="13"/>
  <c r="W116" i="13" s="1"/>
  <c r="B116" i="13"/>
  <c r="V116" i="13" s="1"/>
  <c r="E114" i="13"/>
  <c r="Y114" i="13" s="1"/>
  <c r="D114" i="13"/>
  <c r="X114" i="13" s="1"/>
  <c r="C114" i="13"/>
  <c r="W114" i="13" s="1"/>
  <c r="B114" i="13"/>
  <c r="V114" i="13" s="1"/>
  <c r="C113" i="13"/>
  <c r="W113" i="13" s="1"/>
  <c r="B113" i="13"/>
  <c r="V113" i="13" s="1"/>
  <c r="E113" i="13"/>
  <c r="Y113" i="13" s="1"/>
  <c r="D113" i="13"/>
  <c r="X113" i="13" s="1"/>
  <c r="C111" i="13"/>
  <c r="W111" i="13" s="1"/>
  <c r="B111" i="13"/>
  <c r="V111" i="13" s="1"/>
  <c r="E111" i="13"/>
  <c r="Y111" i="13" s="1"/>
  <c r="D111" i="13"/>
  <c r="X111" i="13" s="1"/>
  <c r="E112" i="13"/>
  <c r="Y112" i="13" s="1"/>
  <c r="D112" i="13"/>
  <c r="X112" i="13" s="1"/>
  <c r="C112" i="13"/>
  <c r="W112" i="13" s="1"/>
  <c r="B112" i="13"/>
  <c r="V112" i="13" s="1"/>
  <c r="C109" i="13"/>
  <c r="W109" i="13" s="1"/>
  <c r="B109" i="13"/>
  <c r="E109" i="13"/>
  <c r="Y109" i="13" s="1"/>
  <c r="D109" i="13"/>
  <c r="E110" i="13"/>
  <c r="Y110" i="13" s="1"/>
  <c r="D110" i="13"/>
  <c r="C110" i="13"/>
  <c r="W110" i="13" s="1"/>
  <c r="B110" i="13"/>
  <c r="E108" i="13"/>
  <c r="Y108" i="13" s="1"/>
  <c r="D108" i="13"/>
  <c r="C108" i="13"/>
  <c r="W108" i="13" s="1"/>
  <c r="B108" i="13"/>
  <c r="C107" i="13"/>
  <c r="W107" i="13" s="1"/>
  <c r="B107" i="13"/>
  <c r="E107" i="13"/>
  <c r="Y107" i="13" s="1"/>
  <c r="D107" i="13"/>
  <c r="C105" i="13"/>
  <c r="B105" i="13"/>
  <c r="E105" i="13"/>
  <c r="D105" i="13"/>
  <c r="E106" i="13"/>
  <c r="Y106" i="13" s="1"/>
  <c r="D106" i="13"/>
  <c r="C106" i="13"/>
  <c r="W106" i="13" s="1"/>
  <c r="B106" i="13"/>
  <c r="E104" i="13"/>
  <c r="Y104" i="13" s="1"/>
  <c r="D104" i="13"/>
  <c r="C104" i="13"/>
  <c r="W104" i="13" s="1"/>
  <c r="B104" i="13"/>
  <c r="C103" i="13"/>
  <c r="W103" i="13" s="1"/>
  <c r="B103" i="13"/>
  <c r="V103" i="13" s="1"/>
  <c r="E103" i="13"/>
  <c r="Y103" i="13" s="1"/>
  <c r="D103" i="13"/>
  <c r="X103" i="13" s="1"/>
  <c r="C101" i="13"/>
  <c r="W101" i="13" s="1"/>
  <c r="B101" i="13"/>
  <c r="V101" i="13" s="1"/>
  <c r="E101" i="13"/>
  <c r="Y101" i="13" s="1"/>
  <c r="D101" i="13"/>
  <c r="X101" i="13" s="1"/>
  <c r="E102" i="13"/>
  <c r="Y102" i="13" s="1"/>
  <c r="D102" i="13"/>
  <c r="X102" i="13" s="1"/>
  <c r="C102" i="13"/>
  <c r="W102" i="13" s="1"/>
  <c r="B102" i="13"/>
  <c r="V102" i="13" s="1"/>
  <c r="E100" i="13"/>
  <c r="Y100" i="13" s="1"/>
  <c r="D100" i="13"/>
  <c r="X100" i="13" s="1"/>
  <c r="C100" i="13"/>
  <c r="W100" i="13" s="1"/>
  <c r="B100" i="13"/>
  <c r="V100" i="13" s="1"/>
  <c r="C99" i="13"/>
  <c r="W99" i="13" s="1"/>
  <c r="B99" i="13"/>
  <c r="V99" i="13" s="1"/>
  <c r="E99" i="13"/>
  <c r="Y99" i="13" s="1"/>
  <c r="D99" i="13"/>
  <c r="X99" i="13" s="1"/>
  <c r="E98" i="13"/>
  <c r="Y98" i="13" s="1"/>
  <c r="D98" i="13"/>
  <c r="X98" i="13" s="1"/>
  <c r="C98" i="13"/>
  <c r="W98" i="13" s="1"/>
  <c r="B98" i="13"/>
  <c r="V98" i="13" s="1"/>
  <c r="C97" i="13"/>
  <c r="B97" i="13"/>
  <c r="E97" i="13"/>
  <c r="D97" i="13"/>
  <c r="E96" i="13"/>
  <c r="D96" i="13"/>
  <c r="C96" i="13"/>
  <c r="B96" i="13"/>
  <c r="C92" i="13"/>
  <c r="B92" i="13"/>
  <c r="E92" i="13"/>
  <c r="D92" i="13"/>
  <c r="E91" i="13"/>
  <c r="D91" i="13"/>
  <c r="C91" i="13"/>
  <c r="B91" i="13"/>
  <c r="C90" i="13"/>
  <c r="B90" i="13"/>
  <c r="E90" i="13"/>
  <c r="D90" i="13"/>
  <c r="E89" i="13"/>
  <c r="D89" i="13"/>
  <c r="C89" i="13"/>
  <c r="B89" i="13"/>
  <c r="C88" i="13"/>
  <c r="B88" i="13"/>
  <c r="E88" i="13"/>
  <c r="D88" i="13"/>
  <c r="E87" i="13"/>
  <c r="D87" i="13"/>
  <c r="C87" i="13"/>
  <c r="B87" i="13"/>
  <c r="C150" i="12"/>
  <c r="B150" i="12"/>
  <c r="E150" i="12"/>
  <c r="D150" i="12"/>
  <c r="E149" i="12"/>
  <c r="D149" i="12"/>
  <c r="C149" i="12"/>
  <c r="B149" i="12"/>
  <c r="C148" i="12"/>
  <c r="B148" i="12"/>
  <c r="E148" i="12"/>
  <c r="D148" i="12"/>
  <c r="C146" i="12"/>
  <c r="B146" i="12"/>
  <c r="E146" i="12"/>
  <c r="D146" i="12"/>
  <c r="E147" i="12"/>
  <c r="D147" i="12"/>
  <c r="C147" i="12"/>
  <c r="B147" i="12"/>
  <c r="E145" i="12"/>
  <c r="D145" i="12"/>
  <c r="C145" i="12"/>
  <c r="B145" i="12"/>
  <c r="C144" i="12"/>
  <c r="B144" i="12"/>
  <c r="E144" i="12"/>
  <c r="D144" i="12"/>
  <c r="C142" i="12"/>
  <c r="B142" i="12"/>
  <c r="E142" i="12"/>
  <c r="D142" i="12"/>
  <c r="E143" i="12"/>
  <c r="D143" i="12"/>
  <c r="C143" i="12"/>
  <c r="B143" i="12"/>
  <c r="E141" i="12"/>
  <c r="D141" i="12"/>
  <c r="C141" i="12"/>
  <c r="B141" i="12"/>
  <c r="E140" i="12"/>
  <c r="D140" i="12"/>
  <c r="C140" i="12"/>
  <c r="B140" i="12"/>
  <c r="C139" i="12"/>
  <c r="B139" i="12"/>
  <c r="E139" i="12"/>
  <c r="D139" i="12"/>
  <c r="C138" i="12"/>
  <c r="B138" i="12"/>
  <c r="E138" i="12"/>
  <c r="D138" i="12"/>
  <c r="E137" i="12"/>
  <c r="D137" i="12"/>
  <c r="C137" i="12"/>
  <c r="B137" i="12"/>
  <c r="C136" i="12"/>
  <c r="B136" i="12"/>
  <c r="E136" i="12"/>
  <c r="D136" i="12"/>
  <c r="C134" i="12"/>
  <c r="B134" i="12"/>
  <c r="E134" i="12"/>
  <c r="D134" i="12"/>
  <c r="E135" i="12"/>
  <c r="D135" i="12"/>
  <c r="C135" i="12"/>
  <c r="B135" i="12"/>
  <c r="C132" i="12"/>
  <c r="B132" i="12"/>
  <c r="E132" i="12"/>
  <c r="D132" i="12"/>
  <c r="E133" i="12"/>
  <c r="D133" i="12"/>
  <c r="C133" i="12"/>
  <c r="B133" i="12"/>
  <c r="E131" i="12"/>
  <c r="Y131" i="12" s="1"/>
  <c r="D131" i="12"/>
  <c r="X131" i="12" s="1"/>
  <c r="C131" i="12"/>
  <c r="W131" i="12" s="1"/>
  <c r="B131" i="12"/>
  <c r="V131" i="12" s="1"/>
  <c r="C130" i="12"/>
  <c r="W130" i="12" s="1"/>
  <c r="B130" i="12"/>
  <c r="V130" i="12" s="1"/>
  <c r="E130" i="12"/>
  <c r="Y130" i="12" s="1"/>
  <c r="D130" i="12"/>
  <c r="X130" i="12" s="1"/>
  <c r="C128" i="12"/>
  <c r="W128" i="12" s="1"/>
  <c r="B128" i="12"/>
  <c r="V128" i="12" s="1"/>
  <c r="E128" i="12"/>
  <c r="Y128" i="12" s="1"/>
  <c r="D128" i="12"/>
  <c r="X128" i="12" s="1"/>
  <c r="E129" i="12"/>
  <c r="Y129" i="12" s="1"/>
  <c r="D129" i="12"/>
  <c r="X129" i="12" s="1"/>
  <c r="C129" i="12"/>
  <c r="W129" i="12" s="1"/>
  <c r="B129" i="12"/>
  <c r="V129" i="12" s="1"/>
  <c r="C126" i="12"/>
  <c r="W126" i="12" s="1"/>
  <c r="B126" i="12"/>
  <c r="V126" i="12" s="1"/>
  <c r="E126" i="12"/>
  <c r="Y126" i="12" s="1"/>
  <c r="D126" i="12"/>
  <c r="X126" i="12" s="1"/>
  <c r="E127" i="12"/>
  <c r="Y127" i="12" s="1"/>
  <c r="D127" i="12"/>
  <c r="X127" i="12" s="1"/>
  <c r="C127" i="12"/>
  <c r="W127" i="12" s="1"/>
  <c r="B127" i="12"/>
  <c r="V127" i="12" s="1"/>
  <c r="E125" i="12"/>
  <c r="Y125" i="12" s="1"/>
  <c r="D125" i="12"/>
  <c r="X125" i="12" s="1"/>
  <c r="C125" i="12"/>
  <c r="W125" i="12" s="1"/>
  <c r="B125" i="12"/>
  <c r="V125" i="12" s="1"/>
  <c r="C124" i="12"/>
  <c r="W124" i="12" s="1"/>
  <c r="B124" i="12"/>
  <c r="V124" i="12" s="1"/>
  <c r="E124" i="12"/>
  <c r="Y124" i="12" s="1"/>
  <c r="D124" i="12"/>
  <c r="X124" i="12" s="1"/>
  <c r="C122" i="12"/>
  <c r="W122" i="12" s="1"/>
  <c r="B122" i="12"/>
  <c r="V122" i="12" s="1"/>
  <c r="E122" i="12"/>
  <c r="Y122" i="12" s="1"/>
  <c r="D122" i="12"/>
  <c r="X122" i="12" s="1"/>
  <c r="E123" i="12"/>
  <c r="Y123" i="12" s="1"/>
  <c r="D123" i="12"/>
  <c r="X123" i="12" s="1"/>
  <c r="C123" i="12"/>
  <c r="W123" i="12" s="1"/>
  <c r="B123" i="12"/>
  <c r="V123" i="12" s="1"/>
  <c r="E117" i="12"/>
  <c r="Y117" i="12" s="1"/>
  <c r="D117" i="12"/>
  <c r="X117" i="12" s="1"/>
  <c r="C117" i="12"/>
  <c r="W117" i="12" s="1"/>
  <c r="B117" i="12"/>
  <c r="V117" i="12" s="1"/>
  <c r="C116" i="12"/>
  <c r="W116" i="12" s="1"/>
  <c r="B116" i="12"/>
  <c r="V116" i="12" s="1"/>
  <c r="E116" i="12"/>
  <c r="Y116" i="12" s="1"/>
  <c r="D116" i="12"/>
  <c r="X116" i="12" s="1"/>
  <c r="E115" i="12"/>
  <c r="Y115" i="12" s="1"/>
  <c r="D115" i="12"/>
  <c r="X115" i="12" s="1"/>
  <c r="C115" i="12"/>
  <c r="W115" i="12" s="1"/>
  <c r="B115" i="12"/>
  <c r="V115" i="12" s="1"/>
  <c r="C113" i="12"/>
  <c r="W113" i="12" s="1"/>
  <c r="B113" i="12"/>
  <c r="V113" i="12" s="1"/>
  <c r="E113" i="12"/>
  <c r="Y113" i="12" s="1"/>
  <c r="D113" i="12"/>
  <c r="X113" i="12" s="1"/>
  <c r="E114" i="12"/>
  <c r="Y114" i="12" s="1"/>
  <c r="D114" i="12"/>
  <c r="X114" i="12" s="1"/>
  <c r="C114" i="12"/>
  <c r="W114" i="12" s="1"/>
  <c r="B114" i="12"/>
  <c r="V114" i="12" s="1"/>
  <c r="E112" i="12"/>
  <c r="D112" i="12"/>
  <c r="C112" i="12"/>
  <c r="B112" i="12"/>
  <c r="C111" i="12"/>
  <c r="B111" i="12"/>
  <c r="E111" i="12"/>
  <c r="D111" i="12"/>
  <c r="C110" i="12"/>
  <c r="B110" i="12"/>
  <c r="E110" i="12"/>
  <c r="D110" i="12"/>
  <c r="E109" i="12"/>
  <c r="Y109" i="12" s="1"/>
  <c r="D109" i="12"/>
  <c r="X109" i="12" s="1"/>
  <c r="C109" i="12"/>
  <c r="W109" i="12" s="1"/>
  <c r="B109" i="12"/>
  <c r="V109" i="12" s="1"/>
  <c r="C108" i="12"/>
  <c r="W108" i="12" s="1"/>
  <c r="B108" i="12"/>
  <c r="V108" i="12" s="1"/>
  <c r="E108" i="12"/>
  <c r="Y108" i="12" s="1"/>
  <c r="D108" i="12"/>
  <c r="X108" i="12" s="1"/>
  <c r="C106" i="12"/>
  <c r="W106" i="12" s="1"/>
  <c r="B106" i="12"/>
  <c r="V106" i="12" s="1"/>
  <c r="E106" i="12"/>
  <c r="Y106" i="12" s="1"/>
  <c r="D106" i="12"/>
  <c r="X106" i="12" s="1"/>
  <c r="E107" i="12"/>
  <c r="Y107" i="12" s="1"/>
  <c r="D107" i="12"/>
  <c r="X107" i="12" s="1"/>
  <c r="C107" i="12"/>
  <c r="W107" i="12" s="1"/>
  <c r="B107" i="12"/>
  <c r="V107" i="12" s="1"/>
  <c r="C104" i="12"/>
  <c r="B104" i="12"/>
  <c r="E104" i="12"/>
  <c r="D104" i="12"/>
  <c r="E105" i="12"/>
  <c r="D105" i="12"/>
  <c r="C105" i="12"/>
  <c r="B105" i="12"/>
  <c r="E103" i="12"/>
  <c r="Y103" i="12" s="1"/>
  <c r="D103" i="12"/>
  <c r="X103" i="12" s="1"/>
  <c r="C103" i="12"/>
  <c r="W103" i="12" s="1"/>
  <c r="B103" i="12"/>
  <c r="V103" i="12" s="1"/>
  <c r="C102" i="12"/>
  <c r="W102" i="12" s="1"/>
  <c r="B102" i="12"/>
  <c r="V102" i="12" s="1"/>
  <c r="E102" i="12"/>
  <c r="Y102" i="12" s="1"/>
  <c r="D102" i="12"/>
  <c r="X102" i="12" s="1"/>
  <c r="C100" i="12"/>
  <c r="W100" i="12" s="1"/>
  <c r="B100" i="12"/>
  <c r="V100" i="12" s="1"/>
  <c r="E100" i="12"/>
  <c r="Y100" i="12" s="1"/>
  <c r="D100" i="12"/>
  <c r="X100" i="12" s="1"/>
  <c r="E101" i="12"/>
  <c r="Y101" i="12" s="1"/>
  <c r="D101" i="12"/>
  <c r="X101" i="12" s="1"/>
  <c r="C101" i="12"/>
  <c r="W101" i="12" s="1"/>
  <c r="B101" i="12"/>
  <c r="V101" i="12" s="1"/>
  <c r="C98" i="12"/>
  <c r="W98" i="12" s="1"/>
  <c r="B98" i="12"/>
  <c r="V98" i="12" s="1"/>
  <c r="E98" i="12"/>
  <c r="Y98" i="12" s="1"/>
  <c r="D98" i="12"/>
  <c r="X98" i="12" s="1"/>
  <c r="E99" i="12"/>
  <c r="Y99" i="12" s="1"/>
  <c r="D99" i="12"/>
  <c r="X99" i="12" s="1"/>
  <c r="C99" i="12"/>
  <c r="W99" i="12" s="1"/>
  <c r="B99" i="12"/>
  <c r="V99" i="12" s="1"/>
  <c r="E97" i="12"/>
  <c r="Y97" i="12" s="1"/>
  <c r="D97" i="12"/>
  <c r="X97" i="12" s="1"/>
  <c r="C97" i="12"/>
  <c r="W97" i="12" s="1"/>
  <c r="B97" i="12"/>
  <c r="V97" i="12" s="1"/>
  <c r="C96" i="12"/>
  <c r="B96" i="12"/>
  <c r="E96" i="12"/>
  <c r="D96" i="12"/>
  <c r="E95" i="12"/>
  <c r="D95" i="12"/>
  <c r="C95" i="12"/>
  <c r="B95" i="12"/>
  <c r="C91" i="12"/>
  <c r="W91" i="12" s="1"/>
  <c r="B91" i="12"/>
  <c r="V91" i="12" s="1"/>
  <c r="E91" i="12"/>
  <c r="Y91" i="12" s="1"/>
  <c r="D91" i="12"/>
  <c r="X91" i="12" s="1"/>
  <c r="E90" i="12"/>
  <c r="Y90" i="12" s="1"/>
  <c r="D90" i="12"/>
  <c r="X90" i="12" s="1"/>
  <c r="C90" i="12"/>
  <c r="W90" i="12" s="1"/>
  <c r="B90" i="12"/>
  <c r="V90" i="12" s="1"/>
  <c r="C89" i="12"/>
  <c r="W89" i="12" s="1"/>
  <c r="B89" i="12"/>
  <c r="V89" i="12" s="1"/>
  <c r="E89" i="12"/>
  <c r="Y89" i="12" s="1"/>
  <c r="D89" i="12"/>
  <c r="X89" i="12" s="1"/>
  <c r="E88" i="12"/>
  <c r="Y88" i="12" s="1"/>
  <c r="D88" i="12"/>
  <c r="X88" i="12" s="1"/>
  <c r="C88" i="12"/>
  <c r="W88" i="12" s="1"/>
  <c r="B88" i="12"/>
  <c r="V88" i="12" s="1"/>
  <c r="C158" i="11"/>
  <c r="W158" i="11" s="1"/>
  <c r="B158" i="11"/>
  <c r="V158" i="11" s="1"/>
  <c r="E158" i="11"/>
  <c r="Y158" i="11" s="1"/>
  <c r="D158" i="11"/>
  <c r="X158" i="11" s="1"/>
  <c r="E157" i="11"/>
  <c r="Y157" i="11" s="1"/>
  <c r="D157" i="11"/>
  <c r="X157" i="11" s="1"/>
  <c r="C157" i="11"/>
  <c r="W157" i="11" s="1"/>
  <c r="B157" i="11"/>
  <c r="V157" i="11" s="1"/>
  <c r="C156" i="11"/>
  <c r="W156" i="11" s="1"/>
  <c r="B156" i="11"/>
  <c r="V156" i="11" s="1"/>
  <c r="E156" i="11"/>
  <c r="Y156" i="11" s="1"/>
  <c r="D156" i="11"/>
  <c r="X156" i="11" s="1"/>
  <c r="C152" i="11"/>
  <c r="B152" i="11"/>
  <c r="E152" i="11"/>
  <c r="D152" i="11"/>
  <c r="C150" i="11"/>
  <c r="B150" i="11"/>
  <c r="E150" i="11"/>
  <c r="D150" i="11"/>
  <c r="E151" i="11"/>
  <c r="D151" i="11"/>
  <c r="C151" i="11"/>
  <c r="B151" i="11"/>
  <c r="E149" i="11"/>
  <c r="D149" i="11"/>
  <c r="C149" i="11"/>
  <c r="B149" i="11"/>
  <c r="C148" i="11"/>
  <c r="B148" i="11"/>
  <c r="E148" i="11"/>
  <c r="D148" i="11"/>
  <c r="E147" i="11"/>
  <c r="D147" i="11"/>
  <c r="C147" i="11"/>
  <c r="B147" i="11"/>
  <c r="C146" i="11"/>
  <c r="B146" i="11"/>
  <c r="E146" i="11"/>
  <c r="D146" i="11"/>
  <c r="C144" i="11"/>
  <c r="B144" i="11"/>
  <c r="E144" i="11"/>
  <c r="D144" i="11"/>
  <c r="E145" i="11"/>
  <c r="D145" i="11"/>
  <c r="C145" i="11"/>
  <c r="B145" i="11"/>
  <c r="E139" i="11"/>
  <c r="Y139" i="11" s="1"/>
  <c r="D139" i="11"/>
  <c r="X139" i="11" s="1"/>
  <c r="C139" i="11"/>
  <c r="W139" i="11" s="1"/>
  <c r="B139" i="11"/>
  <c r="V139" i="11" s="1"/>
  <c r="C138" i="11"/>
  <c r="W138" i="11" s="1"/>
  <c r="B138" i="11"/>
  <c r="V138" i="11" s="1"/>
  <c r="E138" i="11"/>
  <c r="Y138" i="11" s="1"/>
  <c r="D138" i="11"/>
  <c r="X138" i="11" s="1"/>
  <c r="E137" i="11"/>
  <c r="Y137" i="11" s="1"/>
  <c r="D137" i="11"/>
  <c r="X137" i="11" s="1"/>
  <c r="C137" i="11"/>
  <c r="W137" i="11" s="1"/>
  <c r="B137" i="11"/>
  <c r="V137" i="11" s="1"/>
  <c r="C136" i="11"/>
  <c r="W136" i="11" s="1"/>
  <c r="B136" i="11"/>
  <c r="V136" i="11" s="1"/>
  <c r="E136" i="11"/>
  <c r="Y136" i="11" s="1"/>
  <c r="D136" i="11"/>
  <c r="X136" i="11" s="1"/>
  <c r="C134" i="11"/>
  <c r="W134" i="11" s="1"/>
  <c r="B134" i="11"/>
  <c r="V134" i="11" s="1"/>
  <c r="E134" i="11"/>
  <c r="Y134" i="11" s="1"/>
  <c r="D134" i="11"/>
  <c r="X134" i="11" s="1"/>
  <c r="E135" i="11"/>
  <c r="Y135" i="11" s="1"/>
  <c r="D135" i="11"/>
  <c r="X135" i="11" s="1"/>
  <c r="C135" i="11"/>
  <c r="W135" i="11" s="1"/>
  <c r="B135" i="11"/>
  <c r="V135" i="11" s="1"/>
  <c r="E133" i="11"/>
  <c r="Y133" i="11" s="1"/>
  <c r="D133" i="11"/>
  <c r="X133" i="11" s="1"/>
  <c r="C133" i="11"/>
  <c r="W133" i="11" s="1"/>
  <c r="B133" i="11"/>
  <c r="V133" i="11" s="1"/>
  <c r="C132" i="11"/>
  <c r="B132" i="11"/>
  <c r="E132" i="11"/>
  <c r="D132" i="11"/>
  <c r="E131" i="11"/>
  <c r="D131" i="11"/>
  <c r="C131" i="11"/>
  <c r="B131" i="11"/>
  <c r="C130" i="11"/>
  <c r="W130" i="11" s="1"/>
  <c r="B130" i="11"/>
  <c r="V130" i="11" s="1"/>
  <c r="E130" i="11"/>
  <c r="Y130" i="11" s="1"/>
  <c r="D130" i="11"/>
  <c r="X130" i="11" s="1"/>
  <c r="C129" i="11"/>
  <c r="W129" i="11" s="1"/>
  <c r="B129" i="11"/>
  <c r="V129" i="11" s="1"/>
  <c r="E129" i="11"/>
  <c r="Y129" i="11" s="1"/>
  <c r="D129" i="11"/>
  <c r="X129" i="11" s="1"/>
  <c r="C127" i="11"/>
  <c r="W127" i="11" s="1"/>
  <c r="B127" i="11"/>
  <c r="V127" i="11" s="1"/>
  <c r="E127" i="11"/>
  <c r="Y127" i="11" s="1"/>
  <c r="D127" i="11"/>
  <c r="X127" i="11" s="1"/>
  <c r="E128" i="11"/>
  <c r="Y128" i="11" s="1"/>
  <c r="D128" i="11"/>
  <c r="X128" i="11" s="1"/>
  <c r="C128" i="11"/>
  <c r="W128" i="11" s="1"/>
  <c r="B128" i="11"/>
  <c r="V128" i="11" s="1"/>
  <c r="E126" i="11"/>
  <c r="Y126" i="11" s="1"/>
  <c r="D126" i="11"/>
  <c r="X126" i="11" s="1"/>
  <c r="C126" i="11"/>
  <c r="W126" i="11" s="1"/>
  <c r="B126" i="11"/>
  <c r="V126" i="11" s="1"/>
  <c r="C125" i="11"/>
  <c r="W125" i="11" s="1"/>
  <c r="B125" i="11"/>
  <c r="V125" i="11" s="1"/>
  <c r="E125" i="11"/>
  <c r="Y125" i="11" s="1"/>
  <c r="D125" i="11"/>
  <c r="X125" i="11" s="1"/>
  <c r="E124" i="11"/>
  <c r="Y124" i="11" s="1"/>
  <c r="D124" i="11"/>
  <c r="X124" i="11" s="1"/>
  <c r="C124" i="11"/>
  <c r="W124" i="11" s="1"/>
  <c r="B124" i="11"/>
  <c r="V124" i="11" s="1"/>
  <c r="C123" i="11"/>
  <c r="W123" i="11" s="1"/>
  <c r="B123" i="11"/>
  <c r="V123" i="11" s="1"/>
  <c r="E123" i="11"/>
  <c r="Y123" i="11" s="1"/>
  <c r="D123" i="11"/>
  <c r="X123" i="11" s="1"/>
  <c r="E122" i="11"/>
  <c r="Y122" i="11" s="1"/>
  <c r="D122" i="11"/>
  <c r="X122" i="11" s="1"/>
  <c r="C122" i="11"/>
  <c r="W122" i="11" s="1"/>
  <c r="B122" i="11"/>
  <c r="V122" i="11" s="1"/>
  <c r="C121" i="11"/>
  <c r="W121" i="11" s="1"/>
  <c r="B121" i="11"/>
  <c r="V121" i="11" s="1"/>
  <c r="E121" i="11"/>
  <c r="Y121" i="11" s="1"/>
  <c r="D121" i="11"/>
  <c r="X121" i="11" s="1"/>
  <c r="E120" i="11"/>
  <c r="Y120" i="11" s="1"/>
  <c r="D120" i="11"/>
  <c r="X120" i="11" s="1"/>
  <c r="C120" i="11"/>
  <c r="W120" i="11" s="1"/>
  <c r="B120" i="11"/>
  <c r="V120" i="11" s="1"/>
  <c r="C119" i="11"/>
  <c r="B119" i="11"/>
  <c r="E119" i="11"/>
  <c r="D119" i="11"/>
  <c r="E155" i="11"/>
  <c r="Y155" i="11" s="1"/>
  <c r="D155" i="11"/>
  <c r="X155" i="11" s="1"/>
  <c r="C155" i="11"/>
  <c r="W155" i="11" s="1"/>
  <c r="B155" i="11"/>
  <c r="V155" i="11" s="1"/>
  <c r="C154" i="11"/>
  <c r="W154" i="11" s="1"/>
  <c r="B154" i="11"/>
  <c r="V154" i="11" s="1"/>
  <c r="E154" i="11"/>
  <c r="Y154" i="11" s="1"/>
  <c r="D154" i="11"/>
  <c r="X154" i="11" s="1"/>
  <c r="E118" i="11"/>
  <c r="D118" i="11"/>
  <c r="C118" i="11"/>
  <c r="B118" i="11"/>
  <c r="C117" i="11"/>
  <c r="B117" i="11"/>
  <c r="E117" i="11"/>
  <c r="D117" i="11"/>
  <c r="E153" i="11"/>
  <c r="Y153" i="11" s="1"/>
  <c r="D153" i="11"/>
  <c r="X153" i="11" s="1"/>
  <c r="C153" i="11"/>
  <c r="W153" i="11" s="1"/>
  <c r="B153" i="11"/>
  <c r="V153" i="11" s="1"/>
  <c r="C112" i="11"/>
  <c r="W112" i="11" s="1"/>
  <c r="B112" i="11"/>
  <c r="V112" i="11" s="1"/>
  <c r="E112" i="11"/>
  <c r="Y112" i="11" s="1"/>
  <c r="D112" i="11"/>
  <c r="X112" i="11" s="1"/>
  <c r="E111" i="11"/>
  <c r="Y111" i="11" s="1"/>
  <c r="D111" i="11"/>
  <c r="X111" i="11" s="1"/>
  <c r="C111" i="11"/>
  <c r="W111" i="11" s="1"/>
  <c r="B111" i="11"/>
  <c r="V111" i="11" s="1"/>
  <c r="C110" i="11"/>
  <c r="W110" i="11" s="1"/>
  <c r="B110" i="11"/>
  <c r="V110" i="11" s="1"/>
  <c r="E110" i="11"/>
  <c r="Y110" i="11" s="1"/>
  <c r="D110" i="11"/>
  <c r="X110" i="11" s="1"/>
  <c r="E109" i="11"/>
  <c r="Y109" i="11" s="1"/>
  <c r="D109" i="11"/>
  <c r="X109" i="11" s="1"/>
  <c r="C109" i="11"/>
  <c r="W109" i="11" s="1"/>
  <c r="B109" i="11"/>
  <c r="V109" i="11" s="1"/>
  <c r="C108" i="11"/>
  <c r="W108" i="11" s="1"/>
  <c r="B108" i="11"/>
  <c r="V108" i="11" s="1"/>
  <c r="E108" i="11"/>
  <c r="Y108" i="11" s="1"/>
  <c r="D108" i="11"/>
  <c r="X108" i="11" s="1"/>
  <c r="E107" i="11"/>
  <c r="Y107" i="11" s="1"/>
  <c r="D107" i="11"/>
  <c r="X107" i="11" s="1"/>
  <c r="C107" i="11"/>
  <c r="W107" i="11" s="1"/>
  <c r="B107" i="11"/>
  <c r="V107" i="11" s="1"/>
  <c r="C106" i="11"/>
  <c r="W106" i="11" s="1"/>
  <c r="B106" i="11"/>
  <c r="V106" i="11" s="1"/>
  <c r="E106" i="11"/>
  <c r="Y106" i="11" s="1"/>
  <c r="D106" i="11"/>
  <c r="X106" i="11" s="1"/>
  <c r="E105" i="11"/>
  <c r="Y105" i="11" s="1"/>
  <c r="D105" i="11"/>
  <c r="X105" i="11" s="1"/>
  <c r="C105" i="11"/>
  <c r="W105" i="11" s="1"/>
  <c r="B105" i="11"/>
  <c r="V105" i="11" s="1"/>
  <c r="C101" i="11"/>
  <c r="W101" i="11" s="1"/>
  <c r="B101" i="11"/>
  <c r="V101" i="11" s="1"/>
  <c r="E101" i="11"/>
  <c r="Y101" i="11" s="1"/>
  <c r="D101" i="11"/>
  <c r="X101" i="11" s="1"/>
  <c r="E100" i="11"/>
  <c r="Y100" i="11" s="1"/>
  <c r="D100" i="11"/>
  <c r="X100" i="11" s="1"/>
  <c r="C100" i="11"/>
  <c r="W100" i="11" s="1"/>
  <c r="B100" i="11"/>
  <c r="V100" i="11" s="1"/>
  <c r="C99" i="11"/>
  <c r="W99" i="11" s="1"/>
  <c r="B99" i="11"/>
  <c r="V99" i="11" s="1"/>
  <c r="E99" i="11"/>
  <c r="Y99" i="11" s="1"/>
  <c r="D99" i="11"/>
  <c r="X99" i="11" s="1"/>
  <c r="E98" i="11"/>
  <c r="Y98" i="11" s="1"/>
  <c r="D98" i="11"/>
  <c r="X98" i="11" s="1"/>
  <c r="C98" i="11"/>
  <c r="W98" i="11" s="1"/>
  <c r="B98" i="11"/>
  <c r="V98" i="11" s="1"/>
  <c r="C97" i="11"/>
  <c r="W97" i="11" s="1"/>
  <c r="B97" i="11"/>
  <c r="V97" i="11" s="1"/>
  <c r="E97" i="11"/>
  <c r="Y97" i="11" s="1"/>
  <c r="D97" i="11"/>
  <c r="X97" i="11" s="1"/>
  <c r="E96" i="11"/>
  <c r="Y96" i="11" s="1"/>
  <c r="D96" i="11"/>
  <c r="X96" i="11" s="1"/>
  <c r="C96" i="11"/>
  <c r="W96" i="11" s="1"/>
  <c r="B96" i="11"/>
  <c r="V96" i="11" s="1"/>
  <c r="C91" i="11"/>
  <c r="B91" i="11"/>
  <c r="E91" i="11"/>
  <c r="D91" i="11"/>
  <c r="E90" i="11"/>
  <c r="D90" i="11"/>
  <c r="C90" i="11"/>
  <c r="B90" i="11"/>
  <c r="C89" i="11"/>
  <c r="B89" i="11"/>
  <c r="E89" i="11"/>
  <c r="D89" i="11"/>
  <c r="E88" i="11"/>
  <c r="D88" i="11"/>
  <c r="C88" i="11"/>
  <c r="B88" i="11"/>
  <c r="E83" i="19"/>
  <c r="D83" i="19"/>
  <c r="C83" i="19"/>
  <c r="B83" i="19"/>
  <c r="E82" i="19"/>
  <c r="D82" i="19"/>
  <c r="C82" i="19"/>
  <c r="B82" i="19"/>
  <c r="E81" i="19"/>
  <c r="D81" i="19"/>
  <c r="C81" i="19"/>
  <c r="B81" i="19"/>
  <c r="E80" i="19"/>
  <c r="D80" i="19"/>
  <c r="C80" i="19"/>
  <c r="B80" i="19"/>
  <c r="E79" i="19"/>
  <c r="D79" i="19"/>
  <c r="C79" i="19"/>
  <c r="B79" i="19"/>
  <c r="E78" i="19"/>
  <c r="D78" i="19"/>
  <c r="C78" i="19"/>
  <c r="B78" i="19"/>
  <c r="E77" i="19"/>
  <c r="D77" i="19"/>
  <c r="C77" i="19"/>
  <c r="B77" i="19"/>
  <c r="E76" i="19"/>
  <c r="D76" i="19"/>
  <c r="C76" i="19"/>
  <c r="B76" i="19"/>
  <c r="E75" i="19"/>
  <c r="D75" i="19"/>
  <c r="C75" i="19"/>
  <c r="B75" i="19"/>
  <c r="E74" i="19"/>
  <c r="D74" i="19"/>
  <c r="C74" i="19"/>
  <c r="B74" i="19"/>
  <c r="E73" i="19"/>
  <c r="D73" i="19"/>
  <c r="C73" i="19"/>
  <c r="B73" i="19"/>
  <c r="E72" i="19"/>
  <c r="D72" i="19"/>
  <c r="C72" i="19"/>
  <c r="B72" i="19"/>
  <c r="E71" i="19"/>
  <c r="D71" i="19"/>
  <c r="C71" i="19"/>
  <c r="B71" i="19"/>
  <c r="E70" i="19"/>
  <c r="D70" i="19"/>
  <c r="C70" i="19"/>
  <c r="B70" i="19"/>
  <c r="E69" i="19"/>
  <c r="D69" i="19"/>
  <c r="C69" i="19"/>
  <c r="B69" i="19"/>
  <c r="E68" i="19"/>
  <c r="D68" i="19"/>
  <c r="C68" i="19"/>
  <c r="B68" i="19"/>
  <c r="E67" i="19"/>
  <c r="D67" i="19"/>
  <c r="C67" i="19"/>
  <c r="B67" i="19"/>
  <c r="E66" i="19"/>
  <c r="D66" i="19"/>
  <c r="C66" i="19"/>
  <c r="B66" i="19"/>
  <c r="E65" i="19"/>
  <c r="D65" i="19"/>
  <c r="C65" i="19"/>
  <c r="B65" i="19"/>
  <c r="E64" i="19"/>
  <c r="D64" i="19"/>
  <c r="C64" i="19"/>
  <c r="B64" i="19"/>
  <c r="E63" i="19"/>
  <c r="D63" i="19"/>
  <c r="C63" i="19"/>
  <c r="B63" i="19"/>
  <c r="E62" i="19"/>
  <c r="D62" i="19"/>
  <c r="C62" i="19"/>
  <c r="B62" i="19"/>
  <c r="E61" i="19"/>
  <c r="D61" i="19"/>
  <c r="C61" i="19"/>
  <c r="B61" i="19"/>
  <c r="E60" i="19"/>
  <c r="D60" i="19"/>
  <c r="C60" i="19"/>
  <c r="B60" i="19"/>
  <c r="E59" i="19"/>
  <c r="D59" i="19"/>
  <c r="C59" i="19"/>
  <c r="B59" i="19"/>
  <c r="E58" i="19"/>
  <c r="D58" i="19"/>
  <c r="C58" i="19"/>
  <c r="B58" i="19"/>
  <c r="E57" i="19"/>
  <c r="D57" i="19"/>
  <c r="C57" i="19"/>
  <c r="B57" i="19"/>
  <c r="E56" i="19"/>
  <c r="D56" i="19"/>
  <c r="C56" i="19"/>
  <c r="B56" i="19"/>
  <c r="E55" i="19"/>
  <c r="D55" i="19"/>
  <c r="C55" i="19"/>
  <c r="B55" i="19"/>
  <c r="E54" i="19"/>
  <c r="D54" i="19"/>
  <c r="C54" i="19"/>
  <c r="B54" i="19"/>
  <c r="E53" i="19"/>
  <c r="D53" i="19"/>
  <c r="C53" i="19"/>
  <c r="B53" i="19"/>
  <c r="E52" i="19"/>
  <c r="D52" i="19"/>
  <c r="C52" i="19"/>
  <c r="B52" i="19"/>
  <c r="E51" i="19"/>
  <c r="D51" i="19"/>
  <c r="C51" i="19"/>
  <c r="B51" i="19"/>
  <c r="E50" i="19"/>
  <c r="D50" i="19"/>
  <c r="C50" i="19"/>
  <c r="B50" i="19"/>
  <c r="E49" i="19"/>
  <c r="D49" i="19"/>
  <c r="C49" i="19"/>
  <c r="B49" i="19"/>
  <c r="E48" i="19"/>
  <c r="D48" i="19"/>
  <c r="C48" i="19"/>
  <c r="B48" i="19"/>
  <c r="E47" i="19"/>
  <c r="D47" i="19"/>
  <c r="C47" i="19"/>
  <c r="B47" i="19"/>
  <c r="E46" i="19"/>
  <c r="D46" i="19"/>
  <c r="C46" i="19"/>
  <c r="B46" i="19"/>
  <c r="E45" i="19"/>
  <c r="D45" i="19"/>
  <c r="C45" i="19"/>
  <c r="B45" i="19"/>
  <c r="E44" i="19"/>
  <c r="D44" i="19"/>
  <c r="C44" i="19"/>
  <c r="B44" i="19"/>
  <c r="E43" i="19"/>
  <c r="D43" i="19"/>
  <c r="C43" i="19"/>
  <c r="B43" i="19"/>
  <c r="E42" i="19"/>
  <c r="D42" i="19"/>
  <c r="C42" i="19"/>
  <c r="B42" i="19"/>
  <c r="E41" i="19"/>
  <c r="D41" i="19"/>
  <c r="C41" i="19"/>
  <c r="B41" i="19"/>
  <c r="E40" i="19"/>
  <c r="D40" i="19"/>
  <c r="C40" i="19"/>
  <c r="B40" i="19"/>
  <c r="E39" i="19"/>
  <c r="D39" i="19"/>
  <c r="C39" i="19"/>
  <c r="B39" i="19"/>
  <c r="E38" i="19"/>
  <c r="D38" i="19"/>
  <c r="C38" i="19"/>
  <c r="B38" i="19"/>
  <c r="E37" i="19"/>
  <c r="D37" i="19"/>
  <c r="C37" i="19"/>
  <c r="B37" i="19"/>
  <c r="E36" i="19"/>
  <c r="D36" i="19"/>
  <c r="C36" i="19"/>
  <c r="B36" i="19"/>
  <c r="E35" i="19"/>
  <c r="D35" i="19"/>
  <c r="C35" i="19"/>
  <c r="B35" i="19"/>
  <c r="E34" i="19"/>
  <c r="D34" i="19"/>
  <c r="C34" i="19"/>
  <c r="B34" i="19"/>
  <c r="E33" i="19"/>
  <c r="D33" i="19"/>
  <c r="C33" i="19"/>
  <c r="B33" i="19"/>
  <c r="E32" i="19"/>
  <c r="D32" i="19"/>
  <c r="C32" i="19"/>
  <c r="B32" i="19"/>
  <c r="E31" i="19"/>
  <c r="D31" i="19"/>
  <c r="C31" i="19"/>
  <c r="B31" i="19"/>
  <c r="E30" i="19"/>
  <c r="D30" i="19"/>
  <c r="C30" i="19"/>
  <c r="B30" i="19"/>
  <c r="E29" i="19"/>
  <c r="D29" i="19"/>
  <c r="C29" i="19"/>
  <c r="B29" i="19"/>
  <c r="E28" i="19"/>
  <c r="D28" i="19"/>
  <c r="C28" i="19"/>
  <c r="B28" i="19"/>
  <c r="E27" i="19"/>
  <c r="D27" i="19"/>
  <c r="C27" i="19"/>
  <c r="B27" i="19"/>
  <c r="E26" i="19"/>
  <c r="D26" i="19"/>
  <c r="C26" i="19"/>
  <c r="B26" i="19"/>
  <c r="E25" i="19"/>
  <c r="D25" i="19"/>
  <c r="C25" i="19"/>
  <c r="B25" i="19"/>
  <c r="E24" i="19"/>
  <c r="D24" i="19"/>
  <c r="C24" i="19"/>
  <c r="B24" i="19"/>
  <c r="E23" i="19"/>
  <c r="D23" i="19"/>
  <c r="C23" i="19"/>
  <c r="B23" i="19"/>
  <c r="E22" i="19"/>
  <c r="D22" i="19"/>
  <c r="C22" i="19"/>
  <c r="B22" i="19"/>
  <c r="E21" i="19"/>
  <c r="D21" i="19"/>
  <c r="C21" i="19"/>
  <c r="B21" i="19"/>
  <c r="E20" i="19"/>
  <c r="D20" i="19"/>
  <c r="C20" i="19"/>
  <c r="B20" i="19"/>
  <c r="E19" i="19"/>
  <c r="D19" i="19"/>
  <c r="C19" i="19"/>
  <c r="B19" i="19"/>
  <c r="E18" i="19"/>
  <c r="D18" i="19"/>
  <c r="C18" i="19"/>
  <c r="B18" i="19"/>
  <c r="E17" i="19"/>
  <c r="D17" i="19"/>
  <c r="C17" i="19"/>
  <c r="B17" i="19"/>
  <c r="E16" i="19"/>
  <c r="D16" i="19"/>
  <c r="C16" i="19"/>
  <c r="B16" i="19"/>
  <c r="E15" i="19"/>
  <c r="D15" i="19"/>
  <c r="C15" i="19"/>
  <c r="B15" i="19"/>
  <c r="E14" i="19"/>
  <c r="D14" i="19"/>
  <c r="C14" i="19"/>
  <c r="B14" i="19"/>
  <c r="E13" i="19"/>
  <c r="D13" i="19"/>
  <c r="C13" i="19"/>
  <c r="B13" i="19"/>
  <c r="E12" i="19"/>
  <c r="D12" i="19"/>
  <c r="C12" i="19"/>
  <c r="B12" i="19"/>
  <c r="E11" i="19"/>
  <c r="D11" i="19"/>
  <c r="C11" i="19"/>
  <c r="B11" i="19"/>
  <c r="E10" i="19"/>
  <c r="D10" i="19"/>
  <c r="C10" i="19"/>
  <c r="B10" i="19"/>
  <c r="E9" i="19"/>
  <c r="D9" i="19"/>
  <c r="C9" i="19"/>
  <c r="B9" i="19"/>
  <c r="E8" i="19"/>
  <c r="D8" i="19"/>
  <c r="C8" i="19"/>
  <c r="B8" i="19"/>
  <c r="E7" i="19"/>
  <c r="D7" i="19"/>
  <c r="C7" i="19"/>
  <c r="B7" i="19"/>
  <c r="E6" i="19"/>
  <c r="D6" i="19"/>
  <c r="C6" i="19"/>
  <c r="B6" i="19"/>
  <c r="E5" i="19"/>
  <c r="D5" i="19"/>
  <c r="C5" i="19"/>
  <c r="B5" i="19"/>
  <c r="E4" i="19"/>
  <c r="D4" i="19"/>
  <c r="C4" i="19"/>
  <c r="B4" i="19"/>
  <c r="E83" i="18"/>
  <c r="D83" i="18"/>
  <c r="C83" i="18"/>
  <c r="B83" i="18"/>
  <c r="E82" i="18"/>
  <c r="D82" i="18"/>
  <c r="C82" i="18"/>
  <c r="B82" i="18"/>
  <c r="E81" i="18"/>
  <c r="D81" i="18"/>
  <c r="C81" i="18"/>
  <c r="B81" i="18"/>
  <c r="E80" i="18"/>
  <c r="D80" i="18"/>
  <c r="C80" i="18"/>
  <c r="B80" i="18"/>
  <c r="E79" i="18"/>
  <c r="D79" i="18"/>
  <c r="C79" i="18"/>
  <c r="B79" i="18"/>
  <c r="E78" i="18"/>
  <c r="D78" i="18"/>
  <c r="C78" i="18"/>
  <c r="B78" i="18"/>
  <c r="E77" i="18"/>
  <c r="D77" i="18"/>
  <c r="C77" i="18"/>
  <c r="B77" i="18"/>
  <c r="E76" i="18"/>
  <c r="D76" i="18"/>
  <c r="C76" i="18"/>
  <c r="B76" i="18"/>
  <c r="E75" i="18"/>
  <c r="D75" i="18"/>
  <c r="C75" i="18"/>
  <c r="B75" i="18"/>
  <c r="E74" i="18"/>
  <c r="D74" i="18"/>
  <c r="C74" i="18"/>
  <c r="B74" i="18"/>
  <c r="E73" i="18"/>
  <c r="D73" i="18"/>
  <c r="C73" i="18"/>
  <c r="B73" i="18"/>
  <c r="E72" i="18"/>
  <c r="D72" i="18"/>
  <c r="C72" i="18"/>
  <c r="B72" i="18"/>
  <c r="E71" i="18"/>
  <c r="D71" i="18"/>
  <c r="C71" i="18"/>
  <c r="B71" i="18"/>
  <c r="E70" i="18"/>
  <c r="D70" i="18"/>
  <c r="C70" i="18"/>
  <c r="B70" i="18"/>
  <c r="E69" i="18"/>
  <c r="D69" i="18"/>
  <c r="C69" i="18"/>
  <c r="B69" i="18"/>
  <c r="E68" i="18"/>
  <c r="D68" i="18"/>
  <c r="C68" i="18"/>
  <c r="B68" i="18"/>
  <c r="E67" i="18"/>
  <c r="D67" i="18"/>
  <c r="C67" i="18"/>
  <c r="B67" i="18"/>
  <c r="E66" i="18"/>
  <c r="D66" i="18"/>
  <c r="C66" i="18"/>
  <c r="B66" i="18"/>
  <c r="E65" i="18"/>
  <c r="D65" i="18"/>
  <c r="C65" i="18"/>
  <c r="B65" i="18"/>
  <c r="E64" i="18"/>
  <c r="D64" i="18"/>
  <c r="C64" i="18"/>
  <c r="B64" i="18"/>
  <c r="E63" i="18"/>
  <c r="D63" i="18"/>
  <c r="C63" i="18"/>
  <c r="B63" i="18"/>
  <c r="E62" i="18"/>
  <c r="D62" i="18"/>
  <c r="C62" i="18"/>
  <c r="B62" i="18"/>
  <c r="E61" i="18"/>
  <c r="D61" i="18"/>
  <c r="C61" i="18"/>
  <c r="B61" i="18"/>
  <c r="E60" i="18"/>
  <c r="D60" i="18"/>
  <c r="C60" i="18"/>
  <c r="B60" i="18"/>
  <c r="E59" i="18"/>
  <c r="D59" i="18"/>
  <c r="C59" i="18"/>
  <c r="B59" i="18"/>
  <c r="E58" i="18"/>
  <c r="D58" i="18"/>
  <c r="C58" i="18"/>
  <c r="B58" i="18"/>
  <c r="E57" i="18"/>
  <c r="D57" i="18"/>
  <c r="C57" i="18"/>
  <c r="B57" i="18"/>
  <c r="E56" i="18"/>
  <c r="D56" i="18"/>
  <c r="C56" i="18"/>
  <c r="B56" i="18"/>
  <c r="E55" i="18"/>
  <c r="D55" i="18"/>
  <c r="C55" i="18"/>
  <c r="B55" i="18"/>
  <c r="E54" i="18"/>
  <c r="D54" i="18"/>
  <c r="C54" i="18"/>
  <c r="B54" i="18"/>
  <c r="E53" i="18"/>
  <c r="D53" i="18"/>
  <c r="C53" i="18"/>
  <c r="B53" i="18"/>
  <c r="E52" i="18"/>
  <c r="D52" i="18"/>
  <c r="C52" i="18"/>
  <c r="B52" i="18"/>
  <c r="E51" i="18"/>
  <c r="D51" i="18"/>
  <c r="C51" i="18"/>
  <c r="B51" i="18"/>
  <c r="E50" i="18"/>
  <c r="D50" i="18"/>
  <c r="C50" i="18"/>
  <c r="B50" i="18"/>
  <c r="E49" i="18"/>
  <c r="D49" i="18"/>
  <c r="C49" i="18"/>
  <c r="B49" i="18"/>
  <c r="E48" i="18"/>
  <c r="D48" i="18"/>
  <c r="C48" i="18"/>
  <c r="B48" i="18"/>
  <c r="E47" i="18"/>
  <c r="D47" i="18"/>
  <c r="C47" i="18"/>
  <c r="B47" i="18"/>
  <c r="E46" i="18"/>
  <c r="D46" i="18"/>
  <c r="C46" i="18"/>
  <c r="B46" i="18"/>
  <c r="E45" i="18"/>
  <c r="D45" i="18"/>
  <c r="C45" i="18"/>
  <c r="B45" i="18"/>
  <c r="E44" i="18"/>
  <c r="D44" i="18"/>
  <c r="C44" i="18"/>
  <c r="B44" i="18"/>
  <c r="E43" i="18"/>
  <c r="D43" i="18"/>
  <c r="C43" i="18"/>
  <c r="B43" i="18"/>
  <c r="E42" i="18"/>
  <c r="D42" i="18"/>
  <c r="C42" i="18"/>
  <c r="B42" i="18"/>
  <c r="E41" i="18"/>
  <c r="D41" i="18"/>
  <c r="C41" i="18"/>
  <c r="B41" i="18"/>
  <c r="E40" i="18"/>
  <c r="D40" i="18"/>
  <c r="C40" i="18"/>
  <c r="B40" i="18"/>
  <c r="E39" i="18"/>
  <c r="D39" i="18"/>
  <c r="C39" i="18"/>
  <c r="B39" i="18"/>
  <c r="E38" i="18"/>
  <c r="D38" i="18"/>
  <c r="C38" i="18"/>
  <c r="B38" i="18"/>
  <c r="E37" i="18"/>
  <c r="D37" i="18"/>
  <c r="C37" i="18"/>
  <c r="B37" i="18"/>
  <c r="E36" i="18"/>
  <c r="D36" i="18"/>
  <c r="C36" i="18"/>
  <c r="B36" i="18"/>
  <c r="E35" i="18"/>
  <c r="D35" i="18"/>
  <c r="C35" i="18"/>
  <c r="B35" i="18"/>
  <c r="E34" i="18"/>
  <c r="D34" i="18"/>
  <c r="C34" i="18"/>
  <c r="B34" i="18"/>
  <c r="E33" i="18"/>
  <c r="D33" i="18"/>
  <c r="C33" i="18"/>
  <c r="B33" i="18"/>
  <c r="E32" i="18"/>
  <c r="D32" i="18"/>
  <c r="C32" i="18"/>
  <c r="B32" i="18"/>
  <c r="E31" i="18"/>
  <c r="D31" i="18"/>
  <c r="C31" i="18"/>
  <c r="B31" i="18"/>
  <c r="E30" i="18"/>
  <c r="D30" i="18"/>
  <c r="C30" i="18"/>
  <c r="B30" i="18"/>
  <c r="E29" i="18"/>
  <c r="D29" i="18"/>
  <c r="C29" i="18"/>
  <c r="B29" i="18"/>
  <c r="E28" i="18"/>
  <c r="D28" i="18"/>
  <c r="C28" i="18"/>
  <c r="B28" i="18"/>
  <c r="E27" i="18"/>
  <c r="D27" i="18"/>
  <c r="C27" i="18"/>
  <c r="B27" i="18"/>
  <c r="E26" i="18"/>
  <c r="D26" i="18"/>
  <c r="C26" i="18"/>
  <c r="B26" i="18"/>
  <c r="E25" i="18"/>
  <c r="D25" i="18"/>
  <c r="C25" i="18"/>
  <c r="B25" i="18"/>
  <c r="E24" i="18"/>
  <c r="D24" i="18"/>
  <c r="C24" i="18"/>
  <c r="B24" i="18"/>
  <c r="E23" i="18"/>
  <c r="D23" i="18"/>
  <c r="C23" i="18"/>
  <c r="B23" i="18"/>
  <c r="E22" i="18"/>
  <c r="D22" i="18"/>
  <c r="C22" i="18"/>
  <c r="B22" i="18"/>
  <c r="E21" i="18"/>
  <c r="D21" i="18"/>
  <c r="C21" i="18"/>
  <c r="B21" i="18"/>
  <c r="E20" i="18"/>
  <c r="D20" i="18"/>
  <c r="C20" i="18"/>
  <c r="B20" i="18"/>
  <c r="E19" i="18"/>
  <c r="D19" i="18"/>
  <c r="C19" i="18"/>
  <c r="B19" i="18"/>
  <c r="E18" i="18"/>
  <c r="D18" i="18"/>
  <c r="C18" i="18"/>
  <c r="B18" i="18"/>
  <c r="E17" i="18"/>
  <c r="D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E12" i="18"/>
  <c r="D12" i="18"/>
  <c r="C12" i="18"/>
  <c r="B12" i="18"/>
  <c r="E11" i="18"/>
  <c r="D11" i="18"/>
  <c r="C11" i="18"/>
  <c r="B11" i="18"/>
  <c r="E10" i="18"/>
  <c r="D10" i="18"/>
  <c r="C10" i="18"/>
  <c r="B10" i="18"/>
  <c r="E9" i="18"/>
  <c r="D9" i="18"/>
  <c r="C9" i="18"/>
  <c r="B9" i="18"/>
  <c r="E8" i="18"/>
  <c r="D8" i="18"/>
  <c r="C8" i="18"/>
  <c r="B8" i="18"/>
  <c r="E7" i="18"/>
  <c r="D7" i="18"/>
  <c r="C7" i="18"/>
  <c r="B7" i="18"/>
  <c r="E6" i="18"/>
  <c r="D6" i="18"/>
  <c r="C6" i="18"/>
  <c r="B6" i="18"/>
  <c r="E5" i="18"/>
  <c r="D5" i="18"/>
  <c r="C5" i="18"/>
  <c r="B5" i="18"/>
  <c r="E4" i="18"/>
  <c r="D4" i="18"/>
  <c r="C4" i="18"/>
  <c r="B4" i="18"/>
  <c r="T115" i="14" l="1"/>
  <c r="T116" i="14" s="1"/>
  <c r="Z107" i="11"/>
  <c r="Z113" i="11" s="1"/>
  <c r="Z141" i="20" s="1"/>
  <c r="AA107" i="11"/>
  <c r="E83" i="14"/>
  <c r="D83" i="14"/>
  <c r="C83" i="14"/>
  <c r="B83" i="14"/>
  <c r="E82" i="14"/>
  <c r="D82" i="14"/>
  <c r="C82" i="14"/>
  <c r="B82" i="14"/>
  <c r="E81" i="14"/>
  <c r="D81" i="14"/>
  <c r="C81" i="14"/>
  <c r="B81" i="14"/>
  <c r="E80" i="14"/>
  <c r="D80" i="14"/>
  <c r="C80" i="14"/>
  <c r="B80" i="14"/>
  <c r="E79" i="14"/>
  <c r="D79" i="14"/>
  <c r="C79" i="14"/>
  <c r="B79" i="14"/>
  <c r="E78" i="14"/>
  <c r="D78" i="14"/>
  <c r="C78" i="14"/>
  <c r="B78" i="14"/>
  <c r="E77" i="14"/>
  <c r="D77" i="14"/>
  <c r="C77" i="14"/>
  <c r="B77" i="14"/>
  <c r="E76" i="14"/>
  <c r="D76" i="14"/>
  <c r="C76" i="14"/>
  <c r="B76" i="14"/>
  <c r="E75" i="14"/>
  <c r="D75" i="14"/>
  <c r="C75" i="14"/>
  <c r="B75" i="14"/>
  <c r="E74" i="14"/>
  <c r="D74" i="14"/>
  <c r="C74" i="14"/>
  <c r="B74" i="14"/>
  <c r="E73" i="14"/>
  <c r="D73" i="14"/>
  <c r="C73" i="14"/>
  <c r="B73" i="14"/>
  <c r="E72" i="14"/>
  <c r="D72" i="14"/>
  <c r="C72" i="14"/>
  <c r="B72" i="14"/>
  <c r="E71" i="14"/>
  <c r="D71" i="14"/>
  <c r="C71" i="14"/>
  <c r="B71" i="14"/>
  <c r="E70" i="14"/>
  <c r="D70" i="14"/>
  <c r="C70" i="14"/>
  <c r="B70" i="14"/>
  <c r="E69" i="14"/>
  <c r="D69" i="14"/>
  <c r="C69" i="14"/>
  <c r="B69" i="14"/>
  <c r="E68" i="14"/>
  <c r="D68" i="14"/>
  <c r="C68" i="14"/>
  <c r="B68" i="14"/>
  <c r="E67" i="14"/>
  <c r="D67" i="14"/>
  <c r="C67" i="14"/>
  <c r="B67" i="14"/>
  <c r="E66" i="14"/>
  <c r="D66" i="14"/>
  <c r="C66" i="14"/>
  <c r="B66" i="14"/>
  <c r="E65" i="14"/>
  <c r="D65" i="14"/>
  <c r="C65" i="14"/>
  <c r="B65" i="14"/>
  <c r="E64" i="14"/>
  <c r="D64" i="14"/>
  <c r="C64" i="14"/>
  <c r="B64" i="14"/>
  <c r="E63" i="14"/>
  <c r="D63" i="14"/>
  <c r="C63" i="14"/>
  <c r="B63" i="14"/>
  <c r="E62" i="14"/>
  <c r="D62" i="14"/>
  <c r="C62" i="14"/>
  <c r="B62" i="14"/>
  <c r="E61" i="14"/>
  <c r="D61" i="14"/>
  <c r="C61" i="14"/>
  <c r="B61" i="14"/>
  <c r="E60" i="14"/>
  <c r="D60" i="14"/>
  <c r="C60" i="14"/>
  <c r="B60" i="14"/>
  <c r="E59" i="14"/>
  <c r="D59" i="14"/>
  <c r="C59" i="14"/>
  <c r="B59" i="14"/>
  <c r="E58" i="14"/>
  <c r="D58" i="14"/>
  <c r="C58" i="14"/>
  <c r="B58" i="14"/>
  <c r="E57" i="14"/>
  <c r="D57" i="14"/>
  <c r="C57" i="14"/>
  <c r="B57" i="14"/>
  <c r="E56" i="14"/>
  <c r="D56" i="14"/>
  <c r="C56" i="14"/>
  <c r="B56" i="14"/>
  <c r="E55" i="14"/>
  <c r="D55" i="14"/>
  <c r="C55" i="14"/>
  <c r="B55" i="14"/>
  <c r="E54" i="14"/>
  <c r="D54" i="14"/>
  <c r="C54" i="14"/>
  <c r="B54" i="14"/>
  <c r="E53" i="14"/>
  <c r="D53" i="14"/>
  <c r="C53" i="14"/>
  <c r="B53" i="14"/>
  <c r="E52" i="14"/>
  <c r="D52" i="14"/>
  <c r="C52" i="14"/>
  <c r="B52" i="14"/>
  <c r="E51" i="14"/>
  <c r="D51" i="14"/>
  <c r="C51" i="14"/>
  <c r="B51" i="14"/>
  <c r="E50" i="14"/>
  <c r="D50" i="14"/>
  <c r="C50" i="14"/>
  <c r="B50" i="14"/>
  <c r="E49" i="14"/>
  <c r="D49" i="14"/>
  <c r="C49" i="14"/>
  <c r="B49" i="14"/>
  <c r="E48" i="14"/>
  <c r="D48" i="14"/>
  <c r="C48" i="14"/>
  <c r="B48" i="14"/>
  <c r="E47" i="14"/>
  <c r="D47" i="14"/>
  <c r="C47" i="14"/>
  <c r="B47" i="14"/>
  <c r="E46" i="14"/>
  <c r="D46" i="14"/>
  <c r="C46" i="14"/>
  <c r="B46" i="14"/>
  <c r="E45" i="14"/>
  <c r="D45" i="14"/>
  <c r="C45" i="14"/>
  <c r="B45" i="14"/>
  <c r="E44" i="14"/>
  <c r="D44" i="14"/>
  <c r="C44" i="14"/>
  <c r="B44" i="14"/>
  <c r="E43" i="14"/>
  <c r="D43" i="14"/>
  <c r="C43" i="14"/>
  <c r="B43" i="14"/>
  <c r="E42" i="14"/>
  <c r="D42" i="14"/>
  <c r="C42" i="14"/>
  <c r="B42" i="14"/>
  <c r="E41" i="14"/>
  <c r="D41" i="14"/>
  <c r="C41" i="14"/>
  <c r="B41" i="14"/>
  <c r="E40" i="14"/>
  <c r="D40" i="14"/>
  <c r="C40" i="14"/>
  <c r="B40" i="14"/>
  <c r="E39" i="14"/>
  <c r="D39" i="14"/>
  <c r="C39" i="14"/>
  <c r="B39" i="14"/>
  <c r="E38" i="14"/>
  <c r="D38" i="14"/>
  <c r="C38" i="14"/>
  <c r="B38" i="14"/>
  <c r="E37" i="14"/>
  <c r="D37" i="14"/>
  <c r="C37" i="14"/>
  <c r="B37" i="14"/>
  <c r="E36" i="14"/>
  <c r="D36" i="14"/>
  <c r="C36" i="14"/>
  <c r="B36" i="14"/>
  <c r="E35" i="14"/>
  <c r="D35" i="14"/>
  <c r="C35" i="14"/>
  <c r="B35" i="14"/>
  <c r="E34" i="14"/>
  <c r="D34" i="14"/>
  <c r="C34" i="14"/>
  <c r="B34" i="14"/>
  <c r="E33" i="14"/>
  <c r="D33" i="14"/>
  <c r="C33" i="14"/>
  <c r="B33" i="14"/>
  <c r="E32" i="14"/>
  <c r="D32" i="14"/>
  <c r="C32" i="14"/>
  <c r="B32" i="14"/>
  <c r="E31" i="14"/>
  <c r="D31" i="14"/>
  <c r="C31" i="14"/>
  <c r="B31" i="14"/>
  <c r="E30" i="14"/>
  <c r="D30" i="14"/>
  <c r="C30" i="14"/>
  <c r="B30" i="14"/>
  <c r="E29" i="14"/>
  <c r="D29" i="14"/>
  <c r="C29" i="14"/>
  <c r="B29" i="14"/>
  <c r="E28" i="14"/>
  <c r="D28" i="14"/>
  <c r="C28" i="14"/>
  <c r="B28" i="14"/>
  <c r="E27" i="14"/>
  <c r="D27" i="14"/>
  <c r="C27" i="14"/>
  <c r="B27" i="14"/>
  <c r="E26" i="14"/>
  <c r="D26" i="14"/>
  <c r="C26" i="14"/>
  <c r="B26" i="14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83" i="13"/>
  <c r="D83" i="13"/>
  <c r="C83" i="13"/>
  <c r="B83" i="13"/>
  <c r="E82" i="13"/>
  <c r="D82" i="13"/>
  <c r="C82" i="13"/>
  <c r="B82" i="13"/>
  <c r="E81" i="13"/>
  <c r="D81" i="13"/>
  <c r="C81" i="13"/>
  <c r="B81" i="13"/>
  <c r="E80" i="13"/>
  <c r="D80" i="13"/>
  <c r="C80" i="13"/>
  <c r="B80" i="13"/>
  <c r="E79" i="13"/>
  <c r="D79" i="13"/>
  <c r="C79" i="13"/>
  <c r="B79" i="13"/>
  <c r="E78" i="13"/>
  <c r="D78" i="13"/>
  <c r="C78" i="13"/>
  <c r="B78" i="13"/>
  <c r="E77" i="13"/>
  <c r="D77" i="13"/>
  <c r="C77" i="13"/>
  <c r="B77" i="13"/>
  <c r="E76" i="13"/>
  <c r="D76" i="13"/>
  <c r="C76" i="13"/>
  <c r="B76" i="13"/>
  <c r="E75" i="13"/>
  <c r="D75" i="13"/>
  <c r="C75" i="13"/>
  <c r="B75" i="13"/>
  <c r="E74" i="13"/>
  <c r="D74" i="13"/>
  <c r="C74" i="13"/>
  <c r="B74" i="13"/>
  <c r="E73" i="13"/>
  <c r="D73" i="13"/>
  <c r="C73" i="13"/>
  <c r="B73" i="13"/>
  <c r="E72" i="13"/>
  <c r="D72" i="13"/>
  <c r="C72" i="13"/>
  <c r="B72" i="13"/>
  <c r="E71" i="13"/>
  <c r="D71" i="13"/>
  <c r="C71" i="13"/>
  <c r="B71" i="13"/>
  <c r="E70" i="13"/>
  <c r="D70" i="13"/>
  <c r="C70" i="13"/>
  <c r="B70" i="13"/>
  <c r="E69" i="13"/>
  <c r="D69" i="13"/>
  <c r="C69" i="13"/>
  <c r="B69" i="13"/>
  <c r="E68" i="13"/>
  <c r="D68" i="13"/>
  <c r="C68" i="13"/>
  <c r="B68" i="13"/>
  <c r="E67" i="13"/>
  <c r="D67" i="13"/>
  <c r="C67" i="13"/>
  <c r="B67" i="13"/>
  <c r="E66" i="13"/>
  <c r="D66" i="13"/>
  <c r="C66" i="13"/>
  <c r="B66" i="13"/>
  <c r="E65" i="13"/>
  <c r="D65" i="13"/>
  <c r="C65" i="13"/>
  <c r="B65" i="13"/>
  <c r="E64" i="13"/>
  <c r="D64" i="13"/>
  <c r="C64" i="13"/>
  <c r="B64" i="13"/>
  <c r="E63" i="13"/>
  <c r="D63" i="13"/>
  <c r="C63" i="13"/>
  <c r="B63" i="13"/>
  <c r="E62" i="13"/>
  <c r="D62" i="13"/>
  <c r="C62" i="13"/>
  <c r="B62" i="13"/>
  <c r="E61" i="13"/>
  <c r="D61" i="13"/>
  <c r="C61" i="13"/>
  <c r="B61" i="13"/>
  <c r="E60" i="13"/>
  <c r="D60" i="13"/>
  <c r="C60" i="13"/>
  <c r="B60" i="13"/>
  <c r="E59" i="13"/>
  <c r="D59" i="13"/>
  <c r="C59" i="13"/>
  <c r="B59" i="13"/>
  <c r="E58" i="13"/>
  <c r="D58" i="13"/>
  <c r="C58" i="13"/>
  <c r="B58" i="13"/>
  <c r="E57" i="13"/>
  <c r="D57" i="13"/>
  <c r="C57" i="13"/>
  <c r="B57" i="13"/>
  <c r="E56" i="13"/>
  <c r="D56" i="13"/>
  <c r="C56" i="13"/>
  <c r="B56" i="13"/>
  <c r="E55" i="13"/>
  <c r="D55" i="13"/>
  <c r="C55" i="13"/>
  <c r="B55" i="13"/>
  <c r="E54" i="13"/>
  <c r="D54" i="13"/>
  <c r="C54" i="13"/>
  <c r="B54" i="13"/>
  <c r="E53" i="13"/>
  <c r="D53" i="13"/>
  <c r="C53" i="13"/>
  <c r="B53" i="13"/>
  <c r="E52" i="13"/>
  <c r="D52" i="13"/>
  <c r="C52" i="13"/>
  <c r="B52" i="13"/>
  <c r="E51" i="13"/>
  <c r="D51" i="13"/>
  <c r="C51" i="13"/>
  <c r="B51" i="13"/>
  <c r="E50" i="13"/>
  <c r="D50" i="13"/>
  <c r="C50" i="13"/>
  <c r="B50" i="13"/>
  <c r="E49" i="13"/>
  <c r="D49" i="13"/>
  <c r="C49" i="13"/>
  <c r="B49" i="13"/>
  <c r="E48" i="13"/>
  <c r="D48" i="13"/>
  <c r="C48" i="13"/>
  <c r="B48" i="13"/>
  <c r="E47" i="13"/>
  <c r="D47" i="13"/>
  <c r="C47" i="13"/>
  <c r="B47" i="13"/>
  <c r="E46" i="13"/>
  <c r="D46" i="13"/>
  <c r="C46" i="13"/>
  <c r="B46" i="13"/>
  <c r="E45" i="13"/>
  <c r="D45" i="13"/>
  <c r="C45" i="13"/>
  <c r="B45" i="13"/>
  <c r="E44" i="13"/>
  <c r="D44" i="13"/>
  <c r="C44" i="13"/>
  <c r="B44" i="13"/>
  <c r="E43" i="13"/>
  <c r="D43" i="13"/>
  <c r="C43" i="13"/>
  <c r="B43" i="13"/>
  <c r="E42" i="13"/>
  <c r="D42" i="13"/>
  <c r="C42" i="13"/>
  <c r="B42" i="13"/>
  <c r="E41" i="13"/>
  <c r="D41" i="13"/>
  <c r="C41" i="13"/>
  <c r="B41" i="13"/>
  <c r="E40" i="13"/>
  <c r="D40" i="13"/>
  <c r="C40" i="13"/>
  <c r="B40" i="13"/>
  <c r="E39" i="13"/>
  <c r="D39" i="13"/>
  <c r="C39" i="13"/>
  <c r="B39" i="13"/>
  <c r="E38" i="13"/>
  <c r="D38" i="13"/>
  <c r="C38" i="13"/>
  <c r="B38" i="13"/>
  <c r="E37" i="13"/>
  <c r="D37" i="13"/>
  <c r="C37" i="13"/>
  <c r="B37" i="13"/>
  <c r="E36" i="13"/>
  <c r="D36" i="13"/>
  <c r="C36" i="13"/>
  <c r="B36" i="13"/>
  <c r="E35" i="13"/>
  <c r="D35" i="13"/>
  <c r="C35" i="13"/>
  <c r="B35" i="13"/>
  <c r="E34" i="13"/>
  <c r="D34" i="13"/>
  <c r="C34" i="13"/>
  <c r="B34" i="13"/>
  <c r="E33" i="13"/>
  <c r="D33" i="13"/>
  <c r="C33" i="13"/>
  <c r="B33" i="13"/>
  <c r="E32" i="13"/>
  <c r="D32" i="13"/>
  <c r="C32" i="13"/>
  <c r="B32" i="13"/>
  <c r="E31" i="13"/>
  <c r="D31" i="13"/>
  <c r="C31" i="13"/>
  <c r="B31" i="13"/>
  <c r="E30" i="13"/>
  <c r="D30" i="13"/>
  <c r="C30" i="13"/>
  <c r="B30" i="13"/>
  <c r="E29" i="13"/>
  <c r="D29" i="13"/>
  <c r="C29" i="13"/>
  <c r="B29" i="13"/>
  <c r="E28" i="13"/>
  <c r="D28" i="13"/>
  <c r="C28" i="13"/>
  <c r="B28" i="13"/>
  <c r="E27" i="13"/>
  <c r="D27" i="13"/>
  <c r="C27" i="13"/>
  <c r="B27" i="13"/>
  <c r="E26" i="13"/>
  <c r="D26" i="13"/>
  <c r="C26" i="13"/>
  <c r="B26" i="13"/>
  <c r="E25" i="13"/>
  <c r="D25" i="13"/>
  <c r="C25" i="13"/>
  <c r="B25" i="13"/>
  <c r="E24" i="13"/>
  <c r="D24" i="13"/>
  <c r="C24" i="13"/>
  <c r="B24" i="13"/>
  <c r="E23" i="13"/>
  <c r="D23" i="13"/>
  <c r="C23" i="13"/>
  <c r="B23" i="13"/>
  <c r="E22" i="13"/>
  <c r="D22" i="13"/>
  <c r="C22" i="13"/>
  <c r="B22" i="13"/>
  <c r="E21" i="13"/>
  <c r="D21" i="13"/>
  <c r="C21" i="13"/>
  <c r="B21" i="13"/>
  <c r="E20" i="13"/>
  <c r="D20" i="13"/>
  <c r="C20" i="13"/>
  <c r="B20" i="13"/>
  <c r="E19" i="13"/>
  <c r="D19" i="13"/>
  <c r="C19" i="13"/>
  <c r="B19" i="13"/>
  <c r="E18" i="13"/>
  <c r="D18" i="13"/>
  <c r="C18" i="13"/>
  <c r="B18" i="13"/>
  <c r="E17" i="13"/>
  <c r="D17" i="13"/>
  <c r="C17" i="13"/>
  <c r="B17" i="13"/>
  <c r="E16" i="13"/>
  <c r="D16" i="13"/>
  <c r="C16" i="13"/>
  <c r="B16" i="13"/>
  <c r="E15" i="13"/>
  <c r="D15" i="13"/>
  <c r="C15" i="13"/>
  <c r="B15" i="13"/>
  <c r="E14" i="13"/>
  <c r="D14" i="13"/>
  <c r="C14" i="13"/>
  <c r="B14" i="13"/>
  <c r="E13" i="13"/>
  <c r="D13" i="13"/>
  <c r="C13" i="13"/>
  <c r="B13" i="13"/>
  <c r="E12" i="13"/>
  <c r="D12" i="13"/>
  <c r="C12" i="13"/>
  <c r="B12" i="13"/>
  <c r="E11" i="13"/>
  <c r="D11" i="13"/>
  <c r="C11" i="13"/>
  <c r="B11" i="13"/>
  <c r="E10" i="13"/>
  <c r="D10" i="13"/>
  <c r="C10" i="13"/>
  <c r="B10" i="13"/>
  <c r="E9" i="13"/>
  <c r="D9" i="13"/>
  <c r="C9" i="13"/>
  <c r="B9" i="13"/>
  <c r="E8" i="13"/>
  <c r="D8" i="13"/>
  <c r="C8" i="13"/>
  <c r="B8" i="13"/>
  <c r="E7" i="13"/>
  <c r="D7" i="13"/>
  <c r="C7" i="13"/>
  <c r="B7" i="13"/>
  <c r="E6" i="13"/>
  <c r="D6" i="13"/>
  <c r="C6" i="13"/>
  <c r="B6" i="13"/>
  <c r="E5" i="13"/>
  <c r="D5" i="13"/>
  <c r="C5" i="13"/>
  <c r="B5" i="13"/>
  <c r="E4" i="13"/>
  <c r="D4" i="13"/>
  <c r="C4" i="13"/>
  <c r="B4" i="13"/>
  <c r="E83" i="12"/>
  <c r="D83" i="12"/>
  <c r="C83" i="12"/>
  <c r="B83" i="12"/>
  <c r="E82" i="12"/>
  <c r="D82" i="12"/>
  <c r="C82" i="12"/>
  <c r="B82" i="12"/>
  <c r="E81" i="12"/>
  <c r="D81" i="12"/>
  <c r="C81" i="12"/>
  <c r="B81" i="12"/>
  <c r="E80" i="12"/>
  <c r="D80" i="12"/>
  <c r="C80" i="12"/>
  <c r="B80" i="12"/>
  <c r="E79" i="12"/>
  <c r="D79" i="12"/>
  <c r="C79" i="12"/>
  <c r="B79" i="12"/>
  <c r="E78" i="12"/>
  <c r="D78" i="12"/>
  <c r="C78" i="12"/>
  <c r="B78" i="12"/>
  <c r="E77" i="12"/>
  <c r="D77" i="12"/>
  <c r="C77" i="12"/>
  <c r="B77" i="12"/>
  <c r="E76" i="12"/>
  <c r="D76" i="12"/>
  <c r="C76" i="12"/>
  <c r="B76" i="12"/>
  <c r="E75" i="12"/>
  <c r="D75" i="12"/>
  <c r="C75" i="12"/>
  <c r="B75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70" i="12"/>
  <c r="D70" i="12"/>
  <c r="C70" i="12"/>
  <c r="B70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5" i="12"/>
  <c r="D65" i="12"/>
  <c r="C65" i="12"/>
  <c r="B65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60" i="12"/>
  <c r="D60" i="12"/>
  <c r="C60" i="12"/>
  <c r="B60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5" i="12"/>
  <c r="D55" i="12"/>
  <c r="C55" i="12"/>
  <c r="B55" i="12"/>
  <c r="E54" i="12"/>
  <c r="D54" i="12"/>
  <c r="C54" i="12"/>
  <c r="B54" i="12"/>
  <c r="E53" i="12"/>
  <c r="D53" i="12"/>
  <c r="C53" i="12"/>
  <c r="B53" i="12"/>
  <c r="E52" i="12"/>
  <c r="D52" i="12"/>
  <c r="C52" i="12"/>
  <c r="B52" i="12"/>
  <c r="E51" i="12"/>
  <c r="D51" i="12"/>
  <c r="C51" i="12"/>
  <c r="B51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7" i="12"/>
  <c r="D47" i="12"/>
  <c r="C47" i="12"/>
  <c r="B47" i="12"/>
  <c r="E46" i="12"/>
  <c r="D46" i="12"/>
  <c r="C46" i="12"/>
  <c r="B46" i="12"/>
  <c r="E45" i="12"/>
  <c r="D45" i="12"/>
  <c r="C45" i="12"/>
  <c r="B45" i="12"/>
  <c r="E44" i="12"/>
  <c r="D44" i="12"/>
  <c r="C44" i="12"/>
  <c r="B44" i="12"/>
  <c r="E43" i="12"/>
  <c r="D43" i="12"/>
  <c r="C43" i="12"/>
  <c r="B43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7" i="12"/>
  <c r="D37" i="12"/>
  <c r="C37" i="12"/>
  <c r="B37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83" i="11"/>
  <c r="S83" i="11" s="1"/>
  <c r="D83" i="11"/>
  <c r="Q83" i="11" s="1"/>
  <c r="C83" i="11"/>
  <c r="B83" i="11"/>
  <c r="E82" i="11"/>
  <c r="S84" i="11" s="1"/>
  <c r="D82" i="11"/>
  <c r="Q84" i="11" s="1"/>
  <c r="C82" i="11"/>
  <c r="S82" i="11" s="1"/>
  <c r="B82" i="11"/>
  <c r="Q82" i="11" s="1"/>
  <c r="E81" i="11"/>
  <c r="D81" i="11"/>
  <c r="C81" i="11"/>
  <c r="B81" i="11"/>
  <c r="E80" i="11"/>
  <c r="D80" i="11"/>
  <c r="C80" i="11"/>
  <c r="S42" i="11" s="1"/>
  <c r="B80" i="11"/>
  <c r="E79" i="11"/>
  <c r="D79" i="11"/>
  <c r="C79" i="11"/>
  <c r="B79" i="11"/>
  <c r="E78" i="11"/>
  <c r="D78" i="11"/>
  <c r="C78" i="11"/>
  <c r="S78" i="11" s="1"/>
  <c r="B78" i="11"/>
  <c r="Q78" i="11" s="1"/>
  <c r="E77" i="11"/>
  <c r="D77" i="11"/>
  <c r="C77" i="11"/>
  <c r="B77" i="11"/>
  <c r="E76" i="11"/>
  <c r="D76" i="11"/>
  <c r="C76" i="11"/>
  <c r="B76" i="11"/>
  <c r="E75" i="11"/>
  <c r="D75" i="11"/>
  <c r="C75" i="11"/>
  <c r="B75" i="11"/>
  <c r="E74" i="11"/>
  <c r="D74" i="11"/>
  <c r="C74" i="11"/>
  <c r="S34" i="11" s="1"/>
  <c r="B74" i="11"/>
  <c r="E73" i="11"/>
  <c r="D73" i="11"/>
  <c r="C73" i="11"/>
  <c r="B73" i="11"/>
  <c r="E72" i="11"/>
  <c r="D72" i="11"/>
  <c r="C72" i="11"/>
  <c r="B72" i="11"/>
  <c r="E71" i="11"/>
  <c r="D71" i="11"/>
  <c r="C71" i="11"/>
  <c r="S25" i="11" s="1"/>
  <c r="B71" i="11"/>
  <c r="E70" i="11"/>
  <c r="D70" i="11"/>
  <c r="C70" i="11"/>
  <c r="B70" i="11"/>
  <c r="E69" i="11"/>
  <c r="D69" i="11"/>
  <c r="C69" i="11"/>
  <c r="S23" i="11" s="1"/>
  <c r="B69" i="11"/>
  <c r="E68" i="11"/>
  <c r="D68" i="11"/>
  <c r="C68" i="11"/>
  <c r="B68" i="11"/>
  <c r="E67" i="11"/>
  <c r="D67" i="11"/>
  <c r="C67" i="11"/>
  <c r="B67" i="11"/>
  <c r="E66" i="11"/>
  <c r="S66" i="11" s="1"/>
  <c r="D66" i="11"/>
  <c r="Q66" i="11" s="1"/>
  <c r="C66" i="11"/>
  <c r="B66" i="11"/>
  <c r="E65" i="11"/>
  <c r="D65" i="11"/>
  <c r="C65" i="11"/>
  <c r="S21" i="11" s="1"/>
  <c r="B65" i="11"/>
  <c r="E64" i="11"/>
  <c r="D64" i="11"/>
  <c r="C64" i="11"/>
  <c r="B64" i="11"/>
  <c r="E63" i="11"/>
  <c r="D63" i="11"/>
  <c r="C63" i="11"/>
  <c r="S19" i="11" s="1"/>
  <c r="B63" i="11"/>
  <c r="E62" i="11"/>
  <c r="D62" i="11"/>
  <c r="C62" i="11"/>
  <c r="S17" i="11" s="1"/>
  <c r="B62" i="11"/>
  <c r="E61" i="11"/>
  <c r="D61" i="11"/>
  <c r="C61" i="11"/>
  <c r="B61" i="11"/>
  <c r="E60" i="11"/>
  <c r="D60" i="11"/>
  <c r="C60" i="11"/>
  <c r="B60" i="11"/>
  <c r="E59" i="11"/>
  <c r="D59" i="11"/>
  <c r="C59" i="11"/>
  <c r="S15" i="11" s="1"/>
  <c r="B59" i="11"/>
  <c r="E58" i="11"/>
  <c r="D58" i="11"/>
  <c r="C58" i="11"/>
  <c r="B58" i="11"/>
  <c r="E57" i="11"/>
  <c r="D57" i="11"/>
  <c r="C57" i="11"/>
  <c r="S13" i="11" s="1"/>
  <c r="B57" i="11"/>
  <c r="E56" i="11"/>
  <c r="D56" i="11"/>
  <c r="C56" i="11"/>
  <c r="B56" i="11"/>
  <c r="E55" i="11"/>
  <c r="D55" i="11"/>
  <c r="C55" i="11"/>
  <c r="S11" i="11" s="1"/>
  <c r="B55" i="11"/>
  <c r="E54" i="11"/>
  <c r="D54" i="11"/>
  <c r="C54" i="11"/>
  <c r="B54" i="11"/>
  <c r="E53" i="11"/>
  <c r="D53" i="11"/>
  <c r="C53" i="11"/>
  <c r="S9" i="11" s="1"/>
  <c r="B53" i="11"/>
  <c r="E52" i="11"/>
  <c r="S52" i="11" s="1"/>
  <c r="D52" i="11"/>
  <c r="Q52" i="11" s="1"/>
  <c r="C52" i="11"/>
  <c r="B52" i="11"/>
  <c r="E51" i="11"/>
  <c r="D51" i="11"/>
  <c r="C51" i="11"/>
  <c r="S51" i="11" s="1"/>
  <c r="B51" i="11"/>
  <c r="Q51" i="11" s="1"/>
  <c r="E50" i="11"/>
  <c r="D50" i="11"/>
  <c r="C50" i="11"/>
  <c r="B50" i="11"/>
  <c r="E49" i="11"/>
  <c r="D49" i="11"/>
  <c r="C49" i="11"/>
  <c r="S7" i="11" s="1"/>
  <c r="B49" i="11"/>
  <c r="E48" i="11"/>
  <c r="D48" i="11"/>
  <c r="C48" i="11"/>
  <c r="B48" i="11"/>
  <c r="E47" i="11"/>
  <c r="D47" i="11"/>
  <c r="C47" i="11"/>
  <c r="S5" i="11" s="1"/>
  <c r="B47" i="11"/>
  <c r="E46" i="11"/>
  <c r="D46" i="11"/>
  <c r="C46" i="11"/>
  <c r="B46" i="11"/>
  <c r="E45" i="11"/>
  <c r="D45" i="11"/>
  <c r="C45" i="11"/>
  <c r="S45" i="11" s="1"/>
  <c r="B45" i="11"/>
  <c r="Q45" i="11" s="1"/>
  <c r="E44" i="11"/>
  <c r="T84" i="11" s="1"/>
  <c r="D44" i="11"/>
  <c r="C44" i="11"/>
  <c r="B44" i="11"/>
  <c r="E43" i="11"/>
  <c r="D43" i="11"/>
  <c r="C43" i="11"/>
  <c r="S43" i="11" s="1"/>
  <c r="B43" i="11"/>
  <c r="Q43" i="11" s="1"/>
  <c r="E42" i="11"/>
  <c r="D42" i="11"/>
  <c r="C42" i="11"/>
  <c r="B42" i="11"/>
  <c r="E41" i="11"/>
  <c r="D41" i="11"/>
  <c r="C41" i="11"/>
  <c r="S41" i="11" s="1"/>
  <c r="B41" i="11"/>
  <c r="Q41" i="11" s="1"/>
  <c r="E40" i="11"/>
  <c r="D40" i="11"/>
  <c r="C40" i="11"/>
  <c r="B40" i="11"/>
  <c r="E39" i="11"/>
  <c r="D39" i="11"/>
  <c r="C39" i="11"/>
  <c r="S39" i="11" s="1"/>
  <c r="B39" i="11"/>
  <c r="Q39" i="11" s="1"/>
  <c r="E38" i="11"/>
  <c r="D38" i="11"/>
  <c r="C38" i="11"/>
  <c r="B38" i="11"/>
  <c r="E37" i="11"/>
  <c r="D37" i="11"/>
  <c r="C37" i="11"/>
  <c r="S37" i="11" s="1"/>
  <c r="B37" i="11"/>
  <c r="Q37" i="11" s="1"/>
  <c r="E36" i="11"/>
  <c r="D36" i="11"/>
  <c r="C36" i="11"/>
  <c r="B36" i="11"/>
  <c r="E35" i="11"/>
  <c r="D35" i="11"/>
  <c r="Q36" i="11" s="1"/>
  <c r="C35" i="11"/>
  <c r="S35" i="11" s="1"/>
  <c r="B35" i="11"/>
  <c r="Q35" i="11" s="1"/>
  <c r="E34" i="11"/>
  <c r="D34" i="11"/>
  <c r="C34" i="11"/>
  <c r="B34" i="11"/>
  <c r="E33" i="11"/>
  <c r="D33" i="11"/>
  <c r="C33" i="11"/>
  <c r="S33" i="11" s="1"/>
  <c r="B33" i="11"/>
  <c r="Q33" i="11" s="1"/>
  <c r="D32" i="11"/>
  <c r="Q32" i="11" s="1"/>
  <c r="C32" i="11"/>
  <c r="B32" i="11"/>
  <c r="E31" i="11"/>
  <c r="D31" i="11"/>
  <c r="C31" i="11"/>
  <c r="S31" i="11" s="1"/>
  <c r="B31" i="11"/>
  <c r="Q31" i="11" s="1"/>
  <c r="D30" i="11"/>
  <c r="C30" i="11"/>
  <c r="B30" i="11"/>
  <c r="E29" i="11"/>
  <c r="D29" i="11"/>
  <c r="C29" i="11"/>
  <c r="S29" i="11" s="1"/>
  <c r="B29" i="11"/>
  <c r="Q29" i="11" s="1"/>
  <c r="E28" i="11"/>
  <c r="T83" i="11" s="1"/>
  <c r="D28" i="11"/>
  <c r="C28" i="11"/>
  <c r="B28" i="11"/>
  <c r="E27" i="11"/>
  <c r="D27" i="11"/>
  <c r="C27" i="11"/>
  <c r="S27" i="11" s="1"/>
  <c r="B27" i="11"/>
  <c r="Q27" i="11" s="1"/>
  <c r="E26" i="11"/>
  <c r="D26" i="11"/>
  <c r="C26" i="11"/>
  <c r="B26" i="11"/>
  <c r="E25" i="11"/>
  <c r="D25" i="11"/>
  <c r="Q25" i="11" s="1"/>
  <c r="C25" i="11"/>
  <c r="S26" i="11" s="1"/>
  <c r="B25" i="11"/>
  <c r="Q26" i="11" s="1"/>
  <c r="E24" i="11"/>
  <c r="D24" i="11"/>
  <c r="C24" i="11"/>
  <c r="S24" i="11" s="1"/>
  <c r="B24" i="11"/>
  <c r="Q24" i="11" s="1"/>
  <c r="E23" i="11"/>
  <c r="D23" i="11"/>
  <c r="C23" i="11"/>
  <c r="B23" i="11"/>
  <c r="E22" i="11"/>
  <c r="D22" i="11"/>
  <c r="C22" i="11"/>
  <c r="S22" i="11" s="1"/>
  <c r="B22" i="11"/>
  <c r="Q22" i="11" s="1"/>
  <c r="E21" i="11"/>
  <c r="D21" i="11"/>
  <c r="C21" i="11"/>
  <c r="B21" i="11"/>
  <c r="E20" i="11"/>
  <c r="D20" i="11"/>
  <c r="C20" i="11"/>
  <c r="S20" i="11" s="1"/>
  <c r="B20" i="11"/>
  <c r="Q20" i="11" s="1"/>
  <c r="E19" i="11"/>
  <c r="D19" i="11"/>
  <c r="Q19" i="11" s="1"/>
  <c r="C19" i="11"/>
  <c r="B19" i="11"/>
  <c r="E18" i="11"/>
  <c r="D18" i="11"/>
  <c r="C18" i="11"/>
  <c r="S18" i="11" s="1"/>
  <c r="B18" i="11"/>
  <c r="Q18" i="11" s="1"/>
  <c r="E17" i="11"/>
  <c r="D17" i="11"/>
  <c r="C17" i="11"/>
  <c r="B17" i="11"/>
  <c r="E16" i="11"/>
  <c r="D16" i="11"/>
  <c r="C16" i="11"/>
  <c r="S16" i="11" s="1"/>
  <c r="B16" i="11"/>
  <c r="Q16" i="11" s="1"/>
  <c r="E15" i="11"/>
  <c r="D15" i="11"/>
  <c r="C15" i="11"/>
  <c r="B15" i="11"/>
  <c r="E14" i="11"/>
  <c r="D14" i="11"/>
  <c r="C14" i="11"/>
  <c r="S14" i="11" s="1"/>
  <c r="B14" i="11"/>
  <c r="Q14" i="11" s="1"/>
  <c r="E13" i="11"/>
  <c r="D13" i="11"/>
  <c r="C13" i="11"/>
  <c r="B13" i="11"/>
  <c r="E12" i="11"/>
  <c r="D12" i="11"/>
  <c r="Q13" i="11" s="1"/>
  <c r="C12" i="11"/>
  <c r="S12" i="11" s="1"/>
  <c r="B12" i="11"/>
  <c r="Q12" i="11" s="1"/>
  <c r="E11" i="11"/>
  <c r="D11" i="11"/>
  <c r="C11" i="11"/>
  <c r="B11" i="11"/>
  <c r="E10" i="11"/>
  <c r="D10" i="11"/>
  <c r="C10" i="11"/>
  <c r="S10" i="11" s="1"/>
  <c r="B10" i="11"/>
  <c r="Q10" i="11" s="1"/>
  <c r="E9" i="11"/>
  <c r="D9" i="11"/>
  <c r="C9" i="11"/>
  <c r="B9" i="11"/>
  <c r="E8" i="11"/>
  <c r="D8" i="11"/>
  <c r="Q9" i="11" s="1"/>
  <c r="C8" i="11"/>
  <c r="S8" i="11" s="1"/>
  <c r="B8" i="11"/>
  <c r="Q8" i="11" s="1"/>
  <c r="E7" i="11"/>
  <c r="D7" i="11"/>
  <c r="Q7" i="11" s="1"/>
  <c r="C7" i="11"/>
  <c r="B7" i="11"/>
  <c r="E6" i="11"/>
  <c r="D6" i="11"/>
  <c r="C6" i="11"/>
  <c r="S6" i="11" s="1"/>
  <c r="B6" i="11"/>
  <c r="Q6" i="11" s="1"/>
  <c r="E5" i="11"/>
  <c r="D5" i="11"/>
  <c r="Q5" i="11" s="1"/>
  <c r="C5" i="11"/>
  <c r="B5" i="11"/>
  <c r="E4" i="11"/>
  <c r="D4" i="11"/>
  <c r="C4" i="11"/>
  <c r="S4" i="11" s="1"/>
  <c r="B4" i="11"/>
  <c r="C35" i="3"/>
  <c r="C25" i="3"/>
  <c r="C26" i="3" s="1"/>
  <c r="C7" i="3"/>
  <c r="C8" i="3" s="1"/>
  <c r="C3" i="3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8" i="2"/>
  <c r="E5" i="2"/>
  <c r="R36" i="11" l="1"/>
  <c r="R25" i="11"/>
  <c r="R13" i="11"/>
  <c r="R7" i="11"/>
  <c r="R5" i="11"/>
  <c r="T23" i="11"/>
  <c r="R32" i="11"/>
  <c r="R19" i="11"/>
  <c r="R9" i="11"/>
  <c r="R52" i="11"/>
  <c r="T52" i="11"/>
  <c r="T82" i="11"/>
  <c r="R45" i="11"/>
  <c r="R37" i="11"/>
  <c r="R29" i="11"/>
  <c r="R22" i="11"/>
  <c r="R14" i="11"/>
  <c r="R6" i="11"/>
  <c r="R51" i="11"/>
  <c r="R24" i="11"/>
  <c r="R16" i="11"/>
  <c r="R83" i="11"/>
  <c r="R82" i="11"/>
  <c r="R43" i="11"/>
  <c r="R35" i="11"/>
  <c r="R27" i="11"/>
  <c r="R20" i="11"/>
  <c r="R12" i="11"/>
  <c r="R4" i="11"/>
  <c r="R66" i="11"/>
  <c r="R84" i="11"/>
  <c r="R78" i="11"/>
  <c r="R41" i="11"/>
  <c r="R33" i="11"/>
  <c r="R26" i="11"/>
  <c r="R18" i="11"/>
  <c r="R10" i="11"/>
  <c r="R39" i="11"/>
  <c r="R31" i="11"/>
  <c r="R8" i="11"/>
  <c r="Q4" i="11"/>
  <c r="E32" i="11"/>
  <c r="E30" i="11"/>
  <c r="G3" i="3" s="1"/>
  <c r="G48" i="3" l="1"/>
  <c r="G57" i="3"/>
  <c r="G66" i="3"/>
  <c r="G41" i="3"/>
  <c r="G32" i="3"/>
  <c r="G42" i="3"/>
  <c r="G70" i="3"/>
  <c r="G25" i="3"/>
  <c r="G80" i="3"/>
  <c r="G16" i="3"/>
  <c r="G26" i="3"/>
  <c r="T26" i="11"/>
  <c r="G73" i="3"/>
  <c r="G9" i="3"/>
  <c r="G64" i="3"/>
  <c r="T29" i="11"/>
  <c r="T66" i="11"/>
  <c r="G79" i="3"/>
  <c r="G63" i="3"/>
  <c r="G47" i="3"/>
  <c r="G31" i="3"/>
  <c r="G15" i="3"/>
  <c r="G62" i="3"/>
  <c r="T9" i="11"/>
  <c r="G69" i="3"/>
  <c r="G53" i="3"/>
  <c r="G37" i="3"/>
  <c r="G21" i="3"/>
  <c r="G5" i="3"/>
  <c r="T8" i="11"/>
  <c r="G76" i="3"/>
  <c r="G60" i="3"/>
  <c r="G44" i="3"/>
  <c r="G28" i="3"/>
  <c r="G12" i="3"/>
  <c r="T5" i="11"/>
  <c r="G58" i="3"/>
  <c r="G38" i="3"/>
  <c r="G22" i="3"/>
  <c r="T22" i="11"/>
  <c r="G75" i="3"/>
  <c r="G59" i="3"/>
  <c r="G43" i="3"/>
  <c r="G27" i="3"/>
  <c r="G11" i="3"/>
  <c r="T11" i="11"/>
  <c r="G54" i="3"/>
  <c r="U81" i="11"/>
  <c r="G81" i="3"/>
  <c r="G65" i="3"/>
  <c r="G49" i="3"/>
  <c r="G33" i="3"/>
  <c r="G17" i="3"/>
  <c r="G10" i="3"/>
  <c r="U83" i="11"/>
  <c r="G72" i="3"/>
  <c r="G56" i="3"/>
  <c r="G40" i="3"/>
  <c r="G24" i="3"/>
  <c r="G8" i="3"/>
  <c r="G78" i="3"/>
  <c r="G50" i="3"/>
  <c r="G34" i="3"/>
  <c r="G18" i="3"/>
  <c r="T7" i="11"/>
  <c r="G71" i="3"/>
  <c r="G55" i="3"/>
  <c r="G39" i="3"/>
  <c r="G23" i="3"/>
  <c r="G7" i="3"/>
  <c r="G2" i="3"/>
  <c r="G6" i="3"/>
  <c r="G77" i="3"/>
  <c r="G61" i="3"/>
  <c r="G45" i="3"/>
  <c r="G29" i="3"/>
  <c r="G13" i="3"/>
  <c r="T4" i="11"/>
  <c r="G68" i="3"/>
  <c r="G52" i="3"/>
  <c r="G36" i="3"/>
  <c r="G20" i="3"/>
  <c r="G4" i="3"/>
  <c r="G74" i="3"/>
  <c r="G46" i="3"/>
  <c r="G30" i="3"/>
  <c r="G14" i="3"/>
  <c r="U84" i="11"/>
  <c r="G67" i="3"/>
  <c r="G51" i="3"/>
  <c r="G35" i="3"/>
  <c r="G19" i="3"/>
  <c r="H102" i="11"/>
  <c r="P108" i="22"/>
  <c r="Q108" i="22" s="1"/>
  <c r="S108" i="22"/>
  <c r="U108" i="22" s="1"/>
  <c r="Q104" i="22" l="1"/>
  <c r="R104" i="22" s="1"/>
  <c r="S104" i="22" s="1"/>
  <c r="Z108" i="22"/>
  <c r="AB108" i="22" s="1"/>
  <c r="AA108" i="22"/>
  <c r="AA113" i="22" s="1"/>
</calcChain>
</file>

<file path=xl/sharedStrings.xml><?xml version="1.0" encoding="utf-8"?>
<sst xmlns="http://schemas.openxmlformats.org/spreadsheetml/2006/main" count="774" uniqueCount="162">
  <si>
    <t>ID</t>
  </si>
  <si>
    <t>Puerto</t>
  </si>
  <si>
    <t>Saint Nazaire</t>
  </si>
  <si>
    <t>Valencia</t>
  </si>
  <si>
    <t>Le Havre</t>
  </si>
  <si>
    <t>Calais</t>
  </si>
  <si>
    <t>Barcelona</t>
  </si>
  <si>
    <t>Zeebrugge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</si>
  <si>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</si>
  <si>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</si>
  <si>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</si>
  <si>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</si>
  <si>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</si>
  <si>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</si>
  <si>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</si>
  <si>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</si>
  <si>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Vigo</t>
  </si>
  <si>
    <t>A Coruña</t>
  </si>
  <si>
    <t>Cádiz</t>
  </si>
  <si>
    <t>Algeciras</t>
  </si>
  <si>
    <t>Málaga</t>
  </si>
  <si>
    <t>Brest</t>
  </si>
  <si>
    <t>Bilbao</t>
  </si>
  <si>
    <t>Caen</t>
  </si>
  <si>
    <t>Cherburgo</t>
  </si>
  <si>
    <t>Anual</t>
  </si>
  <si>
    <t>Semanal</t>
  </si>
  <si>
    <t>Dunkerque</t>
  </si>
  <si>
    <t>Antwerpen-Bruges</t>
  </si>
  <si>
    <t>se han unificado</t>
  </si>
  <si>
    <t>https://www.hafen-hamburg.de/en/statistics/containerhandling/</t>
  </si>
  <si>
    <t>Ferrol</t>
  </si>
  <si>
    <t>https://www.puertomalaga.com/en/statistics/</t>
  </si>
  <si>
    <t>Rouen</t>
  </si>
  <si>
    <t>Lyon</t>
  </si>
  <si>
    <t>http://lyon-terminal.fr/#statistiques</t>
  </si>
  <si>
    <t>La Rochelle</t>
  </si>
  <si>
    <t>Gennevilliers</t>
  </si>
  <si>
    <t>Burdeos</t>
  </si>
  <si>
    <t>Var1</t>
  </si>
  <si>
    <t>Var2</t>
  </si>
  <si>
    <t>flow</t>
  </si>
  <si>
    <t>TiempoNav</t>
  </si>
  <si>
    <t>TiempoPort</t>
  </si>
  <si>
    <t>TiempoCD</t>
  </si>
  <si>
    <t>offer</t>
  </si>
  <si>
    <t>Name</t>
  </si>
  <si>
    <t>Port</t>
  </si>
  <si>
    <t>Longitude</t>
  </si>
  <si>
    <t>Latitude</t>
  </si>
  <si>
    <t>NUT</t>
  </si>
  <si>
    <t>BE21</t>
  </si>
  <si>
    <t>Prov. Antwerpen</t>
  </si>
  <si>
    <t>BE23</t>
  </si>
  <si>
    <t>Prov. Oost-Vlaanderen</t>
  </si>
  <si>
    <t>BE25</t>
  </si>
  <si>
    <t>Prov. West-Vlaanderen</t>
  </si>
  <si>
    <t>DE50</t>
  </si>
  <si>
    <t>Bremen</t>
  </si>
  <si>
    <t>DE60</t>
  </si>
  <si>
    <t>Hamburg</t>
  </si>
  <si>
    <t>DE80</t>
  </si>
  <si>
    <t>Mecklenburg-Vorpommern</t>
  </si>
  <si>
    <t>DE93</t>
  </si>
  <si>
    <t>Lüneburg</t>
  </si>
  <si>
    <t>DE94</t>
  </si>
  <si>
    <t>Weser-Ems</t>
  </si>
  <si>
    <t>DEA1</t>
  </si>
  <si>
    <t>Düsseldorf</t>
  </si>
  <si>
    <t>DEF0</t>
  </si>
  <si>
    <t>Schleswig-Holstein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</si>
  <si>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</si>
  <si>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</si>
  <si>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</si>
  <si>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</si>
  <si>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</si>
  <si>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</si>
  <si>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</si>
  <si>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</si>
  <si>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ES51</t>
  </si>
  <si>
    <t>Cataluña</t>
  </si>
  <si>
    <t>ES52</t>
  </si>
  <si>
    <t xml:space="preserve">Comunitat Valenciana </t>
  </si>
  <si>
    <t>ES61</t>
  </si>
  <si>
    <t>Andalucía</t>
  </si>
  <si>
    <t>ES62</t>
  </si>
  <si>
    <t>Región de Murcia</t>
  </si>
  <si>
    <t>FRD1</t>
  </si>
  <si>
    <t xml:space="preserve">Basse-Normandie </t>
  </si>
  <si>
    <t>FRD2</t>
  </si>
  <si>
    <t xml:space="preserve">Haute-Normandie </t>
  </si>
  <si>
    <t>FRE1</t>
  </si>
  <si>
    <t>Nord-Pas de Calais</t>
  </si>
  <si>
    <t>FRG0</t>
  </si>
  <si>
    <t>Pays de la Loire</t>
  </si>
  <si>
    <t>FRH0</t>
  </si>
  <si>
    <t>Bretagne</t>
  </si>
  <si>
    <t>FRI1</t>
  </si>
  <si>
    <t>Aquitaine</t>
  </si>
  <si>
    <t>FRI3</t>
  </si>
  <si>
    <t>Poitou-Charentes</t>
  </si>
  <si>
    <t>FRJ1</t>
  </si>
  <si>
    <t>Languedoc-Roussillon</t>
  </si>
  <si>
    <t>FRF2</t>
  </si>
  <si>
    <t>Champagne-Ardenne</t>
  </si>
  <si>
    <t>FRJ2</t>
  </si>
  <si>
    <t>Midi-Pyrénées</t>
  </si>
  <si>
    <t>FRI2</t>
  </si>
  <si>
    <t>Limousin</t>
  </si>
  <si>
    <t>NL11</t>
  </si>
  <si>
    <t>Groningen</t>
  </si>
  <si>
    <t>NL12</t>
  </si>
  <si>
    <t>Friesland (NL)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</si>
  <si>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</si>
  <si>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</si>
  <si>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</si>
  <si>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</si>
  <si>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</si>
  <si>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</si>
  <si>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</si>
  <si>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</si>
  <si>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</si>
  <si>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</si>
  <si>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</si>
  <si>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</si>
  <si>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</si>
  <si>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</si>
  <si>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</si>
  <si>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</si>
  <si>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</si>
  <si>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</si>
  <si>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nodo final</t>
  </si>
  <si>
    <t>Subruta 1</t>
  </si>
  <si>
    <t>Coste fijo</t>
  </si>
  <si>
    <t>nodo inicial</t>
  </si>
  <si>
    <t>puerto O</t>
  </si>
  <si>
    <t>puerto D</t>
  </si>
  <si>
    <t>Coste variable</t>
  </si>
  <si>
    <t>Subruta 2</t>
  </si>
  <si>
    <t xml:space="preserve">Optimal objective value is 3.765398e+08. </t>
  </si>
  <si>
    <t xml:space="preserve">Optimal objective value is 3.395959e+08. </t>
  </si>
  <si>
    <t>Optimal objective value is 3.368722e+08.</t>
  </si>
  <si>
    <t>Optimal objective value is 2.953571e+08.</t>
  </si>
  <si>
    <t>Tiempo total</t>
  </si>
  <si>
    <t>Optimal objective value is 3.671104e+08</t>
  </si>
  <si>
    <t>Optimal objective value is 4.040129e+08</t>
  </si>
  <si>
    <t>Subruta 3</t>
  </si>
  <si>
    <t>Subruta 4</t>
  </si>
  <si>
    <t>13.19.5.12500.1</t>
  </si>
  <si>
    <t>13.19.5.12500.2</t>
  </si>
  <si>
    <t>13.19.5.12500.3.1</t>
  </si>
  <si>
    <t>13.19.5.12500.3.2</t>
  </si>
  <si>
    <t>13.19.5.12500.3.3</t>
  </si>
  <si>
    <t>13.19.5.12500.3.4</t>
  </si>
  <si>
    <t>Coste fijo/buque</t>
  </si>
  <si>
    <t>TEUs/buque</t>
  </si>
  <si>
    <t>Tiempo C/D</t>
  </si>
  <si>
    <t>Coste Total</t>
  </si>
  <si>
    <t>Puerto O</t>
  </si>
  <si>
    <t>Puerto D</t>
  </si>
  <si>
    <t>Nodo inicial</t>
  </si>
  <si>
    <t>Nodo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</si>
</sst>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6" formatCode="_-[$$-540A]* #,##0.00_ ;_-[$$-540A]* \-#,##0.00\ ;_-[$$-540A]* &quot;-&quot;??_ ;_-@_ "/>
    <numFmt numFmtId="167" formatCode="_-[$$-409]* #,##0.00_ ;_-[$$-409]* \-#,##0.00\ ;_-[$$-409]* &quot;-&quot;??_ ;_-@_ "/>
    <numFmt numFmtId="168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2" quotePrefix="1"/>
    <xf numFmtId="49" fontId="3" fillId="0" borderId="0" xfId="2" quotePrefix="1" applyNumberFormat="1"/>
    <xf numFmtId="0" fontId="3" fillId="0" borderId="0" xfId="2"/>
    <xf numFmtId="9" fontId="3" fillId="0" borderId="0" xfId="1" applyFont="1"/>
    <xf numFmtId="0" fontId="4" fillId="0" borderId="0" xfId="2" applyFont="1" applyAlignment="1">
      <alignment wrapText="1"/>
    </xf>
    <xf numFmtId="0" fontId="5" fillId="0" borderId="0" xfId="3"/>
    <xf numFmtId="0" fontId="4" fillId="0" borderId="0" xfId="2" applyFont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3" fillId="0" borderId="0" xfId="2" applyNumberFormat="1"/>
    <xf numFmtId="9" fontId="3" fillId="0" borderId="0" xfId="2" applyNumberFormat="1"/>
    <xf numFmtId="44" fontId="0" fillId="0" borderId="0" xfId="4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3" borderId="0" xfId="4" applyFont="1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1" fontId="0" fillId="0" borderId="11" xfId="0" applyNumberFormat="1" applyBorder="1"/>
    <xf numFmtId="166" fontId="0" fillId="0" borderId="0" xfId="0" applyNumberFormat="1"/>
    <xf numFmtId="166" fontId="0" fillId="0" borderId="11" xfId="0" applyNumberFormat="1" applyBorder="1"/>
    <xf numFmtId="0" fontId="0" fillId="0" borderId="12" xfId="0" applyBorder="1"/>
    <xf numFmtId="166" fontId="0" fillId="0" borderId="12" xfId="0" applyNumberFormat="1" applyBorder="1"/>
    <xf numFmtId="1" fontId="0" fillId="0" borderId="12" xfId="0" applyNumberFormat="1" applyBorder="1"/>
    <xf numFmtId="2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" fontId="0" fillId="0" borderId="13" xfId="0" applyNumberFormat="1" applyBorder="1"/>
    <xf numFmtId="2" fontId="0" fillId="0" borderId="13" xfId="0" applyNumberFormat="1" applyBorder="1"/>
    <xf numFmtId="0" fontId="0" fillId="0" borderId="15" xfId="0" applyBorder="1"/>
    <xf numFmtId="166" fontId="0" fillId="0" borderId="15" xfId="0" applyNumberFormat="1" applyBorder="1"/>
    <xf numFmtId="1" fontId="0" fillId="0" borderId="15" xfId="0" applyNumberFormat="1" applyBorder="1"/>
    <xf numFmtId="2" fontId="0" fillId="0" borderId="15" xfId="0" applyNumberFormat="1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166" fontId="0" fillId="0" borderId="20" xfId="0" applyNumberFormat="1" applyBorder="1"/>
    <xf numFmtId="1" fontId="0" fillId="0" borderId="20" xfId="0" applyNumberFormat="1" applyBorder="1"/>
    <xf numFmtId="2" fontId="0" fillId="0" borderId="20" xfId="0" applyNumberFormat="1" applyBorder="1"/>
    <xf numFmtId="0" fontId="0" fillId="0" borderId="21" xfId="0" applyBorder="1"/>
    <xf numFmtId="167" fontId="0" fillId="0" borderId="0" xfId="0" applyNumberFormat="1"/>
    <xf numFmtId="2" fontId="0" fillId="0" borderId="4" xfId="0" applyNumberFormat="1" applyBorder="1"/>
    <xf numFmtId="2" fontId="0" fillId="0" borderId="9" xfId="0" applyNumberFormat="1" applyBorder="1"/>
    <xf numFmtId="1" fontId="0" fillId="0" borderId="4" xfId="0" applyNumberFormat="1" applyBorder="1"/>
    <xf numFmtId="1" fontId="0" fillId="0" borderId="9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67" fontId="0" fillId="0" borderId="11" xfId="0" applyNumberFormat="1" applyBorder="1"/>
    <xf numFmtId="167" fontId="0" fillId="0" borderId="11" xfId="4" applyNumberFormat="1" applyFont="1" applyBorder="1"/>
    <xf numFmtId="1" fontId="0" fillId="0" borderId="2" xfId="0" applyNumberFormat="1" applyBorder="1"/>
    <xf numFmtId="166" fontId="0" fillId="0" borderId="1" xfId="0" applyNumberFormat="1" applyBorder="1"/>
    <xf numFmtId="0" fontId="2" fillId="0" borderId="14" xfId="0" applyFont="1" applyBorder="1"/>
    <xf numFmtId="0" fontId="2" fillId="0" borderId="17" xfId="0" applyFont="1" applyBorder="1"/>
    <xf numFmtId="0" fontId="2" fillId="0" borderId="19" xfId="0" applyFont="1" applyBorder="1"/>
    <xf numFmtId="0" fontId="0" fillId="0" borderId="3" xfId="0" applyBorder="1"/>
    <xf numFmtId="0" fontId="0" fillId="0" borderId="6" xfId="0" applyBorder="1"/>
    <xf numFmtId="166" fontId="0" fillId="0" borderId="4" xfId="0" applyNumberFormat="1" applyBorder="1"/>
    <xf numFmtId="0" fontId="0" fillId="2" borderId="6" xfId="0" applyFill="1" applyBorder="1"/>
    <xf numFmtId="1" fontId="0" fillId="2" borderId="0" xfId="0" applyNumberFormat="1" applyFill="1"/>
    <xf numFmtId="2" fontId="0" fillId="2" borderId="0" xfId="0" applyNumberFormat="1" applyFill="1"/>
    <xf numFmtId="166" fontId="0" fillId="0" borderId="9" xfId="0" applyNumberFormat="1" applyBorder="1"/>
    <xf numFmtId="9" fontId="0" fillId="0" borderId="0" xfId="1" applyFont="1"/>
    <xf numFmtId="0" fontId="6" fillId="0" borderId="0" xfId="0" applyFont="1" applyFill="1"/>
    <xf numFmtId="44" fontId="6" fillId="0" borderId="0" xfId="4" applyFont="1" applyFill="1"/>
    <xf numFmtId="167" fontId="6" fillId="0" borderId="0" xfId="0" applyNumberFormat="1" applyFont="1" applyFill="1"/>
    <xf numFmtId="1" fontId="6" fillId="0" borderId="0" xfId="0" applyNumberFormat="1" applyFont="1" applyFill="1"/>
    <xf numFmtId="2" fontId="6" fillId="0" borderId="0" xfId="0" applyNumberFormat="1" applyFont="1" applyFill="1"/>
    <xf numFmtId="0" fontId="6" fillId="0" borderId="0" xfId="0" applyFont="1" applyFill="1" applyBorder="1"/>
    <xf numFmtId="44" fontId="6" fillId="0" borderId="0" xfId="4" applyFont="1" applyFill="1" applyBorder="1"/>
    <xf numFmtId="167" fontId="6" fillId="0" borderId="0" xfId="0" applyNumberFormat="1" applyFont="1" applyFill="1" applyBorder="1"/>
    <xf numFmtId="1" fontId="6" fillId="0" borderId="0" xfId="0" applyNumberFormat="1" applyFont="1" applyFill="1" applyBorder="1"/>
    <xf numFmtId="2" fontId="6" fillId="0" borderId="0" xfId="0" applyNumberFormat="1" applyFont="1" applyFill="1" applyBorder="1"/>
    <xf numFmtId="168" fontId="6" fillId="0" borderId="0" xfId="0" applyNumberFormat="1" applyFont="1" applyFill="1" applyBorder="1"/>
    <xf numFmtId="9" fontId="6" fillId="0" borderId="0" xfId="1" applyFont="1" applyFill="1" applyBorder="1"/>
  </cellXfs>
  <cellStyles count="5">
    <cellStyle name="Moneda" xfId="4" builtinId="4"/>
    <cellStyle name="Normal" xfId="0" builtinId="0"/>
    <cellStyle name="Normal 2" xfId="2" xr:uid="{72F36FBD-A881-4E35-9DF3-B81D96E16ED2}"/>
    <cellStyle name="Normal 3" xfId="3" xr:uid="{3D9064BC-D4CA-420C-9449-99D43971259E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icia%20Mun&#237;n\Documents\Tesis\Con%20restricciones_7_SI\Ru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LOGIT/LOGIT_RutasMarEu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/>
      <sheetData sheetId="1"/>
      <sheetData sheetId="2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_Procesada"/>
      <sheetName val="Info"/>
      <sheetName val="Nomenclatura"/>
      <sheetName val="Tabla_v3"/>
      <sheetName val="Tabla_v2"/>
      <sheetName val="OD flujo mercancia carretera"/>
      <sheetName val="OD flujo mercancia multimodal"/>
      <sheetName val="TABLA"/>
      <sheetName val="Coste Carretera"/>
      <sheetName val="Coste multimodal"/>
      <sheetName val="Coste entre puertos"/>
      <sheetName val="Tiempos intermodal (horas)"/>
      <sheetName val="Tiempos carretera (horas)"/>
    </sheetNames>
    <sheetDataSet>
      <sheetData sheetId="0"/>
      <sheetData sheetId="1"/>
      <sheetData sheetId="2"/>
      <sheetData sheetId="3">
        <row r="93">
          <cell r="M93">
            <v>0.22139422494738789</v>
          </cell>
        </row>
        <row r="558">
          <cell r="M558">
            <v>0.55355994524753116</v>
          </cell>
        </row>
        <row r="623">
          <cell r="M623">
            <v>0.18639111286910831</v>
          </cell>
        </row>
        <row r="855">
          <cell r="M855">
            <v>0.16293199835089303</v>
          </cell>
        </row>
        <row r="906">
          <cell r="M906">
            <v>0.12708554614345152</v>
          </cell>
        </row>
      </sheetData>
      <sheetData sheetId="4"/>
      <sheetData sheetId="5">
        <row r="45">
          <cell r="C45" t="str">
            <v>BE21</v>
          </cell>
        </row>
      </sheetData>
      <sheetData sheetId="6">
        <row r="45">
          <cell r="C45" t="str">
            <v>BE21</v>
          </cell>
        </row>
      </sheetData>
      <sheetData sheetId="7"/>
      <sheetData sheetId="8">
        <row r="46">
          <cell r="C46" t="str">
            <v>BE21</v>
          </cell>
        </row>
      </sheetData>
      <sheetData sheetId="9">
        <row r="46">
          <cell r="C46" t="str">
            <v>BE21</v>
          </cell>
        </row>
      </sheetData>
      <sheetData sheetId="10"/>
      <sheetData sheetId="11">
        <row r="45">
          <cell r="C45" t="str">
            <v>Origen</v>
          </cell>
        </row>
      </sheetData>
      <sheetData sheetId="12">
        <row r="45">
          <cell r="C45" t="str">
            <v>Origen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4463-3E2F-4E73-8045-61C64EA77865}">
  <dimension ref="B3:AD150"/>
  <sheetViews>
    <sheetView topLeftCell="A109" workbookViewId="0">
      <selection activeCell="A4" sqref="A4:XFD150"/>
    </sheetView>
  </sheetViews>
  <sheetFormatPr baseColWidth="10" defaultRowHeight="15" x14ac:dyDescent="0.25"/>
  <cols>
    <col min="6" max="7" width="5" customWidth="1"/>
    <col min="8" max="8" width="14.7109375" bestFit="1" customWidth="1"/>
    <col min="9" max="10" width="14.7109375" customWidth="1"/>
    <col min="11" max="13" width="11.7109375" bestFit="1" customWidth="1"/>
    <col min="14" max="14" width="13.7109375" bestFit="1" customWidth="1"/>
    <col min="15" max="15" width="12.5703125" bestFit="1" customWidth="1"/>
    <col min="16" max="17" width="12.42578125" customWidth="1"/>
    <col min="18" max="18" width="11.140625" customWidth="1"/>
    <col min="19" max="19" width="13.85546875" bestFit="1" customWidth="1"/>
    <col min="20" max="20" width="12.28515625" bestFit="1" customWidth="1"/>
    <col min="21" max="21" width="13.85546875" bestFit="1" customWidth="1"/>
    <col min="22" max="22" width="27.42578125" bestFit="1" customWidth="1"/>
  </cols>
  <sheetData>
    <row r="3" spans="2:15" x14ac:dyDescent="0.25">
      <c r="B3" t="s">
        <v>134</v>
      </c>
      <c r="C3" t="s">
        <v>135</v>
      </c>
      <c r="D3" t="s">
        <v>131</v>
      </c>
      <c r="E3" t="s">
        <v>136</v>
      </c>
      <c r="F3" t="s">
        <v>39</v>
      </c>
      <c r="G3" t="s">
        <v>40</v>
      </c>
      <c r="H3" t="s">
        <v>137</v>
      </c>
      <c r="I3" t="s">
        <v>133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</row>
    <row r="4" spans="2:15" s="76" customFormat="1" x14ac:dyDescent="0.25">
      <c r="B4" s="76" t="str">
        <f>VLOOKUP(F4,[1]NUTS_Europa!$A$2:$C$81,2,FALSE)</f>
        <v>BE21</v>
      </c>
      <c r="C4" s="76">
        <f>VLOOKUP(F4,[1]NUTS_Europa!$A$2:$C$81,3,FALSE)</f>
        <v>253</v>
      </c>
      <c r="D4" s="76" t="str">
        <f>VLOOKUP(G4,[1]NUTS_Europa!$A$2:$C$81,2,FALSE)</f>
        <v>BE25</v>
      </c>
      <c r="E4" s="76">
        <f>VLOOKUP(G4,[1]NUTS_Europa!$A$2:$C$81,3,FALSE)</f>
        <v>235</v>
      </c>
      <c r="F4" s="76">
        <v>1</v>
      </c>
      <c r="G4" s="76">
        <v>3</v>
      </c>
      <c r="H4" s="77">
        <v>286657.42126054224</v>
      </c>
      <c r="I4" s="77">
        <v>632569.18926560797</v>
      </c>
      <c r="J4" s="77"/>
      <c r="K4" s="76">
        <v>135416.16142478216</v>
      </c>
      <c r="L4" s="76">
        <v>8.9857142857142858</v>
      </c>
      <c r="M4" s="76">
        <v>12.074819621561353</v>
      </c>
      <c r="N4" s="76">
        <v>8.4795381465049093</v>
      </c>
      <c r="O4" s="76">
        <v>1522.6567936191168</v>
      </c>
    </row>
    <row r="5" spans="2:15" s="76" customFormat="1" x14ac:dyDescent="0.25">
      <c r="B5" s="76" t="str">
        <f>VLOOKUP(F5,[1]NUTS_Europa!$A$2:$C$81,2,FALSE)</f>
        <v>BE21</v>
      </c>
      <c r="C5" s="76">
        <f>VLOOKUP(F5,[1]NUTS_Europa!$A$2:$C$81,3,FALSE)</f>
        <v>253</v>
      </c>
      <c r="D5" s="76" t="str">
        <f>VLOOKUP(G5,[1]NUTS_Europa!$A$2:$C$81,2,FALSE)</f>
        <v>NL32</v>
      </c>
      <c r="E5" s="76">
        <f>VLOOKUP(G5,[1]NUTS_Europa!$A$2:$C$81,3,FALSE)</f>
        <v>218</v>
      </c>
      <c r="F5" s="76">
        <v>1</v>
      </c>
      <c r="G5" s="76">
        <v>32</v>
      </c>
      <c r="H5" s="76">
        <v>461199.654838207</v>
      </c>
      <c r="I5" s="76">
        <v>808678.53355081112</v>
      </c>
      <c r="K5" s="76">
        <v>198656.28734660565</v>
      </c>
      <c r="L5" s="76">
        <v>12.785</v>
      </c>
      <c r="M5" s="76">
        <v>11.933003155022533</v>
      </c>
      <c r="N5" s="76">
        <v>26.943762908255376</v>
      </c>
      <c r="O5" s="76">
        <v>5123.2789092745306</v>
      </c>
    </row>
    <row r="6" spans="2:15" s="76" customFormat="1" x14ac:dyDescent="0.25">
      <c r="B6" s="76" t="str">
        <f>VLOOKUP(F6,[1]NUTS_Europa!$A$2:$C$81,2,FALSE)</f>
        <v>BE23</v>
      </c>
      <c r="C6" s="76">
        <f>VLOOKUP(F6,[1]NUTS_Europa!$A$2:$C$81,3,FALSE)</f>
        <v>253</v>
      </c>
      <c r="D6" s="76" t="str">
        <f>VLOOKUP(G6,[1]NUTS_Europa!$A$2:$C$81,2,FALSE)</f>
        <v>BE25</v>
      </c>
      <c r="E6" s="76">
        <f>VLOOKUP(G6,[1]NUTS_Europa!$A$2:$C$81,3,FALSE)</f>
        <v>235</v>
      </c>
      <c r="F6" s="76">
        <v>2</v>
      </c>
      <c r="G6" s="76">
        <v>3</v>
      </c>
      <c r="H6" s="76">
        <v>354631.86584128684</v>
      </c>
      <c r="I6" s="76">
        <v>632569.18926560797</v>
      </c>
      <c r="K6" s="76">
        <v>135416.16142478216</v>
      </c>
      <c r="L6" s="76">
        <v>8.9857142857142858</v>
      </c>
      <c r="M6" s="76">
        <v>12.074819621561353</v>
      </c>
      <c r="N6" s="76">
        <v>8.4795381465049093</v>
      </c>
      <c r="O6" s="76">
        <v>1522.6567936191168</v>
      </c>
    </row>
    <row r="7" spans="2:15" s="76" customFormat="1" x14ac:dyDescent="0.25">
      <c r="B7" s="76" t="str">
        <f>VLOOKUP(F7,[1]NUTS_Europa!$A$2:$C$81,2,FALSE)</f>
        <v>BE23</v>
      </c>
      <c r="C7" s="76">
        <f>VLOOKUP(F7,[1]NUTS_Europa!$A$2:$C$81,3,FALSE)</f>
        <v>253</v>
      </c>
      <c r="D7" s="76" t="str">
        <f>VLOOKUP(G7,[1]NUTS_Europa!$A$2:$C$81,2,FALSE)</f>
        <v>ES13</v>
      </c>
      <c r="E7" s="76">
        <f>VLOOKUP(G7,[1]NUTS_Europa!$A$2:$C$81,3,FALSE)</f>
        <v>163</v>
      </c>
      <c r="F7" s="76">
        <v>2</v>
      </c>
      <c r="G7" s="76">
        <v>13</v>
      </c>
      <c r="H7" s="76">
        <v>949031.24189557706</v>
      </c>
      <c r="I7" s="76">
        <v>1064860.6912041982</v>
      </c>
      <c r="K7" s="76">
        <v>117923.68175590989</v>
      </c>
      <c r="L7" s="76">
        <v>55.422142857142852</v>
      </c>
      <c r="M7" s="76">
        <v>11.687132601690003</v>
      </c>
      <c r="N7" s="76">
        <v>19.79482197960683</v>
      </c>
      <c r="O7" s="76">
        <v>3085.040429338103</v>
      </c>
    </row>
    <row r="8" spans="2:15" s="76" customFormat="1" x14ac:dyDescent="0.25">
      <c r="B8" s="76" t="str">
        <f>VLOOKUP(F8,[1]NUTS_Europa!$A$2:$C$81,2,FALSE)</f>
        <v>DE50</v>
      </c>
      <c r="C8" s="76">
        <f>VLOOKUP(F8,[1]NUTS_Europa!$A$2:$C$81,3,FALSE)</f>
        <v>245</v>
      </c>
      <c r="D8" s="76" t="str">
        <f>VLOOKUP(G8,[1]NUTS_Europa!$A$2:$C$81,2,FALSE)</f>
        <v>ES12</v>
      </c>
      <c r="E8" s="76">
        <f>VLOOKUP(G8,[1]NUTS_Europa!$A$2:$C$81,3,FALSE)</f>
        <v>285</v>
      </c>
      <c r="F8" s="76">
        <v>4</v>
      </c>
      <c r="G8" s="76">
        <v>12</v>
      </c>
      <c r="H8" s="76">
        <v>55467.590571060922</v>
      </c>
      <c r="I8" s="76">
        <v>4795630.8899827423</v>
      </c>
      <c r="K8" s="76">
        <v>114346.85142443764</v>
      </c>
      <c r="L8" s="76">
        <v>71.852857142857147</v>
      </c>
      <c r="M8" s="76">
        <v>6.7592913353908743</v>
      </c>
      <c r="N8" s="76">
        <v>8.6798247044985843E-2</v>
      </c>
      <c r="O8" s="76">
        <v>15.60948133635801</v>
      </c>
    </row>
    <row r="9" spans="2:15" s="76" customFormat="1" x14ac:dyDescent="0.25">
      <c r="B9" s="76" t="str">
        <f>VLOOKUP(F9,[1]NUTS_Europa!$A$2:$C$81,2,FALSE)</f>
        <v>DE50</v>
      </c>
      <c r="C9" s="76">
        <f>VLOOKUP(F9,[1]NUTS_Europa!$A$2:$C$81,3,FALSE)</f>
        <v>245</v>
      </c>
      <c r="D9" s="76" t="str">
        <f>VLOOKUP(G9,[1]NUTS_Europa!$A$2:$C$81,2,FALSE)</f>
        <v>FRD1</v>
      </c>
      <c r="E9" s="76">
        <f>VLOOKUP(G9,[1]NUTS_Europa!$A$2:$C$81,3,FALSE)</f>
        <v>268</v>
      </c>
      <c r="F9" s="76">
        <v>4</v>
      </c>
      <c r="G9" s="76">
        <v>19</v>
      </c>
      <c r="H9" s="76">
        <v>355469.58233453403</v>
      </c>
      <c r="I9" s="76">
        <v>5313014.9421429364</v>
      </c>
      <c r="K9" s="76">
        <v>163171.48832599766</v>
      </c>
      <c r="L9" s="76">
        <v>41.638571428571431</v>
      </c>
      <c r="M9" s="76">
        <v>7.9905244751077564</v>
      </c>
      <c r="N9" s="76">
        <v>0.57391679890327807</v>
      </c>
      <c r="O9" s="76">
        <v>89.445438282647586</v>
      </c>
    </row>
    <row r="10" spans="2:15" s="76" customFormat="1" x14ac:dyDescent="0.25">
      <c r="B10" s="76" t="str">
        <f>VLOOKUP(F10,[1]NUTS_Europa!$A$2:$C$81,2,FALSE)</f>
        <v>DE60</v>
      </c>
      <c r="C10" s="76">
        <f>VLOOKUP(F10,[1]NUTS_Europa!$A$2:$C$81,3,FALSE)</f>
        <v>1069</v>
      </c>
      <c r="D10" s="76" t="str">
        <f>VLOOKUP(G10,[1]NUTS_Europa!$A$2:$C$81,2,FALSE)</f>
        <v>FRD2</v>
      </c>
      <c r="E10" s="76">
        <f>VLOOKUP(G10,[1]NUTS_Europa!$A$2:$C$81,3,FALSE)</f>
        <v>269</v>
      </c>
      <c r="F10" s="76">
        <v>5</v>
      </c>
      <c r="G10" s="76">
        <v>20</v>
      </c>
      <c r="H10" s="76">
        <v>1883866.1663929613</v>
      </c>
      <c r="I10" s="76">
        <v>970145.01381723071</v>
      </c>
      <c r="K10" s="76">
        <v>145277.79316174539</v>
      </c>
      <c r="L10" s="76">
        <v>37.217857142857142</v>
      </c>
      <c r="M10" s="76">
        <v>12.607386657752196</v>
      </c>
      <c r="N10" s="76">
        <v>76.346486924053039</v>
      </c>
      <c r="O10" s="76">
        <v>13729.874776386405</v>
      </c>
    </row>
    <row r="11" spans="2:15" s="76" customFormat="1" x14ac:dyDescent="0.25">
      <c r="B11" s="76" t="str">
        <f>VLOOKUP(F11,[1]NUTS_Europa!$A$2:$C$81,2,FALSE)</f>
        <v>DE60</v>
      </c>
      <c r="C11" s="76">
        <f>VLOOKUP(F11,[1]NUTS_Europa!$A$2:$C$81,3,FALSE)</f>
        <v>1069</v>
      </c>
      <c r="D11" s="76" t="str">
        <f>VLOOKUP(G11,[1]NUTS_Europa!$A$2:$C$81,2,FALSE)</f>
        <v>PT18</v>
      </c>
      <c r="E11" s="76">
        <f>VLOOKUP(G11,[1]NUTS_Europa!$A$2:$C$81,3,FALSE)</f>
        <v>61</v>
      </c>
      <c r="F11" s="76">
        <v>5</v>
      </c>
      <c r="G11" s="76">
        <v>80</v>
      </c>
      <c r="H11" s="76">
        <v>11581775.422901699</v>
      </c>
      <c r="I11" s="76">
        <v>1543683.3374273521</v>
      </c>
      <c r="K11" s="76">
        <v>118487.95435333898</v>
      </c>
      <c r="L11" s="76">
        <v>119.48428571428572</v>
      </c>
      <c r="M11" s="76">
        <v>9.4698432358261133</v>
      </c>
      <c r="N11" s="76">
        <v>81.181340591868462</v>
      </c>
      <c r="O11" s="76">
        <v>18537.263556443555</v>
      </c>
    </row>
    <row r="12" spans="2:15" s="76" customFormat="1" x14ac:dyDescent="0.25">
      <c r="B12" s="76" t="str">
        <f>VLOOKUP(F12,[1]NUTS_Europa!$A$2:$C$81,2,FALSE)</f>
        <v>DE80</v>
      </c>
      <c r="C12" s="76">
        <f>VLOOKUP(F12,[1]NUTS_Europa!$A$2:$C$81,3,FALSE)</f>
        <v>1069</v>
      </c>
      <c r="D12" s="76" t="str">
        <f>VLOOKUP(G12,[1]NUTS_Europa!$A$2:$C$81,2,FALSE)</f>
        <v>ES11</v>
      </c>
      <c r="E12" s="76">
        <f>VLOOKUP(G12,[1]NUTS_Europa!$A$2:$C$81,3,FALSE)</f>
        <v>288</v>
      </c>
      <c r="F12" s="76">
        <v>6</v>
      </c>
      <c r="G12" s="76">
        <v>11</v>
      </c>
      <c r="H12" s="76">
        <v>517213.26083615399</v>
      </c>
      <c r="I12" s="76">
        <v>1310705.1039421991</v>
      </c>
      <c r="K12" s="76">
        <v>142841.86171918266</v>
      </c>
      <c r="L12" s="76">
        <v>82.767857142857139</v>
      </c>
      <c r="M12" s="76">
        <v>10.084834655207214</v>
      </c>
      <c r="N12" s="76">
        <v>4.5189062009214327</v>
      </c>
      <c r="O12" s="76">
        <v>960.4820809003329</v>
      </c>
    </row>
    <row r="13" spans="2:15" s="76" customFormat="1" x14ac:dyDescent="0.25">
      <c r="B13" s="76" t="str">
        <f>VLOOKUP(F13,[1]NUTS_Europa!$A$2:$C$81,2,FALSE)</f>
        <v>DE80</v>
      </c>
      <c r="C13" s="76">
        <f>VLOOKUP(F13,[1]NUTS_Europa!$A$2:$C$81,3,FALSE)</f>
        <v>1069</v>
      </c>
      <c r="D13" s="76" t="str">
        <f>VLOOKUP(G13,[1]NUTS_Europa!$A$2:$C$81,2,FALSE)</f>
        <v>ES21</v>
      </c>
      <c r="E13" s="76">
        <f>VLOOKUP(G13,[1]NUTS_Europa!$A$2:$C$81,3,FALSE)</f>
        <v>163</v>
      </c>
      <c r="F13" s="76">
        <v>6</v>
      </c>
      <c r="G13" s="76">
        <v>14</v>
      </c>
      <c r="H13" s="76">
        <v>1465991.5970483928</v>
      </c>
      <c r="I13" s="76">
        <v>1195681.6856625974</v>
      </c>
      <c r="K13" s="76">
        <v>154854.30087154222</v>
      </c>
      <c r="L13" s="76">
        <v>74.86071428571428</v>
      </c>
      <c r="M13" s="76">
        <v>9.1846854683835808</v>
      </c>
      <c r="N13" s="76">
        <v>17.154708446701989</v>
      </c>
      <c r="O13" s="76">
        <v>3085.040429338103</v>
      </c>
    </row>
    <row r="14" spans="2:15" s="76" customFormat="1" x14ac:dyDescent="0.25">
      <c r="B14" s="76" t="str">
        <f>VLOOKUP(F14,[1]NUTS_Europa!$A$2:$C$81,2,FALSE)</f>
        <v>DE93</v>
      </c>
      <c r="C14" s="76">
        <f>VLOOKUP(F14,[1]NUTS_Europa!$A$2:$C$81,3,FALSE)</f>
        <v>1069</v>
      </c>
      <c r="D14" s="76" t="str">
        <f>VLOOKUP(G14,[1]NUTS_Europa!$A$2:$C$81,2,FALSE)</f>
        <v>NL12</v>
      </c>
      <c r="E14" s="76">
        <f>VLOOKUP(G14,[1]NUTS_Europa!$A$2:$C$81,3,FALSE)</f>
        <v>218</v>
      </c>
      <c r="F14" s="76">
        <v>7</v>
      </c>
      <c r="G14" s="76">
        <v>31</v>
      </c>
      <c r="H14" s="76">
        <v>1368419.0060730875</v>
      </c>
      <c r="I14" s="76">
        <v>828071.9194497572</v>
      </c>
      <c r="K14" s="76">
        <v>163171.48832599766</v>
      </c>
      <c r="L14" s="76">
        <v>19.283571428571431</v>
      </c>
      <c r="M14" s="76">
        <v>9.4305560217161108</v>
      </c>
      <c r="N14" s="76">
        <v>22.559367211981254</v>
      </c>
      <c r="O14" s="76">
        <v>5123.2789092745306</v>
      </c>
    </row>
    <row r="15" spans="2:15" s="76" customFormat="1" x14ac:dyDescent="0.25">
      <c r="B15" s="76" t="str">
        <f>VLOOKUP(F15,[1]NUTS_Europa!$A$2:$C$81,2,FALSE)</f>
        <v>DE93</v>
      </c>
      <c r="C15" s="76">
        <f>VLOOKUP(F15,[1]NUTS_Europa!$A$2:$C$81,3,FALSE)</f>
        <v>1069</v>
      </c>
      <c r="D15" s="76" t="str">
        <f>VLOOKUP(G15,[1]NUTS_Europa!$A$2:$C$81,2,FALSE)</f>
        <v>NL32</v>
      </c>
      <c r="E15" s="76">
        <f>VLOOKUP(G15,[1]NUTS_Europa!$A$2:$C$81,3,FALSE)</f>
        <v>218</v>
      </c>
      <c r="F15" s="76">
        <v>7</v>
      </c>
      <c r="G15" s="76">
        <v>32</v>
      </c>
      <c r="H15" s="76">
        <v>576666.97110591049</v>
      </c>
      <c r="I15" s="76">
        <v>828071.9194497572</v>
      </c>
      <c r="K15" s="76">
        <v>199058.85825050285</v>
      </c>
      <c r="L15" s="76">
        <v>19.283571428571431</v>
      </c>
      <c r="M15" s="76">
        <v>9.4305560217161108</v>
      </c>
      <c r="N15" s="76">
        <v>22.559367211981254</v>
      </c>
      <c r="O15" s="76">
        <v>5123.2789092745306</v>
      </c>
    </row>
    <row r="16" spans="2:15" s="76" customFormat="1" x14ac:dyDescent="0.25">
      <c r="B16" s="76" t="str">
        <f>VLOOKUP(F16,[1]NUTS_Europa!$A$2:$C$81,2,FALSE)</f>
        <v>DE94</v>
      </c>
      <c r="C16" s="76">
        <f>VLOOKUP(F16,[1]NUTS_Europa!$A$2:$C$81,3,FALSE)</f>
        <v>245</v>
      </c>
      <c r="D16" s="76" t="str">
        <f>VLOOKUP(G16,[1]NUTS_Europa!$A$2:$C$81,2,FALSE)</f>
        <v>ES12</v>
      </c>
      <c r="E16" s="76">
        <f>VLOOKUP(G16,[1]NUTS_Europa!$A$2:$C$81,3,FALSE)</f>
        <v>285</v>
      </c>
      <c r="F16" s="76">
        <v>8</v>
      </c>
      <c r="G16" s="76">
        <v>12</v>
      </c>
      <c r="H16" s="76">
        <v>55750.425007186932</v>
      </c>
      <c r="I16" s="76">
        <v>4795630.8899827423</v>
      </c>
      <c r="K16" s="76">
        <v>117061.71481038857</v>
      </c>
      <c r="L16" s="76">
        <v>71.852857142857147</v>
      </c>
      <c r="M16" s="76">
        <v>6.7592913353908743</v>
      </c>
      <c r="N16" s="76">
        <v>8.6798247044985843E-2</v>
      </c>
      <c r="O16" s="76">
        <v>15.60948133635801</v>
      </c>
    </row>
    <row r="17" spans="2:15" s="76" customFormat="1" x14ac:dyDescent="0.25">
      <c r="B17" s="76" t="str">
        <f>VLOOKUP(F17,[1]NUTS_Europa!$A$2:$C$81,2,FALSE)</f>
        <v>DE94</v>
      </c>
      <c r="C17" s="76">
        <f>VLOOKUP(F17,[1]NUTS_Europa!$A$2:$C$81,3,FALSE)</f>
        <v>245</v>
      </c>
      <c r="D17" s="76" t="str">
        <f>VLOOKUP(G17,[1]NUTS_Europa!$A$2:$C$81,2,FALSE)</f>
        <v>FRD1</v>
      </c>
      <c r="E17" s="76">
        <f>VLOOKUP(G17,[1]NUTS_Europa!$A$2:$C$81,3,FALSE)</f>
        <v>268</v>
      </c>
      <c r="F17" s="76">
        <v>8</v>
      </c>
      <c r="G17" s="76">
        <v>19</v>
      </c>
      <c r="H17" s="76">
        <v>357090.28000895266</v>
      </c>
      <c r="I17" s="76">
        <v>5313014.9421429364</v>
      </c>
      <c r="K17" s="76">
        <v>113696.3812050019</v>
      </c>
      <c r="L17" s="76">
        <v>41.638571428571431</v>
      </c>
      <c r="M17" s="76">
        <v>7.9905244751077564</v>
      </c>
      <c r="N17" s="76">
        <v>0.57391679890327807</v>
      </c>
      <c r="O17" s="76">
        <v>89.445438282647586</v>
      </c>
    </row>
    <row r="18" spans="2:15" s="76" customFormat="1" x14ac:dyDescent="0.25">
      <c r="B18" s="76" t="str">
        <f>VLOOKUP(F18,[1]NUTS_Europa!$A$2:$C$81,2,FALSE)</f>
        <v>DEA1</v>
      </c>
      <c r="C18" s="76">
        <f>VLOOKUP(F18,[1]NUTS_Europa!$A$2:$C$81,3,FALSE)</f>
        <v>253</v>
      </c>
      <c r="D18" s="76" t="str">
        <f>VLOOKUP(G18,[1]NUTS_Europa!$A$2:$C$81,2,FALSE)</f>
        <v>ES11</v>
      </c>
      <c r="E18" s="76">
        <f>VLOOKUP(G18,[1]NUTS_Europa!$A$2:$C$81,3,FALSE)</f>
        <v>288</v>
      </c>
      <c r="F18" s="76">
        <v>9</v>
      </c>
      <c r="G18" s="76">
        <v>11</v>
      </c>
      <c r="H18" s="76">
        <v>538562.41891311097</v>
      </c>
      <c r="I18" s="76">
        <v>1188360.3292991736</v>
      </c>
      <c r="K18" s="76">
        <v>142392.8717171422</v>
      </c>
      <c r="L18" s="76">
        <v>63.36785714285714</v>
      </c>
      <c r="M18" s="76">
        <v>12.587281788513636</v>
      </c>
      <c r="N18" s="76">
        <v>5.3408668195839333</v>
      </c>
      <c r="O18" s="76">
        <v>960.4820809003329</v>
      </c>
    </row>
    <row r="19" spans="2:15" s="76" customFormat="1" x14ac:dyDescent="0.25">
      <c r="B19" s="76" t="str">
        <f>VLOOKUP(F19,[1]NUTS_Europa!$A$2:$C$81,2,FALSE)</f>
        <v>DEA1</v>
      </c>
      <c r="C19" s="76">
        <f>VLOOKUP(F19,[1]NUTS_Europa!$A$2:$C$81,3,FALSE)</f>
        <v>253</v>
      </c>
      <c r="D19" s="76" t="str">
        <f>VLOOKUP(G19,[1]NUTS_Europa!$A$2:$C$81,2,FALSE)</f>
        <v>FRH0</v>
      </c>
      <c r="E19" s="76">
        <f>VLOOKUP(G19,[1]NUTS_Europa!$A$2:$C$81,3,FALSE)</f>
        <v>283</v>
      </c>
      <c r="F19" s="76">
        <v>9</v>
      </c>
      <c r="G19" s="76">
        <v>23</v>
      </c>
      <c r="H19" s="76">
        <v>1389338.5620231957</v>
      </c>
      <c r="I19" s="76">
        <v>985331.36618071084</v>
      </c>
      <c r="K19" s="76">
        <v>144185.26102544673</v>
      </c>
      <c r="L19" s="76">
        <v>49.328571428571429</v>
      </c>
      <c r="M19" s="76">
        <v>12.811768521434095</v>
      </c>
      <c r="N19" s="76">
        <v>11.226911756455761</v>
      </c>
      <c r="O19" s="76">
        <v>1954.024298469388</v>
      </c>
    </row>
    <row r="20" spans="2:15" s="76" customFormat="1" x14ac:dyDescent="0.25">
      <c r="B20" s="76" t="str">
        <f>VLOOKUP(F20,[1]NUTS_Europa!$A$2:$C$81,2,FALSE)</f>
        <v>DEF0</v>
      </c>
      <c r="C20" s="76">
        <f>VLOOKUP(F20,[1]NUTS_Europa!$A$2:$C$81,3,FALSE)</f>
        <v>1069</v>
      </c>
      <c r="D20" s="76" t="str">
        <f>VLOOKUP(G20,[1]NUTS_Europa!$A$2:$C$81,2,FALSE)</f>
        <v>ES13</v>
      </c>
      <c r="E20" s="76">
        <f>VLOOKUP(G20,[1]NUTS_Europa!$A$2:$C$81,3,FALSE)</f>
        <v>163</v>
      </c>
      <c r="F20" s="76">
        <v>10</v>
      </c>
      <c r="G20" s="76">
        <v>13</v>
      </c>
      <c r="H20" s="76">
        <v>1079963.8816697879</v>
      </c>
      <c r="I20" s="76">
        <v>1195681.6856625974</v>
      </c>
      <c r="K20" s="76">
        <v>163171.48832599766</v>
      </c>
      <c r="L20" s="76">
        <v>74.86071428571428</v>
      </c>
      <c r="M20" s="76">
        <v>9.1846854683835808</v>
      </c>
      <c r="N20" s="76">
        <v>17.154708446701989</v>
      </c>
      <c r="O20" s="76">
        <v>3085.040429338103</v>
      </c>
    </row>
    <row r="21" spans="2:15" s="76" customFormat="1" x14ac:dyDescent="0.25">
      <c r="B21" s="76" t="str">
        <f>VLOOKUP(F21,[1]NUTS_Europa!$A$2:$C$81,2,FALSE)</f>
        <v>DEF0</v>
      </c>
      <c r="C21" s="76">
        <f>VLOOKUP(F21,[1]NUTS_Europa!$A$2:$C$81,3,FALSE)</f>
        <v>1069</v>
      </c>
      <c r="D21" s="76" t="str">
        <f>VLOOKUP(G21,[1]NUTS_Europa!$A$2:$C$81,2,FALSE)</f>
        <v>ES21</v>
      </c>
      <c r="E21" s="76">
        <f>VLOOKUP(G21,[1]NUTS_Europa!$A$2:$C$81,3,FALSE)</f>
        <v>163</v>
      </c>
      <c r="F21" s="76">
        <v>10</v>
      </c>
      <c r="G21" s="76">
        <v>14</v>
      </c>
      <c r="H21" s="76">
        <v>898494.39951909042</v>
      </c>
      <c r="I21" s="76">
        <v>1195681.6856625974</v>
      </c>
      <c r="K21" s="76">
        <v>199058.85825050285</v>
      </c>
      <c r="L21" s="76">
        <v>74.86071428571428</v>
      </c>
      <c r="M21" s="76">
        <v>9.1846854683835808</v>
      </c>
      <c r="N21" s="76">
        <v>17.154708446701989</v>
      </c>
      <c r="O21" s="76">
        <v>3085.040429338103</v>
      </c>
    </row>
    <row r="22" spans="2:15" s="76" customFormat="1" x14ac:dyDescent="0.25">
      <c r="B22" s="76" t="str">
        <f>VLOOKUP(F22,[1]NUTS_Europa!$A$2:$C$81,2,FALSE)</f>
        <v>ES51</v>
      </c>
      <c r="C22" s="76">
        <f>VLOOKUP(F22,[1]NUTS_Europa!$A$2:$C$81,3,FALSE)</f>
        <v>1063</v>
      </c>
      <c r="D22" s="76" t="str">
        <f>VLOOKUP(G22,[1]NUTS_Europa!$A$2:$C$81,2,FALSE)</f>
        <v>ES52</v>
      </c>
      <c r="E22" s="76">
        <f>VLOOKUP(G22,[1]NUTS_Europa!$A$2:$C$81,3,FALSE)</f>
        <v>1064</v>
      </c>
      <c r="F22" s="76">
        <v>15</v>
      </c>
      <c r="G22" s="76">
        <v>16</v>
      </c>
      <c r="H22" s="76">
        <v>2946788.4388877219</v>
      </c>
      <c r="I22" s="76">
        <v>4543932.4058675738</v>
      </c>
      <c r="K22" s="76">
        <v>135416.16142478216</v>
      </c>
      <c r="L22" s="76">
        <v>11.571428571428571</v>
      </c>
      <c r="M22" s="76">
        <v>9.2564535715237604</v>
      </c>
      <c r="N22" s="76">
        <v>53.648893151465145</v>
      </c>
      <c r="O22" s="76">
        <v>11402.936516277287</v>
      </c>
    </row>
    <row r="23" spans="2:15" s="76" customFormat="1" x14ac:dyDescent="0.25">
      <c r="B23" s="76" t="str">
        <f>VLOOKUP(F23,[1]NUTS_Europa!$A$2:$C$81,2,FALSE)</f>
        <v>ES51</v>
      </c>
      <c r="C23" s="76">
        <f>VLOOKUP(F23,[1]NUTS_Europa!$A$2:$C$81,3,FALSE)</f>
        <v>1063</v>
      </c>
      <c r="D23" s="76" t="str">
        <f>VLOOKUP(G23,[1]NUTS_Europa!$A$2:$C$81,2,FALSE)</f>
        <v>PT18</v>
      </c>
      <c r="E23" s="76">
        <f>VLOOKUP(G23,[1]NUTS_Europa!$A$2:$C$81,3,FALSE)</f>
        <v>1065</v>
      </c>
      <c r="F23" s="76">
        <v>15</v>
      </c>
      <c r="G23" s="76">
        <v>40</v>
      </c>
      <c r="H23" s="76">
        <v>2854578.4493584367</v>
      </c>
      <c r="I23" s="76">
        <v>4955244.8372919746</v>
      </c>
      <c r="K23" s="76">
        <v>192445.71807502842</v>
      </c>
      <c r="L23" s="76">
        <v>57.071428571428569</v>
      </c>
      <c r="M23" s="76">
        <v>8.7545406186750583</v>
      </c>
      <c r="N23" s="76">
        <v>37.769131068088903</v>
      </c>
      <c r="O23" s="76">
        <v>8027.7332586984066</v>
      </c>
    </row>
    <row r="24" spans="2:15" s="76" customFormat="1" x14ac:dyDescent="0.25">
      <c r="B24" s="76" t="str">
        <f>VLOOKUP(F24,[1]NUTS_Europa!$A$2:$C$81,2,FALSE)</f>
        <v>ES52</v>
      </c>
      <c r="C24" s="76">
        <f>VLOOKUP(F24,[1]NUTS_Europa!$A$2:$C$81,3,FALSE)</f>
        <v>1064</v>
      </c>
      <c r="D24" s="76" t="str">
        <f>VLOOKUP(G24,[1]NUTS_Europa!$A$2:$C$81,2,FALSE)</f>
        <v>PT18</v>
      </c>
      <c r="E24" s="76">
        <f>VLOOKUP(G24,[1]NUTS_Europa!$A$2:$C$81,3,FALSE)</f>
        <v>1065</v>
      </c>
      <c r="F24" s="76">
        <v>16</v>
      </c>
      <c r="G24" s="76">
        <v>40</v>
      </c>
      <c r="H24" s="76">
        <v>2437577.6010879078</v>
      </c>
      <c r="I24" s="76">
        <v>921198.52336123935</v>
      </c>
      <c r="K24" s="76">
        <v>117923.68175590989</v>
      </c>
      <c r="L24" s="76">
        <v>41.152142857142856</v>
      </c>
      <c r="M24" s="76">
        <v>10.81181699192471</v>
      </c>
      <c r="N24" s="76">
        <v>37.769131068088903</v>
      </c>
      <c r="O24" s="76">
        <v>8027.7332586984066</v>
      </c>
    </row>
    <row r="25" spans="2:15" s="76" customFormat="1" x14ac:dyDescent="0.25">
      <c r="B25" s="76" t="str">
        <f>VLOOKUP(F25,[1]NUTS_Europa!$A$2:$C$81,2,FALSE)</f>
        <v>ES61</v>
      </c>
      <c r="C25" s="76">
        <f>VLOOKUP(F25,[1]NUTS_Europa!$A$2:$C$81,3,FALSE)</f>
        <v>61</v>
      </c>
      <c r="D25" s="76" t="str">
        <f>VLOOKUP(G25,[1]NUTS_Europa!$A$2:$C$81,2,FALSE)</f>
        <v>FRG0</v>
      </c>
      <c r="E25" s="76">
        <f>VLOOKUP(G25,[1]NUTS_Europa!$A$2:$C$81,3,FALSE)</f>
        <v>282</v>
      </c>
      <c r="F25" s="76">
        <v>17</v>
      </c>
      <c r="G25" s="76">
        <v>22</v>
      </c>
      <c r="H25" s="76">
        <v>461853.19441267959</v>
      </c>
      <c r="I25" s="76">
        <v>1133547.9512864375</v>
      </c>
      <c r="K25" s="76">
        <v>115262.59218235347</v>
      </c>
      <c r="L25" s="76">
        <v>75.131142857142862</v>
      </c>
      <c r="M25" s="76">
        <v>8.4586752101467564</v>
      </c>
      <c r="N25" s="76">
        <v>3.6849897794260169</v>
      </c>
      <c r="O25" s="76">
        <v>703.89534883720933</v>
      </c>
    </row>
    <row r="26" spans="2:15" s="76" customFormat="1" x14ac:dyDescent="0.25">
      <c r="B26" s="76" t="str">
        <f>VLOOKUP(F26,[1]NUTS_Europa!$A$2:$C$81,2,FALSE)</f>
        <v>ES61</v>
      </c>
      <c r="C26" s="76">
        <f>VLOOKUP(F26,[1]NUTS_Europa!$A$2:$C$81,3,FALSE)</f>
        <v>61</v>
      </c>
      <c r="D26" s="76" t="str">
        <f>VLOOKUP(G26,[1]NUTS_Europa!$A$2:$C$81,2,FALSE)</f>
        <v>FRH0</v>
      </c>
      <c r="E26" s="76">
        <f>VLOOKUP(G26,[1]NUTS_Europa!$A$2:$C$81,3,FALSE)</f>
        <v>283</v>
      </c>
      <c r="F26" s="76">
        <v>17</v>
      </c>
      <c r="G26" s="76">
        <v>23</v>
      </c>
      <c r="H26" s="76">
        <v>1444170.8012856515</v>
      </c>
      <c r="I26" s="76">
        <v>1107655.3859288881</v>
      </c>
      <c r="K26" s="76">
        <v>191087.21980936834</v>
      </c>
      <c r="L26" s="76">
        <v>73.28</v>
      </c>
      <c r="M26" s="76">
        <v>9.3777892858004819</v>
      </c>
      <c r="N26" s="76">
        <v>8.9187183759123076</v>
      </c>
      <c r="O26" s="76">
        <v>1954.024298469388</v>
      </c>
    </row>
    <row r="27" spans="2:15" s="76" customFormat="1" x14ac:dyDescent="0.25">
      <c r="B27" s="76" t="str">
        <f>VLOOKUP(F27,[1]NUTS_Europa!$A$2:$C$81,2,FALSE)</f>
        <v>ES62</v>
      </c>
      <c r="C27" s="76">
        <f>VLOOKUP(F27,[1]NUTS_Europa!$A$2:$C$81,3,FALSE)</f>
        <v>1064</v>
      </c>
      <c r="D27" s="76" t="str">
        <f>VLOOKUP(G27,[1]NUTS_Europa!$A$2:$C$81,2,FALSE)</f>
        <v>FRG0</v>
      </c>
      <c r="E27" s="76">
        <f>VLOOKUP(G27,[1]NUTS_Europa!$A$2:$C$81,3,FALSE)</f>
        <v>282</v>
      </c>
      <c r="F27" s="76">
        <v>18</v>
      </c>
      <c r="G27" s="76">
        <v>22</v>
      </c>
      <c r="H27" s="76">
        <v>442782.53587185929</v>
      </c>
      <c r="I27" s="76">
        <v>1295009.9280233628</v>
      </c>
      <c r="K27" s="76">
        <v>135416.16142478216</v>
      </c>
      <c r="L27" s="76">
        <v>89.787071428571423</v>
      </c>
      <c r="M27" s="76">
        <v>9.846384615784002</v>
      </c>
      <c r="N27" s="76">
        <v>3.9140879229523233</v>
      </c>
      <c r="O27" s="76">
        <v>703.89534883720933</v>
      </c>
    </row>
    <row r="28" spans="2:15" s="76" customFormat="1" x14ac:dyDescent="0.25">
      <c r="B28" s="76" t="str">
        <f>VLOOKUP(F28,[1]NUTS_Europa!$A$2:$C$81,2,FALSE)</f>
        <v>ES62</v>
      </c>
      <c r="C28" s="76">
        <f>VLOOKUP(F28,[1]NUTS_Europa!$A$2:$C$81,3,FALSE)</f>
        <v>1064</v>
      </c>
      <c r="D28" s="76" t="str">
        <f>VLOOKUP(G28,[1]NUTS_Europa!$A$2:$C$81,2,FALSE)</f>
        <v>FRI1</v>
      </c>
      <c r="E28" s="76">
        <f>VLOOKUP(G28,[1]NUTS_Europa!$A$2:$C$81,3,FALSE)</f>
        <v>283</v>
      </c>
      <c r="F28" s="76">
        <v>18</v>
      </c>
      <c r="G28" s="76">
        <v>24</v>
      </c>
      <c r="H28" s="76">
        <v>1226697.4605067689</v>
      </c>
      <c r="I28" s="76">
        <v>1385299.2121871565</v>
      </c>
      <c r="K28" s="76">
        <v>199597.7643046609</v>
      </c>
      <c r="L28" s="76">
        <v>101.47328571428571</v>
      </c>
      <c r="M28" s="76">
        <v>10.765498691437728</v>
      </c>
      <c r="N28" s="76">
        <v>9.5546983407240393</v>
      </c>
      <c r="O28" s="76">
        <v>1954.024298469388</v>
      </c>
    </row>
    <row r="29" spans="2:15" s="76" customFormat="1" x14ac:dyDescent="0.25">
      <c r="B29" s="76" t="str">
        <f>VLOOKUP(F29,[1]NUTS_Europa!$A$2:$C$81,2,FALSE)</f>
        <v>FRD2</v>
      </c>
      <c r="C29" s="76">
        <f>VLOOKUP(F29,[1]NUTS_Europa!$A$2:$C$81,3,FALSE)</f>
        <v>269</v>
      </c>
      <c r="D29" s="76" t="str">
        <f>VLOOKUP(G29,[1]NUTS_Europa!$A$2:$C$81,2,FALSE)</f>
        <v>FRI3</v>
      </c>
      <c r="E29" s="76">
        <f>VLOOKUP(G29,[1]NUTS_Europa!$A$2:$C$81,3,FALSE)</f>
        <v>283</v>
      </c>
      <c r="F29" s="76">
        <v>20</v>
      </c>
      <c r="G29" s="76">
        <v>25</v>
      </c>
      <c r="H29" s="76">
        <v>466847.16400221997</v>
      </c>
      <c r="I29" s="76">
        <v>895410.96268140653</v>
      </c>
      <c r="K29" s="76">
        <v>141512.315270936</v>
      </c>
      <c r="L29" s="76">
        <v>33.071428571428569</v>
      </c>
      <c r="M29" s="76">
        <v>12.515332707726564</v>
      </c>
      <c r="N29" s="76">
        <v>11.226911756455761</v>
      </c>
      <c r="O29" s="76">
        <v>1954.024298469388</v>
      </c>
    </row>
    <row r="30" spans="2:15" s="76" customFormat="1" x14ac:dyDescent="0.25">
      <c r="B30" s="76" t="str">
        <f>VLOOKUP(F30,[1]NUTS_Europa!$A$2:$C$81,2,FALSE)</f>
        <v>FRE1</v>
      </c>
      <c r="C30" s="76">
        <f>VLOOKUP(F30,[1]NUTS_Europa!$A$2:$C$81,3,FALSE)</f>
        <v>220</v>
      </c>
      <c r="D30" s="76" t="str">
        <f>VLOOKUP(G30,[1]NUTS_Europa!$A$2:$C$81,2,FALSE)</f>
        <v>FRI1</v>
      </c>
      <c r="E30" s="76">
        <f>VLOOKUP(G30,[1]NUTS_Europa!$A$2:$C$81,3,FALSE)</f>
        <v>283</v>
      </c>
      <c r="F30" s="76">
        <v>21</v>
      </c>
      <c r="G30" s="76">
        <v>24</v>
      </c>
      <c r="H30" s="76">
        <v>891337.41428845644</v>
      </c>
      <c r="I30" s="76">
        <v>878100.65290595929</v>
      </c>
      <c r="K30" s="76">
        <v>123840.01515725654</v>
      </c>
      <c r="L30" s="76">
        <v>42.999285714285712</v>
      </c>
      <c r="M30" s="76">
        <v>12.247894814242121</v>
      </c>
      <c r="N30" s="76">
        <v>10.120160547630702</v>
      </c>
      <c r="O30" s="76">
        <v>1954.024298469388</v>
      </c>
    </row>
    <row r="31" spans="2:15" s="76" customFormat="1" x14ac:dyDescent="0.25">
      <c r="B31" s="76" t="str">
        <f>VLOOKUP(F31,[1]NUTS_Europa!$A$2:$C$81,2,FALSE)</f>
        <v>FRE1</v>
      </c>
      <c r="C31" s="76">
        <f>VLOOKUP(F31,[1]NUTS_Europa!$A$2:$C$81,3,FALSE)</f>
        <v>220</v>
      </c>
      <c r="D31" s="76" t="str">
        <f>VLOOKUP(G31,[1]NUTS_Europa!$A$2:$C$81,2,FALSE)</f>
        <v>FRI3</v>
      </c>
      <c r="E31" s="76">
        <f>VLOOKUP(G31,[1]NUTS_Europa!$A$2:$C$81,3,FALSE)</f>
        <v>283</v>
      </c>
      <c r="F31" s="76">
        <v>21</v>
      </c>
      <c r="G31" s="76">
        <v>25</v>
      </c>
      <c r="H31" s="76">
        <v>582178.52886967442</v>
      </c>
      <c r="I31" s="76">
        <v>878100.65290595929</v>
      </c>
      <c r="K31" s="76">
        <v>117061.71481038857</v>
      </c>
      <c r="L31" s="76">
        <v>42.999285714285712</v>
      </c>
      <c r="M31" s="76">
        <v>12.247894814242121</v>
      </c>
      <c r="N31" s="76">
        <v>10.120160547630702</v>
      </c>
      <c r="O31" s="76">
        <v>1954.024298469388</v>
      </c>
    </row>
    <row r="32" spans="2:15" s="76" customFormat="1" x14ac:dyDescent="0.25">
      <c r="B32" s="76" t="str">
        <f>VLOOKUP(F32,[1]NUTS_Europa!$A$2:$C$81,2,FALSE)</f>
        <v>FRJ1</v>
      </c>
      <c r="C32" s="76">
        <f>VLOOKUP(F32,[1]NUTS_Europa!$A$2:$C$81,3,FALSE)</f>
        <v>1063</v>
      </c>
      <c r="D32" s="76" t="str">
        <f>VLOOKUP(G32,[1]NUTS_Europa!$A$2:$C$81,2,FALSE)</f>
        <v>FRJ2</v>
      </c>
      <c r="E32" s="76">
        <f>VLOOKUP(G32,[1]NUTS_Europa!$A$2:$C$81,3,FALSE)</f>
        <v>283</v>
      </c>
      <c r="F32" s="76">
        <v>26</v>
      </c>
      <c r="G32" s="76">
        <v>28</v>
      </c>
      <c r="H32" s="76">
        <v>1994146.9191059193</v>
      </c>
      <c r="I32" s="76">
        <v>5363817.7199870422</v>
      </c>
      <c r="K32" s="76">
        <v>142841.86171918266</v>
      </c>
      <c r="L32" s="76">
        <v>110.26692857142858</v>
      </c>
      <c r="M32" s="76">
        <v>8.7082223181880742</v>
      </c>
      <c r="N32" s="76">
        <v>9.5546983407240393</v>
      </c>
      <c r="O32" s="76">
        <v>1954.024298469388</v>
      </c>
    </row>
    <row r="33" spans="2:15" s="76" customFormat="1" x14ac:dyDescent="0.25">
      <c r="B33" s="76" t="str">
        <f>VLOOKUP(F33,[1]NUTS_Europa!$A$2:$C$81,2,FALSE)</f>
        <v>FRJ1</v>
      </c>
      <c r="C33" s="76">
        <f>VLOOKUP(F33,[1]NUTS_Europa!$A$2:$C$81,3,FALSE)</f>
        <v>1063</v>
      </c>
      <c r="D33" s="76" t="str">
        <f>VLOOKUP(G33,[1]NUTS_Europa!$A$2:$C$81,2,FALSE)</f>
        <v>PT17</v>
      </c>
      <c r="E33" s="76">
        <f>VLOOKUP(G33,[1]NUTS_Europa!$A$2:$C$81,3,FALSE)</f>
        <v>294</v>
      </c>
      <c r="F33" s="76">
        <v>26</v>
      </c>
      <c r="G33" s="76">
        <v>39</v>
      </c>
      <c r="H33" s="76">
        <v>1590514.839884884</v>
      </c>
      <c r="I33" s="76">
        <v>4926022.0993127739</v>
      </c>
      <c r="K33" s="76">
        <v>137713.62258431225</v>
      </c>
      <c r="L33" s="76">
        <v>58.142857142857146</v>
      </c>
      <c r="M33" s="76">
        <v>7.6668352588857838</v>
      </c>
      <c r="N33" s="76">
        <v>14.178561425808466</v>
      </c>
      <c r="O33" s="76">
        <v>3013.6173615767602</v>
      </c>
    </row>
    <row r="34" spans="2:15" s="76" customFormat="1" x14ac:dyDescent="0.25">
      <c r="B34" s="76" t="str">
        <f>VLOOKUP(F34,[1]NUTS_Europa!$A$2:$C$81,2,FALSE)</f>
        <v>FRF2</v>
      </c>
      <c r="C34" s="76">
        <f>VLOOKUP(F34,[1]NUTS_Europa!$A$2:$C$81,3,FALSE)</f>
        <v>269</v>
      </c>
      <c r="D34" s="76" t="str">
        <f>VLOOKUP(G34,[1]NUTS_Europa!$A$2:$C$81,2,FALSE)</f>
        <v>FRJ2</v>
      </c>
      <c r="E34" s="76">
        <f>VLOOKUP(G34,[1]NUTS_Europa!$A$2:$C$81,3,FALSE)</f>
        <v>283</v>
      </c>
      <c r="F34" s="76">
        <v>27</v>
      </c>
      <c r="G34" s="76">
        <v>28</v>
      </c>
      <c r="H34" s="76">
        <v>1623178.3644855812</v>
      </c>
      <c r="I34" s="76">
        <v>895410.96268140653</v>
      </c>
      <c r="K34" s="76">
        <v>176841.96373917855</v>
      </c>
      <c r="L34" s="76">
        <v>33.071428571428569</v>
      </c>
      <c r="M34" s="76">
        <v>12.515332707726564</v>
      </c>
      <c r="N34" s="76">
        <v>11.226911756455761</v>
      </c>
      <c r="O34" s="76">
        <v>1954.024298469388</v>
      </c>
    </row>
    <row r="35" spans="2:15" s="76" customFormat="1" x14ac:dyDescent="0.25">
      <c r="B35" s="76" t="str">
        <f>VLOOKUP(F35,[1]NUTS_Europa!$A$2:$C$81,2,FALSE)</f>
        <v>FRF2</v>
      </c>
      <c r="C35" s="76">
        <f>VLOOKUP(F35,[1]NUTS_Europa!$A$2:$C$81,3,FALSE)</f>
        <v>269</v>
      </c>
      <c r="D35" s="76" t="str">
        <f>VLOOKUP(G35,[1]NUTS_Europa!$A$2:$C$81,2,FALSE)</f>
        <v>FRG0</v>
      </c>
      <c r="E35" s="76">
        <f>VLOOKUP(G35,[1]NUTS_Europa!$A$2:$C$81,3,FALSE)</f>
        <v>283</v>
      </c>
      <c r="F35" s="76">
        <v>27</v>
      </c>
      <c r="G35" s="76">
        <v>62</v>
      </c>
      <c r="H35" s="76">
        <v>1166495.5295931066</v>
      </c>
      <c r="I35" s="76">
        <v>895410.96268140653</v>
      </c>
      <c r="K35" s="76">
        <v>141512.315270936</v>
      </c>
      <c r="L35" s="76">
        <v>33.071428571428569</v>
      </c>
      <c r="M35" s="76">
        <v>12.515332707726564</v>
      </c>
      <c r="N35" s="76">
        <v>11.226911756455761</v>
      </c>
      <c r="O35" s="76">
        <v>1954.024298469388</v>
      </c>
    </row>
    <row r="36" spans="2:15" s="76" customFormat="1" x14ac:dyDescent="0.25">
      <c r="B36" s="76" t="str">
        <f>VLOOKUP(F36,[1]NUTS_Europa!$A$2:$C$81,2,FALSE)</f>
        <v>FRI2</v>
      </c>
      <c r="C36" s="76">
        <f>VLOOKUP(F36,[1]NUTS_Europa!$A$2:$C$81,3,FALSE)</f>
        <v>269</v>
      </c>
      <c r="D36" s="76" t="str">
        <f>VLOOKUP(G36,[1]NUTS_Europa!$A$2:$C$81,2,FALSE)</f>
        <v>NL12</v>
      </c>
      <c r="E36" s="76">
        <f>VLOOKUP(G36,[1]NUTS_Europa!$A$2:$C$81,3,FALSE)</f>
        <v>218</v>
      </c>
      <c r="F36" s="76">
        <v>29</v>
      </c>
      <c r="G36" s="76">
        <v>31</v>
      </c>
      <c r="H36" s="76">
        <v>2469252.2696231408</v>
      </c>
      <c r="I36" s="76">
        <v>917900.16736532352</v>
      </c>
      <c r="K36" s="76">
        <v>154854.30087154222</v>
      </c>
      <c r="L36" s="76">
        <v>19.642857142857142</v>
      </c>
      <c r="M36" s="76">
        <v>11.636567341315001</v>
      </c>
      <c r="N36" s="76">
        <v>26.943762908255376</v>
      </c>
      <c r="O36" s="76">
        <v>5123.2789092745306</v>
      </c>
    </row>
    <row r="37" spans="2:15" s="76" customFormat="1" x14ac:dyDescent="0.25">
      <c r="B37" s="76" t="str">
        <f>VLOOKUP(F37,[1]NUTS_Europa!$A$2:$C$81,2,FALSE)</f>
        <v>FRI2</v>
      </c>
      <c r="C37" s="76">
        <f>VLOOKUP(F37,[1]NUTS_Europa!$A$2:$C$81,3,FALSE)</f>
        <v>269</v>
      </c>
      <c r="D37" s="76" t="str">
        <f>VLOOKUP(G37,[1]NUTS_Europa!$A$2:$C$81,2,FALSE)</f>
        <v>FRG0</v>
      </c>
      <c r="E37" s="76">
        <f>VLOOKUP(G37,[1]NUTS_Europa!$A$2:$C$81,3,FALSE)</f>
        <v>283</v>
      </c>
      <c r="F37" s="76">
        <v>29</v>
      </c>
      <c r="G37" s="76">
        <v>62</v>
      </c>
      <c r="H37" s="76">
        <v>1176758.0652086679</v>
      </c>
      <c r="I37" s="76">
        <v>895410.96268140653</v>
      </c>
      <c r="K37" s="76">
        <v>118487.95435333898</v>
      </c>
      <c r="L37" s="76">
        <v>33.071428571428569</v>
      </c>
      <c r="M37" s="76">
        <v>12.515332707726564</v>
      </c>
      <c r="N37" s="76">
        <v>11.226911756455761</v>
      </c>
      <c r="O37" s="76">
        <v>1954.024298469388</v>
      </c>
    </row>
    <row r="38" spans="2:15" s="76" customFormat="1" x14ac:dyDescent="0.25">
      <c r="B38" s="76" t="str">
        <f>VLOOKUP(F38,[1]NUTS_Europa!$A$2:$C$81,2,FALSE)</f>
        <v>NL11</v>
      </c>
      <c r="C38" s="76">
        <f>VLOOKUP(F38,[1]NUTS_Europa!$A$2:$C$81,3,FALSE)</f>
        <v>245</v>
      </c>
      <c r="D38" s="76" t="str">
        <f>VLOOKUP(G38,[1]NUTS_Europa!$A$2:$C$81,2,FALSE)</f>
        <v>FRI1</v>
      </c>
      <c r="E38" s="76">
        <f>VLOOKUP(G38,[1]NUTS_Europa!$A$2:$C$81,3,FALSE)</f>
        <v>275</v>
      </c>
      <c r="F38" s="76">
        <v>30</v>
      </c>
      <c r="G38" s="76">
        <v>64</v>
      </c>
      <c r="H38" s="76">
        <v>758813.06349718978</v>
      </c>
      <c r="I38" s="76">
        <v>6332591.2273846958</v>
      </c>
      <c r="K38" s="76">
        <v>114346.85142443764</v>
      </c>
      <c r="L38" s="76">
        <v>85</v>
      </c>
      <c r="M38" s="76">
        <v>9.3480342060400954</v>
      </c>
      <c r="N38" s="76">
        <v>1.1478335978065561</v>
      </c>
      <c r="O38" s="76">
        <v>178.89087656529517</v>
      </c>
    </row>
    <row r="39" spans="2:15" s="76" customFormat="1" x14ac:dyDescent="0.25">
      <c r="B39" s="76" t="str">
        <f>VLOOKUP(F39,[1]NUTS_Europa!$A$2:$C$81,2,FALSE)</f>
        <v>NL11</v>
      </c>
      <c r="C39" s="76">
        <f>VLOOKUP(F39,[1]NUTS_Europa!$A$2:$C$81,3,FALSE)</f>
        <v>245</v>
      </c>
      <c r="D39" s="76" t="str">
        <f>VLOOKUP(G39,[1]NUTS_Europa!$A$2:$C$81,2,FALSE)</f>
        <v>FRI2</v>
      </c>
      <c r="E39" s="76">
        <f>VLOOKUP(G39,[1]NUTS_Europa!$A$2:$C$81,3,FALSE)</f>
        <v>275</v>
      </c>
      <c r="F39" s="76">
        <v>30</v>
      </c>
      <c r="G39" s="76">
        <v>69</v>
      </c>
      <c r="H39" s="76">
        <v>727808.41233439895</v>
      </c>
      <c r="I39" s="76">
        <v>6332591.2273846958</v>
      </c>
      <c r="K39" s="76">
        <v>145277.79316174539</v>
      </c>
      <c r="L39" s="76">
        <v>85</v>
      </c>
      <c r="M39" s="76">
        <v>9.3480342060400954</v>
      </c>
      <c r="N39" s="76">
        <v>1.1478335978065561</v>
      </c>
      <c r="O39" s="76">
        <v>178.89087656529517</v>
      </c>
    </row>
    <row r="40" spans="2:15" s="76" customFormat="1" x14ac:dyDescent="0.25">
      <c r="B40" s="76" t="str">
        <f>VLOOKUP(F40,[1]NUTS_Europa!$A$2:$C$81,2,FALSE)</f>
        <v>NL33</v>
      </c>
      <c r="C40" s="76">
        <f>VLOOKUP(F40,[1]NUTS_Europa!$A$2:$C$81,3,FALSE)</f>
        <v>250</v>
      </c>
      <c r="D40" s="76" t="str">
        <f>VLOOKUP(G40,[1]NUTS_Europa!$A$2:$C$81,2,FALSE)</f>
        <v>PT15</v>
      </c>
      <c r="E40" s="76">
        <f>VLOOKUP(G40,[1]NUTS_Europa!$A$2:$C$81,3,FALSE)</f>
        <v>1065</v>
      </c>
      <c r="F40" s="76">
        <v>33</v>
      </c>
      <c r="G40" s="76">
        <v>37</v>
      </c>
      <c r="H40" s="76">
        <v>3110599.128268017</v>
      </c>
      <c r="I40" s="76">
        <v>1374905.3097617386</v>
      </c>
      <c r="K40" s="76">
        <v>114346.85142443764</v>
      </c>
      <c r="L40" s="76">
        <v>83.268571428571434</v>
      </c>
      <c r="M40" s="76">
        <v>8.8775548120279097</v>
      </c>
      <c r="N40" s="76">
        <v>44.639098480278435</v>
      </c>
      <c r="O40" s="76">
        <v>8027.7332586984066</v>
      </c>
    </row>
    <row r="41" spans="2:15" s="76" customFormat="1" x14ac:dyDescent="0.25">
      <c r="B41" s="76" t="str">
        <f>VLOOKUP(F41,[1]NUTS_Europa!$A$2:$C$81,2,FALSE)</f>
        <v>NL33</v>
      </c>
      <c r="C41" s="76">
        <f>VLOOKUP(F41,[1]NUTS_Europa!$A$2:$C$81,3,FALSE)</f>
        <v>250</v>
      </c>
      <c r="D41" s="76" t="str">
        <f>VLOOKUP(G41,[1]NUTS_Europa!$A$2:$C$81,2,FALSE)</f>
        <v>NL11</v>
      </c>
      <c r="E41" s="76">
        <f>VLOOKUP(G41,[1]NUTS_Europa!$A$2:$C$81,3,FALSE)</f>
        <v>218</v>
      </c>
      <c r="F41" s="76">
        <v>33</v>
      </c>
      <c r="G41" s="76">
        <v>70</v>
      </c>
      <c r="H41" s="76">
        <v>1837284.7813552974</v>
      </c>
      <c r="I41" s="76">
        <v>782950.04994547262</v>
      </c>
      <c r="K41" s="76">
        <v>135416.16142478216</v>
      </c>
      <c r="L41" s="76">
        <v>4.8571428571428568</v>
      </c>
      <c r="M41" s="76">
        <v>7.9524711451293646</v>
      </c>
      <c r="N41" s="76">
        <v>26.943762908255376</v>
      </c>
      <c r="O41" s="76">
        <v>5123.2789092745306</v>
      </c>
    </row>
    <row r="42" spans="2:15" s="76" customFormat="1" x14ac:dyDescent="0.25">
      <c r="B42" s="76" t="str">
        <f>VLOOKUP(F42,[1]NUTS_Europa!$A$2:$C$81,2,FALSE)</f>
        <v>NL34</v>
      </c>
      <c r="C42" s="76">
        <f>VLOOKUP(F42,[1]NUTS_Europa!$A$2:$C$81,3,FALSE)</f>
        <v>250</v>
      </c>
      <c r="D42" s="76" t="str">
        <f>VLOOKUP(G42,[1]NUTS_Europa!$A$2:$C$81,2,FALSE)</f>
        <v>PT11</v>
      </c>
      <c r="E42" s="76">
        <f>VLOOKUP(G42,[1]NUTS_Europa!$A$2:$C$81,3,FALSE)</f>
        <v>111</v>
      </c>
      <c r="F42" s="76">
        <v>34</v>
      </c>
      <c r="G42" s="76">
        <v>36</v>
      </c>
      <c r="H42" s="76">
        <v>1399780.5014016347</v>
      </c>
      <c r="I42" s="76">
        <v>1203283.9399248729</v>
      </c>
      <c r="K42" s="76">
        <v>176841.96373917855</v>
      </c>
      <c r="L42" s="76">
        <v>68.844285714285718</v>
      </c>
      <c r="M42" s="76">
        <v>7.4642830122750379</v>
      </c>
      <c r="N42" s="76">
        <v>17.804899616838789</v>
      </c>
      <c r="O42" s="76">
        <v>3201.9684466753083</v>
      </c>
    </row>
    <row r="43" spans="2:15" s="76" customFormat="1" x14ac:dyDescent="0.25">
      <c r="B43" s="76" t="str">
        <f>VLOOKUP(F43,[1]NUTS_Europa!$A$2:$C$81,2,FALSE)</f>
        <v>NL34</v>
      </c>
      <c r="C43" s="76">
        <f>VLOOKUP(F43,[1]NUTS_Europa!$A$2:$C$81,3,FALSE)</f>
        <v>250</v>
      </c>
      <c r="D43" s="76" t="str">
        <f>VLOOKUP(G43,[1]NUTS_Europa!$A$2:$C$81,2,FALSE)</f>
        <v>PT16</v>
      </c>
      <c r="E43" s="76">
        <f>VLOOKUP(G43,[1]NUTS_Europa!$A$2:$C$81,3,FALSE)</f>
        <v>111</v>
      </c>
      <c r="F43" s="76">
        <v>34</v>
      </c>
      <c r="G43" s="76">
        <v>38</v>
      </c>
      <c r="H43" s="76">
        <v>1294675.8871395176</v>
      </c>
      <c r="I43" s="76">
        <v>1203283.9399248729</v>
      </c>
      <c r="K43" s="76">
        <v>199058.85825050285</v>
      </c>
      <c r="L43" s="76">
        <v>68.844285714285718</v>
      </c>
      <c r="M43" s="76">
        <v>7.4642830122750379</v>
      </c>
      <c r="N43" s="76">
        <v>17.804899616838789</v>
      </c>
      <c r="O43" s="76">
        <v>3201.9684466753083</v>
      </c>
    </row>
    <row r="44" spans="2:15" s="76" customFormat="1" x14ac:dyDescent="0.25">
      <c r="B44" s="76" t="str">
        <f>VLOOKUP(F44,[1]NUTS_Europa!$A$2:$C$81,2,FALSE)</f>
        <v>NL41</v>
      </c>
      <c r="C44" s="76">
        <f>VLOOKUP(F44,[1]NUTS_Europa!$A$2:$C$81,3,FALSE)</f>
        <v>253</v>
      </c>
      <c r="D44" s="76" t="str">
        <f>VLOOKUP(G44,[1]NUTS_Europa!$A$2:$C$81,2,FALSE)</f>
        <v>PT11</v>
      </c>
      <c r="E44" s="76">
        <f>VLOOKUP(G44,[1]NUTS_Europa!$A$2:$C$81,3,FALSE)</f>
        <v>111</v>
      </c>
      <c r="F44" s="76">
        <v>35</v>
      </c>
      <c r="G44" s="76">
        <v>36</v>
      </c>
      <c r="H44" s="76">
        <v>1089296.7212784274</v>
      </c>
      <c r="I44" s="76">
        <v>1165166.3029423635</v>
      </c>
      <c r="K44" s="76">
        <v>163029.68053166996</v>
      </c>
      <c r="L44" s="76">
        <v>68.921428571428564</v>
      </c>
      <c r="M44" s="76">
        <v>11.444815022168207</v>
      </c>
      <c r="N44" s="76">
        <v>17.804899616838789</v>
      </c>
      <c r="O44" s="76">
        <v>3201.9684466753083</v>
      </c>
    </row>
    <row r="45" spans="2:15" s="76" customFormat="1" x14ac:dyDescent="0.25">
      <c r="B45" s="76" t="str">
        <f>VLOOKUP(F45,[1]NUTS_Europa!$A$2:$C$81,2,FALSE)</f>
        <v>NL41</v>
      </c>
      <c r="C45" s="76">
        <f>VLOOKUP(F45,[1]NUTS_Europa!$A$2:$C$81,3,FALSE)</f>
        <v>253</v>
      </c>
      <c r="D45" s="76" t="str">
        <f>VLOOKUP(G45,[1]NUTS_Europa!$A$2:$C$81,2,FALSE)</f>
        <v>PT16</v>
      </c>
      <c r="E45" s="76">
        <f>VLOOKUP(G45,[1]NUTS_Europa!$A$2:$C$81,3,FALSE)</f>
        <v>111</v>
      </c>
      <c r="F45" s="76">
        <v>35</v>
      </c>
      <c r="G45" s="76">
        <v>38</v>
      </c>
      <c r="H45" s="76">
        <v>984192.10701631045</v>
      </c>
      <c r="I45" s="76">
        <v>1165166.3029423635</v>
      </c>
      <c r="K45" s="76">
        <v>122072.63094995193</v>
      </c>
      <c r="L45" s="76">
        <v>68.921428571428564</v>
      </c>
      <c r="M45" s="76">
        <v>11.444815022168207</v>
      </c>
      <c r="N45" s="76">
        <v>17.804899616838789</v>
      </c>
      <c r="O45" s="76">
        <v>3201.9684466753083</v>
      </c>
    </row>
    <row r="46" spans="2:15" s="76" customFormat="1" x14ac:dyDescent="0.25">
      <c r="B46" s="76" t="str">
        <f>VLOOKUP(F46,[1]NUTS_Europa!$A$2:$C$81,2,FALSE)</f>
        <v>PT15</v>
      </c>
      <c r="C46" s="76">
        <f>VLOOKUP(F46,[1]NUTS_Europa!$A$2:$C$81,3,FALSE)</f>
        <v>1065</v>
      </c>
      <c r="D46" s="76" t="str">
        <f>VLOOKUP(G46,[1]NUTS_Europa!$A$2:$C$81,2,FALSE)</f>
        <v>PT17</v>
      </c>
      <c r="E46" s="76">
        <f>VLOOKUP(G46,[1]NUTS_Europa!$A$2:$C$81,3,FALSE)</f>
        <v>294</v>
      </c>
      <c r="F46" s="76">
        <v>37</v>
      </c>
      <c r="G46" s="76">
        <v>39</v>
      </c>
      <c r="H46" s="76">
        <v>979338.83885080006</v>
      </c>
      <c r="I46" s="76">
        <v>576202.64939011959</v>
      </c>
      <c r="K46" s="76">
        <v>507158.32774652442</v>
      </c>
      <c r="L46" s="76">
        <v>3.2142857142857144</v>
      </c>
      <c r="M46" s="76">
        <v>9.2221986792867341</v>
      </c>
      <c r="N46" s="76">
        <v>14.178561425808466</v>
      </c>
      <c r="O46" s="76">
        <v>3013.6173615767602</v>
      </c>
    </row>
    <row r="47" spans="2:15" s="76" customFormat="1" x14ac:dyDescent="0.25">
      <c r="B47" s="76" t="str">
        <f>VLOOKUP(F47,[1]NUTS_Europa!$A$2:$C$81,2,FALSE)</f>
        <v>BE21</v>
      </c>
      <c r="C47" s="76">
        <f>VLOOKUP(F47,[1]NUTS_Europa!$A$2:$C$81,3,FALSE)</f>
        <v>250</v>
      </c>
      <c r="D47" s="76" t="str">
        <f>VLOOKUP(G47,[1]NUTS_Europa!$A$2:$C$81,2,FALSE)</f>
        <v>FRE1</v>
      </c>
      <c r="E47" s="76">
        <f>VLOOKUP(G47,[1]NUTS_Europa!$A$2:$C$81,3,FALSE)</f>
        <v>235</v>
      </c>
      <c r="F47" s="76">
        <v>41</v>
      </c>
      <c r="G47" s="76">
        <v>61</v>
      </c>
      <c r="H47" s="76">
        <v>548348.57647098962</v>
      </c>
      <c r="I47" s="76">
        <v>684105.68533517816</v>
      </c>
      <c r="K47" s="76">
        <v>142392.8717171422</v>
      </c>
      <c r="L47" s="76">
        <v>10.071428571428571</v>
      </c>
      <c r="M47" s="76">
        <v>8.0942876116681859</v>
      </c>
      <c r="N47" s="76">
        <v>8.4795381465049093</v>
      </c>
      <c r="O47" s="76">
        <v>1522.6567936191168</v>
      </c>
    </row>
    <row r="48" spans="2:15" s="76" customFormat="1" x14ac:dyDescent="0.25">
      <c r="B48" s="76" t="str">
        <f>VLOOKUP(F48,[1]NUTS_Europa!$A$2:$C$81,2,FALSE)</f>
        <v>BE21</v>
      </c>
      <c r="C48" s="76">
        <f>VLOOKUP(F48,[1]NUTS_Europa!$A$2:$C$81,3,FALSE)</f>
        <v>250</v>
      </c>
      <c r="D48" s="76" t="str">
        <f>VLOOKUP(G48,[1]NUTS_Europa!$A$2:$C$81,2,FALSE)</f>
        <v>FRF2</v>
      </c>
      <c r="E48" s="76">
        <f>VLOOKUP(G48,[1]NUTS_Europa!$A$2:$C$81,3,FALSE)</f>
        <v>235</v>
      </c>
      <c r="F48" s="76">
        <v>41</v>
      </c>
      <c r="G48" s="76">
        <v>67</v>
      </c>
      <c r="H48" s="76">
        <v>1044961.8715844295</v>
      </c>
      <c r="I48" s="76">
        <v>684105.68533517816</v>
      </c>
      <c r="K48" s="76">
        <v>156784.57749147405</v>
      </c>
      <c r="L48" s="76">
        <v>10.071428571428571</v>
      </c>
      <c r="M48" s="76">
        <v>8.0942876116681859</v>
      </c>
      <c r="N48" s="76">
        <v>8.4795381465049093</v>
      </c>
      <c r="O48" s="76">
        <v>1522.6567936191168</v>
      </c>
    </row>
    <row r="49" spans="2:15" s="76" customFormat="1" x14ac:dyDescent="0.25">
      <c r="B49" s="76" t="str">
        <f>VLOOKUP(F49,[1]NUTS_Europa!$A$2:$C$81,2,FALSE)</f>
        <v>BE23</v>
      </c>
      <c r="C49" s="76">
        <f>VLOOKUP(F49,[1]NUTS_Europa!$A$2:$C$81,3,FALSE)</f>
        <v>220</v>
      </c>
      <c r="D49" s="76" t="str">
        <f>VLOOKUP(G49,[1]NUTS_Europa!$A$2:$C$81,2,FALSE)</f>
        <v>ES12</v>
      </c>
      <c r="E49" s="76">
        <f>VLOOKUP(G49,[1]NUTS_Europa!$A$2:$C$81,3,FALSE)</f>
        <v>163</v>
      </c>
      <c r="F49" s="76">
        <v>42</v>
      </c>
      <c r="G49" s="76">
        <v>52</v>
      </c>
      <c r="H49" s="76">
        <v>1553350.2235938688</v>
      </c>
      <c r="I49" s="76">
        <v>983734.11824969191</v>
      </c>
      <c r="K49" s="76">
        <v>137713.62258431225</v>
      </c>
      <c r="L49" s="76">
        <v>52.142857142857146</v>
      </c>
      <c r="M49" s="76">
        <v>11.123258894498029</v>
      </c>
      <c r="N49" s="76">
        <v>18.047467953805491</v>
      </c>
      <c r="O49" s="76">
        <v>3085.040429338103</v>
      </c>
    </row>
    <row r="50" spans="2:15" s="76" customFormat="1" x14ac:dyDescent="0.25">
      <c r="B50" s="76" t="str">
        <f>VLOOKUP(F50,[1]NUTS_Europa!$A$2:$C$81,2,FALSE)</f>
        <v>BE23</v>
      </c>
      <c r="C50" s="76">
        <f>VLOOKUP(F50,[1]NUTS_Europa!$A$2:$C$81,3,FALSE)</f>
        <v>220</v>
      </c>
      <c r="D50" s="76" t="str">
        <f>VLOOKUP(G50,[1]NUTS_Europa!$A$2:$C$81,2,FALSE)</f>
        <v>FRJ2</v>
      </c>
      <c r="E50" s="76">
        <f>VLOOKUP(G50,[1]NUTS_Europa!$A$2:$C$81,3,FALSE)</f>
        <v>163</v>
      </c>
      <c r="F50" s="76">
        <v>42</v>
      </c>
      <c r="G50" s="76">
        <v>68</v>
      </c>
      <c r="H50" s="76">
        <v>2578166.7187752635</v>
      </c>
      <c r="I50" s="76">
        <v>983734.11824969191</v>
      </c>
      <c r="K50" s="76">
        <v>156784.57749147405</v>
      </c>
      <c r="L50" s="76">
        <v>52.142857142857146</v>
      </c>
      <c r="M50" s="76">
        <v>11.123258894498029</v>
      </c>
      <c r="N50" s="76">
        <v>18.047467953805491</v>
      </c>
      <c r="O50" s="76">
        <v>3085.040429338103</v>
      </c>
    </row>
    <row r="51" spans="2:15" s="76" customFormat="1" x14ac:dyDescent="0.25">
      <c r="B51" s="76" t="str">
        <f>VLOOKUP(F51,[1]NUTS_Europa!$A$2:$C$81,2,FALSE)</f>
        <v>BE25</v>
      </c>
      <c r="C51" s="76">
        <f>VLOOKUP(F51,[1]NUTS_Europa!$A$2:$C$81,3,FALSE)</f>
        <v>220</v>
      </c>
      <c r="D51" s="76" t="str">
        <f>VLOOKUP(G51,[1]NUTS_Europa!$A$2:$C$81,2,FALSE)</f>
        <v>FRD1</v>
      </c>
      <c r="E51" s="76">
        <f>VLOOKUP(G51,[1]NUTS_Europa!$A$2:$C$81,3,FALSE)</f>
        <v>269</v>
      </c>
      <c r="F51" s="76">
        <v>43</v>
      </c>
      <c r="G51" s="76">
        <v>59</v>
      </c>
      <c r="H51" s="76">
        <v>3527364.5656928718</v>
      </c>
      <c r="I51" s="76">
        <v>746186.49472136237</v>
      </c>
      <c r="K51" s="76">
        <v>199058.85825050285</v>
      </c>
      <c r="L51" s="76">
        <v>12.927857142857144</v>
      </c>
      <c r="M51" s="76">
        <v>14.545960083866643</v>
      </c>
      <c r="N51" s="76">
        <v>80.319684850859261</v>
      </c>
      <c r="O51" s="76">
        <v>13729.874776386405</v>
      </c>
    </row>
    <row r="52" spans="2:15" s="76" customFormat="1" x14ac:dyDescent="0.25">
      <c r="B52" s="76" t="str">
        <f>VLOOKUP(F52,[1]NUTS_Europa!$A$2:$C$81,2,FALSE)</f>
        <v>BE25</v>
      </c>
      <c r="C52" s="76">
        <f>VLOOKUP(F52,[1]NUTS_Europa!$A$2:$C$81,3,FALSE)</f>
        <v>220</v>
      </c>
      <c r="D52" s="76" t="str">
        <f>VLOOKUP(G52,[1]NUTS_Europa!$A$2:$C$81,2,FALSE)</f>
        <v>PT18</v>
      </c>
      <c r="E52" s="76">
        <f>VLOOKUP(G52,[1]NUTS_Europa!$A$2:$C$81,3,FALSE)</f>
        <v>61</v>
      </c>
      <c r="F52" s="76">
        <v>43</v>
      </c>
      <c r="G52" s="76">
        <v>80</v>
      </c>
      <c r="H52" s="76">
        <v>12471856.746368283</v>
      </c>
      <c r="I52" s="76">
        <v>1331188.2686148765</v>
      </c>
      <c r="K52" s="76">
        <v>117768.50934211678</v>
      </c>
      <c r="L52" s="76">
        <v>96.690714285714293</v>
      </c>
      <c r="M52" s="76">
        <v>11.40841666194056</v>
      </c>
      <c r="N52" s="76">
        <v>86.545717057835546</v>
      </c>
      <c r="O52" s="76">
        <v>18537.263556443555</v>
      </c>
    </row>
    <row r="53" spans="2:15" s="76" customFormat="1" x14ac:dyDescent="0.25">
      <c r="B53" s="76" t="str">
        <f>VLOOKUP(F53,[1]NUTS_Europa!$A$2:$C$81,2,FALSE)</f>
        <v>DE50</v>
      </c>
      <c r="C53" s="76">
        <f>VLOOKUP(F53,[1]NUTS_Europa!$A$2:$C$81,3,FALSE)</f>
        <v>1069</v>
      </c>
      <c r="D53" s="76" t="str">
        <f>VLOOKUP(G53,[1]NUTS_Europa!$A$2:$C$81,2,FALSE)</f>
        <v>ES12</v>
      </c>
      <c r="E53" s="76">
        <f>VLOOKUP(G53,[1]NUTS_Europa!$A$2:$C$81,3,FALSE)</f>
        <v>163</v>
      </c>
      <c r="F53" s="76">
        <v>44</v>
      </c>
      <c r="G53" s="76">
        <v>52</v>
      </c>
      <c r="H53" s="76">
        <v>1700119.6342874623</v>
      </c>
      <c r="I53" s="76">
        <v>1195681.6856625974</v>
      </c>
      <c r="K53" s="76">
        <v>120125.80522925351</v>
      </c>
      <c r="L53" s="76">
        <v>74.86071428571428</v>
      </c>
      <c r="M53" s="76">
        <v>9.1846854683835808</v>
      </c>
      <c r="N53" s="76">
        <v>17.154708446701989</v>
      </c>
      <c r="O53" s="76">
        <v>3085.040429338103</v>
      </c>
    </row>
    <row r="54" spans="2:15" s="76" customFormat="1" x14ac:dyDescent="0.25">
      <c r="B54" s="76" t="str">
        <f>VLOOKUP(F54,[1]NUTS_Europa!$A$2:$C$81,2,FALSE)</f>
        <v>DE50</v>
      </c>
      <c r="C54" s="76">
        <f>VLOOKUP(F54,[1]NUTS_Europa!$A$2:$C$81,3,FALSE)</f>
        <v>1069</v>
      </c>
      <c r="D54" s="76" t="str">
        <f>VLOOKUP(G54,[1]NUTS_Europa!$A$2:$C$81,2,FALSE)</f>
        <v>NL11</v>
      </c>
      <c r="E54" s="76">
        <f>VLOOKUP(G54,[1]NUTS_Europa!$A$2:$C$81,3,FALSE)</f>
        <v>218</v>
      </c>
      <c r="F54" s="76">
        <v>44</v>
      </c>
      <c r="G54" s="76">
        <v>70</v>
      </c>
      <c r="H54" s="76">
        <v>2071376.4202962818</v>
      </c>
      <c r="I54" s="76">
        <v>828071.9194497572</v>
      </c>
      <c r="K54" s="76">
        <v>120437.35243536306</v>
      </c>
      <c r="L54" s="76">
        <v>19.283571428571431</v>
      </c>
      <c r="M54" s="76">
        <v>9.4305560217161108</v>
      </c>
      <c r="N54" s="76">
        <v>22.559367211981254</v>
      </c>
      <c r="O54" s="76">
        <v>5123.2789092745306</v>
      </c>
    </row>
    <row r="55" spans="2:15" s="76" customFormat="1" x14ac:dyDescent="0.25">
      <c r="B55" s="76" t="str">
        <f>VLOOKUP(F55,[1]NUTS_Europa!$A$2:$C$81,2,FALSE)</f>
        <v>DE60</v>
      </c>
      <c r="C55" s="76">
        <f>VLOOKUP(F55,[1]NUTS_Europa!$A$2:$C$81,3,FALSE)</f>
        <v>245</v>
      </c>
      <c r="D55" s="76" t="str">
        <f>VLOOKUP(G55,[1]NUTS_Europa!$A$2:$C$81,2,FALSE)</f>
        <v>FRH0</v>
      </c>
      <c r="E55" s="76">
        <f>VLOOKUP(G55,[1]NUTS_Europa!$A$2:$C$81,3,FALSE)</f>
        <v>282</v>
      </c>
      <c r="F55" s="76">
        <v>45</v>
      </c>
      <c r="G55" s="76">
        <v>63</v>
      </c>
      <c r="H55" s="76">
        <v>2794642.0763252024</v>
      </c>
      <c r="I55" s="76">
        <v>5507641.7349160621</v>
      </c>
      <c r="K55" s="76">
        <v>145277.79316174539</v>
      </c>
      <c r="L55" s="76">
        <v>63.290714285714287</v>
      </c>
      <c r="M55" s="76">
        <v>8.1629210957959604</v>
      </c>
      <c r="N55" s="76">
        <v>4.5164669448092924</v>
      </c>
      <c r="O55" s="76">
        <v>703.89534883720933</v>
      </c>
    </row>
    <row r="56" spans="2:15" s="76" customFormat="1" x14ac:dyDescent="0.25">
      <c r="B56" s="76" t="str">
        <f>VLOOKUP(F56,[1]NUTS_Europa!$A$2:$C$81,2,FALSE)</f>
        <v>DE60</v>
      </c>
      <c r="C56" s="76">
        <f>VLOOKUP(F56,[1]NUTS_Europa!$A$2:$C$81,3,FALSE)</f>
        <v>245</v>
      </c>
      <c r="D56" s="76" t="str">
        <f>VLOOKUP(G56,[1]NUTS_Europa!$A$2:$C$81,2,FALSE)</f>
        <v>FRI3</v>
      </c>
      <c r="E56" s="76">
        <f>VLOOKUP(G56,[1]NUTS_Europa!$A$2:$C$81,3,FALSE)</f>
        <v>282</v>
      </c>
      <c r="F56" s="76">
        <v>45</v>
      </c>
      <c r="G56" s="76">
        <v>65</v>
      </c>
      <c r="H56" s="76">
        <v>2924956.3339414815</v>
      </c>
      <c r="I56" s="76">
        <v>5507641.7349160621</v>
      </c>
      <c r="K56" s="76">
        <v>163171.48832599766</v>
      </c>
      <c r="L56" s="76">
        <v>63.290714285714287</v>
      </c>
      <c r="M56" s="76">
        <v>8.1629210957959604</v>
      </c>
      <c r="N56" s="76">
        <v>4.5164669448092924</v>
      </c>
      <c r="O56" s="76">
        <v>703.89534883720933</v>
      </c>
    </row>
    <row r="57" spans="2:15" s="76" customFormat="1" x14ac:dyDescent="0.25">
      <c r="B57" s="76" t="str">
        <f>VLOOKUP(F57,[1]NUTS_Europa!$A$2:$C$81,2,FALSE)</f>
        <v>DE80</v>
      </c>
      <c r="C57" s="76">
        <f>VLOOKUP(F57,[1]NUTS_Europa!$A$2:$C$81,3,FALSE)</f>
        <v>245</v>
      </c>
      <c r="D57" s="76" t="str">
        <f>VLOOKUP(G57,[1]NUTS_Europa!$A$2:$C$81,2,FALSE)</f>
        <v>ES11</v>
      </c>
      <c r="E57" s="76">
        <f>VLOOKUP(G57,[1]NUTS_Europa!$A$2:$C$81,3,FALSE)</f>
        <v>285</v>
      </c>
      <c r="F57" s="76">
        <v>46</v>
      </c>
      <c r="G57" s="76">
        <v>51</v>
      </c>
      <c r="H57" s="76">
        <v>59259.211635068961</v>
      </c>
      <c r="I57" s="76">
        <v>4795630.8899827423</v>
      </c>
      <c r="K57" s="76">
        <v>127001.21695280854</v>
      </c>
      <c r="L57" s="76">
        <v>71.852857142857147</v>
      </c>
      <c r="M57" s="76">
        <v>6.7592913353908743</v>
      </c>
      <c r="N57" s="76">
        <v>8.6798247044985843E-2</v>
      </c>
      <c r="O57" s="76">
        <v>15.60948133635801</v>
      </c>
    </row>
    <row r="58" spans="2:15" s="76" customFormat="1" x14ac:dyDescent="0.25">
      <c r="B58" s="76" t="str">
        <f>VLOOKUP(F58,[1]NUTS_Europa!$A$2:$C$81,2,FALSE)</f>
        <v>DE80</v>
      </c>
      <c r="C58" s="76">
        <f>VLOOKUP(F58,[1]NUTS_Europa!$A$2:$C$81,3,FALSE)</f>
        <v>245</v>
      </c>
      <c r="D58" s="76" t="str">
        <f>VLOOKUP(G58,[1]NUTS_Europa!$A$2:$C$81,2,FALSE)</f>
        <v>ES13</v>
      </c>
      <c r="E58" s="76">
        <f>VLOOKUP(G58,[1]NUTS_Europa!$A$2:$C$81,3,FALSE)</f>
        <v>285</v>
      </c>
      <c r="F58" s="76">
        <v>46</v>
      </c>
      <c r="G58" s="76">
        <v>53</v>
      </c>
      <c r="H58" s="76">
        <v>66002.148554304891</v>
      </c>
      <c r="I58" s="76">
        <v>4795630.8899827423</v>
      </c>
      <c r="K58" s="76">
        <v>117768.50934211678</v>
      </c>
      <c r="L58" s="76">
        <v>71.852857142857147</v>
      </c>
      <c r="M58" s="76">
        <v>6.7592913353908743</v>
      </c>
      <c r="N58" s="76">
        <v>8.6798247044985843E-2</v>
      </c>
      <c r="O58" s="76">
        <v>15.60948133635801</v>
      </c>
    </row>
    <row r="59" spans="2:15" s="76" customFormat="1" x14ac:dyDescent="0.25">
      <c r="B59" s="76" t="str">
        <f>VLOOKUP(F59,[1]NUTS_Europa!$A$2:$C$81,2,FALSE)</f>
        <v>DE93</v>
      </c>
      <c r="C59" s="76">
        <f>VLOOKUP(F59,[1]NUTS_Europa!$A$2:$C$81,3,FALSE)</f>
        <v>245</v>
      </c>
      <c r="D59" s="76" t="str">
        <f>VLOOKUP(G59,[1]NUTS_Europa!$A$2:$C$81,2,FALSE)</f>
        <v>FRI1</v>
      </c>
      <c r="E59" s="76">
        <f>VLOOKUP(G59,[1]NUTS_Europa!$A$2:$C$81,3,FALSE)</f>
        <v>275</v>
      </c>
      <c r="F59" s="76">
        <v>47</v>
      </c>
      <c r="G59" s="76">
        <v>64</v>
      </c>
      <c r="H59" s="76">
        <v>760692.1332646315</v>
      </c>
      <c r="I59" s="76">
        <v>6332591.2273846958</v>
      </c>
      <c r="K59" s="76">
        <v>154854.30087154222</v>
      </c>
      <c r="L59" s="76">
        <v>85</v>
      </c>
      <c r="M59" s="76">
        <v>9.3480342060400954</v>
      </c>
      <c r="N59" s="76">
        <v>1.1478335978065561</v>
      </c>
      <c r="O59" s="76">
        <v>178.89087656529517</v>
      </c>
    </row>
    <row r="60" spans="2:15" s="76" customFormat="1" x14ac:dyDescent="0.25">
      <c r="B60" s="76" t="str">
        <f>VLOOKUP(F60,[1]NUTS_Europa!$A$2:$C$81,2,FALSE)</f>
        <v>DE93</v>
      </c>
      <c r="C60" s="76">
        <f>VLOOKUP(F60,[1]NUTS_Europa!$A$2:$C$81,3,FALSE)</f>
        <v>245</v>
      </c>
      <c r="D60" s="76" t="str">
        <f>VLOOKUP(G60,[1]NUTS_Europa!$A$2:$C$81,2,FALSE)</f>
        <v>FRI2</v>
      </c>
      <c r="E60" s="76">
        <f>VLOOKUP(G60,[1]NUTS_Europa!$A$2:$C$81,3,FALSE)</f>
        <v>275</v>
      </c>
      <c r="F60" s="76">
        <v>47</v>
      </c>
      <c r="G60" s="76">
        <v>69</v>
      </c>
      <c r="H60" s="76">
        <v>729687.4821018409</v>
      </c>
      <c r="I60" s="76">
        <v>6332591.2273846958</v>
      </c>
      <c r="K60" s="76">
        <v>114346.85142443764</v>
      </c>
      <c r="L60" s="76">
        <v>85</v>
      </c>
      <c r="M60" s="76">
        <v>9.3480342060400954</v>
      </c>
      <c r="N60" s="76">
        <v>1.1478335978065561</v>
      </c>
      <c r="O60" s="76">
        <v>178.89087656529517</v>
      </c>
    </row>
    <row r="61" spans="2:15" s="76" customFormat="1" x14ac:dyDescent="0.25">
      <c r="B61" s="76" t="str">
        <f>VLOOKUP(F61,[1]NUTS_Europa!$A$2:$C$81,2,FALSE)</f>
        <v>DE94</v>
      </c>
      <c r="C61" s="76">
        <f>VLOOKUP(F61,[1]NUTS_Europa!$A$2:$C$81,3,FALSE)</f>
        <v>1069</v>
      </c>
      <c r="D61" s="76" t="str">
        <f>VLOOKUP(G61,[1]NUTS_Europa!$A$2:$C$81,2,FALSE)</f>
        <v>FRE1</v>
      </c>
      <c r="E61" s="76">
        <f>VLOOKUP(G61,[1]NUTS_Europa!$A$2:$C$81,3,FALSE)</f>
        <v>235</v>
      </c>
      <c r="F61" s="76">
        <v>48</v>
      </c>
      <c r="G61" s="76">
        <v>61</v>
      </c>
      <c r="H61" s="76">
        <v>571741.22089845873</v>
      </c>
      <c r="I61" s="76">
        <v>768381.8715058493</v>
      </c>
      <c r="K61" s="76">
        <v>507158.32774652442</v>
      </c>
      <c r="L61" s="76">
        <v>29.118571428571432</v>
      </c>
      <c r="M61" s="76">
        <v>9.572372488254933</v>
      </c>
      <c r="N61" s="76">
        <v>7.1764800832866538</v>
      </c>
      <c r="O61" s="76">
        <v>1522.6567936191168</v>
      </c>
    </row>
    <row r="62" spans="2:15" s="76" customFormat="1" x14ac:dyDescent="0.25">
      <c r="B62" s="76" t="str">
        <f>VLOOKUP(F62,[1]NUTS_Europa!$A$2:$C$81,2,FALSE)</f>
        <v>DE94</v>
      </c>
      <c r="C62" s="76">
        <f>VLOOKUP(F62,[1]NUTS_Europa!$A$2:$C$81,3,FALSE)</f>
        <v>1069</v>
      </c>
      <c r="D62" s="76" t="str">
        <f>VLOOKUP(G62,[1]NUTS_Europa!$A$2:$C$81,2,FALSE)</f>
        <v>FRF2</v>
      </c>
      <c r="E62" s="76">
        <f>VLOOKUP(G62,[1]NUTS_Europa!$A$2:$C$81,3,FALSE)</f>
        <v>235</v>
      </c>
      <c r="F62" s="76">
        <v>48</v>
      </c>
      <c r="G62" s="76">
        <v>67</v>
      </c>
      <c r="H62" s="76">
        <v>1068354.5160118989</v>
      </c>
      <c r="I62" s="76">
        <v>768381.8715058493</v>
      </c>
      <c r="K62" s="76">
        <v>126450.71705482846</v>
      </c>
      <c r="L62" s="76">
        <v>29.118571428571432</v>
      </c>
      <c r="M62" s="76">
        <v>9.572372488254933</v>
      </c>
      <c r="N62" s="76">
        <v>7.1764800832866538</v>
      </c>
      <c r="O62" s="76">
        <v>1522.6567936191168</v>
      </c>
    </row>
    <row r="63" spans="2:15" s="76" customFormat="1" x14ac:dyDescent="0.25">
      <c r="B63" s="76" t="str">
        <f>VLOOKUP(F63,[1]NUTS_Europa!$A$2:$C$81,2,FALSE)</f>
        <v>DEA1</v>
      </c>
      <c r="C63" s="76">
        <f>VLOOKUP(F63,[1]NUTS_Europa!$A$2:$C$81,3,FALSE)</f>
        <v>245</v>
      </c>
      <c r="D63" s="76" t="str">
        <f>VLOOKUP(G63,[1]NUTS_Europa!$A$2:$C$81,2,FALSE)</f>
        <v>ES11</v>
      </c>
      <c r="E63" s="76">
        <f>VLOOKUP(G63,[1]NUTS_Europa!$A$2:$C$81,3,FALSE)</f>
        <v>285</v>
      </c>
      <c r="F63" s="76">
        <v>49</v>
      </c>
      <c r="G63" s="76">
        <v>51</v>
      </c>
      <c r="H63" s="76">
        <v>58049.991944385321</v>
      </c>
      <c r="I63" s="76">
        <v>4795630.8899827423</v>
      </c>
      <c r="K63" s="76">
        <v>176841.96373917855</v>
      </c>
      <c r="L63" s="76">
        <v>71.852857142857147</v>
      </c>
      <c r="M63" s="76">
        <v>6.7592913353908743</v>
      </c>
      <c r="N63" s="76">
        <v>8.6798247044985843E-2</v>
      </c>
      <c r="O63" s="76">
        <v>15.60948133635801</v>
      </c>
    </row>
    <row r="64" spans="2:15" s="76" customFormat="1" x14ac:dyDescent="0.25">
      <c r="B64" s="76" t="str">
        <f>VLOOKUP(F64,[1]NUTS_Europa!$A$2:$C$81,2,FALSE)</f>
        <v>DEA1</v>
      </c>
      <c r="C64" s="76">
        <f>VLOOKUP(F64,[1]NUTS_Europa!$A$2:$C$81,3,FALSE)</f>
        <v>245</v>
      </c>
      <c r="D64" s="76" t="str">
        <f>VLOOKUP(G64,[1]NUTS_Europa!$A$2:$C$81,2,FALSE)</f>
        <v>ES13</v>
      </c>
      <c r="E64" s="76">
        <f>VLOOKUP(G64,[1]NUTS_Europa!$A$2:$C$81,3,FALSE)</f>
        <v>285</v>
      </c>
      <c r="F64" s="76">
        <v>49</v>
      </c>
      <c r="G64" s="76">
        <v>53</v>
      </c>
      <c r="H64" s="76">
        <v>64792.928863621244</v>
      </c>
      <c r="I64" s="76">
        <v>4795630.8899827423</v>
      </c>
      <c r="K64" s="76">
        <v>199058.85825050285</v>
      </c>
      <c r="L64" s="76">
        <v>71.852857142857147</v>
      </c>
      <c r="M64" s="76">
        <v>6.7592913353908743</v>
      </c>
      <c r="N64" s="76">
        <v>8.6798247044985843E-2</v>
      </c>
      <c r="O64" s="76">
        <v>15.60948133635801</v>
      </c>
    </row>
    <row r="65" spans="2:15" s="76" customFormat="1" x14ac:dyDescent="0.25">
      <c r="B65" s="76" t="str">
        <f>VLOOKUP(F65,[1]NUTS_Europa!$A$2:$C$81,2,FALSE)</f>
        <v>DEF0</v>
      </c>
      <c r="C65" s="76">
        <f>VLOOKUP(F65,[1]NUTS_Europa!$A$2:$C$81,3,FALSE)</f>
        <v>245</v>
      </c>
      <c r="D65" s="76" t="str">
        <f>VLOOKUP(G65,[1]NUTS_Europa!$A$2:$C$81,2,FALSE)</f>
        <v>FRH0</v>
      </c>
      <c r="E65" s="76">
        <f>VLOOKUP(G65,[1]NUTS_Europa!$A$2:$C$81,3,FALSE)</f>
        <v>282</v>
      </c>
      <c r="F65" s="76">
        <v>50</v>
      </c>
      <c r="G65" s="76">
        <v>63</v>
      </c>
      <c r="H65" s="76">
        <v>2758597.7071972955</v>
      </c>
      <c r="I65" s="76">
        <v>5507641.7349160621</v>
      </c>
      <c r="K65" s="76">
        <v>145035.59769143321</v>
      </c>
      <c r="L65" s="76">
        <v>63.290714285714287</v>
      </c>
      <c r="M65" s="76">
        <v>8.1629210957959604</v>
      </c>
      <c r="N65" s="76">
        <v>4.5164669448092924</v>
      </c>
      <c r="O65" s="76">
        <v>703.89534883720933</v>
      </c>
    </row>
    <row r="66" spans="2:15" s="76" customFormat="1" x14ac:dyDescent="0.25">
      <c r="B66" s="76" t="str">
        <f>VLOOKUP(F66,[1]NUTS_Europa!$A$2:$C$81,2,FALSE)</f>
        <v>DEF0</v>
      </c>
      <c r="C66" s="76">
        <f>VLOOKUP(F66,[1]NUTS_Europa!$A$2:$C$81,3,FALSE)</f>
        <v>245</v>
      </c>
      <c r="D66" s="76" t="str">
        <f>VLOOKUP(G66,[1]NUTS_Europa!$A$2:$C$81,2,FALSE)</f>
        <v>FRI3</v>
      </c>
      <c r="E66" s="76">
        <f>VLOOKUP(G66,[1]NUTS_Europa!$A$2:$C$81,3,FALSE)</f>
        <v>282</v>
      </c>
      <c r="F66" s="76">
        <v>50</v>
      </c>
      <c r="G66" s="76">
        <v>65</v>
      </c>
      <c r="H66" s="76">
        <v>2888911.9648135742</v>
      </c>
      <c r="I66" s="76">
        <v>5507641.7349160621</v>
      </c>
      <c r="K66" s="76">
        <v>191087.21980936834</v>
      </c>
      <c r="L66" s="76">
        <v>63.290714285714287</v>
      </c>
      <c r="M66" s="76">
        <v>8.1629210957959604</v>
      </c>
      <c r="N66" s="76">
        <v>4.5164669448092924</v>
      </c>
      <c r="O66" s="76">
        <v>703.89534883720933</v>
      </c>
    </row>
    <row r="67" spans="2:15" s="76" customFormat="1" x14ac:dyDescent="0.25">
      <c r="B67" s="76" t="str">
        <f>VLOOKUP(F67,[1]NUTS_Europa!$A$2:$C$81,2,FALSE)</f>
        <v>ES21</v>
      </c>
      <c r="C67" s="76">
        <f>VLOOKUP(F67,[1]NUTS_Europa!$A$2:$C$81,3,FALSE)</f>
        <v>1063</v>
      </c>
      <c r="D67" s="76" t="str">
        <f>VLOOKUP(G67,[1]NUTS_Europa!$A$2:$C$81,2,FALSE)</f>
        <v>ES61</v>
      </c>
      <c r="E67" s="76">
        <f>VLOOKUP(G67,[1]NUTS_Europa!$A$2:$C$81,3,FALSE)</f>
        <v>297</v>
      </c>
      <c r="F67" s="76">
        <v>54</v>
      </c>
      <c r="G67" s="76">
        <v>57</v>
      </c>
      <c r="H67" s="76">
        <v>1063739.3476351984</v>
      </c>
      <c r="I67" s="76">
        <v>4735674.4126609452</v>
      </c>
      <c r="K67" s="76">
        <v>199597.7643046609</v>
      </c>
      <c r="L67" s="76">
        <v>41.857142857142854</v>
      </c>
      <c r="M67" s="76">
        <v>6.3046661521126817</v>
      </c>
      <c r="N67" s="76">
        <v>4.2432952240920203</v>
      </c>
      <c r="O67" s="76">
        <v>901.90166502666227</v>
      </c>
    </row>
    <row r="68" spans="2:15" s="76" customFormat="1" x14ac:dyDescent="0.25">
      <c r="B68" s="76" t="str">
        <f>VLOOKUP(F68,[1]NUTS_Europa!$A$2:$C$81,2,FALSE)</f>
        <v>ES21</v>
      </c>
      <c r="C68" s="76">
        <f>VLOOKUP(F68,[1]NUTS_Europa!$A$2:$C$81,3,FALSE)</f>
        <v>1063</v>
      </c>
      <c r="D68" s="76" t="str">
        <f>VLOOKUP(G68,[1]NUTS_Europa!$A$2:$C$81,2,FALSE)</f>
        <v>FRD2</v>
      </c>
      <c r="E68" s="76">
        <f>VLOOKUP(G68,[1]NUTS_Europa!$A$2:$C$81,3,FALSE)</f>
        <v>271</v>
      </c>
      <c r="F68" s="76">
        <v>54</v>
      </c>
      <c r="G68" s="76">
        <v>60</v>
      </c>
      <c r="H68" s="76">
        <v>261624.72277969259</v>
      </c>
      <c r="I68" s="76">
        <v>5479040.2671863781</v>
      </c>
      <c r="K68" s="76">
        <v>159445.52860932166</v>
      </c>
      <c r="L68" s="76">
        <v>119.21428571428571</v>
      </c>
      <c r="M68" s="76">
        <v>10.264707292372384</v>
      </c>
      <c r="N68" s="76">
        <v>1.6659201343828627</v>
      </c>
      <c r="O68" s="76">
        <v>299.59302325581393</v>
      </c>
    </row>
    <row r="69" spans="2:15" s="76" customFormat="1" x14ac:dyDescent="0.25">
      <c r="B69" s="76" t="str">
        <f>VLOOKUP(F69,[1]NUTS_Europa!$A$2:$C$81,2,FALSE)</f>
        <v>ES51</v>
      </c>
      <c r="C69" s="76">
        <f>VLOOKUP(F69,[1]NUTS_Europa!$A$2:$C$81,3,FALSE)</f>
        <v>1064</v>
      </c>
      <c r="D69" s="76" t="str">
        <f>VLOOKUP(G69,[1]NUTS_Europa!$A$2:$C$81,2,FALSE)</f>
        <v>ES62</v>
      </c>
      <c r="E69" s="76">
        <f>VLOOKUP(G69,[1]NUTS_Europa!$A$2:$C$81,3,FALSE)</f>
        <v>462</v>
      </c>
      <c r="F69" s="76">
        <v>55</v>
      </c>
      <c r="G69" s="76">
        <v>58</v>
      </c>
      <c r="H69" s="76">
        <v>1052995.6815304749</v>
      </c>
      <c r="I69" s="76">
        <v>706260.37715726974</v>
      </c>
      <c r="K69" s="76">
        <v>114203.52260471623</v>
      </c>
      <c r="L69" s="76">
        <v>23.785714285714285</v>
      </c>
      <c r="M69" s="76">
        <v>7.914416982638345</v>
      </c>
      <c r="N69" s="76">
        <v>4.5878681908245769</v>
      </c>
      <c r="O69" s="76">
        <v>975.13977739150903</v>
      </c>
    </row>
    <row r="70" spans="2:15" s="76" customFormat="1" x14ac:dyDescent="0.25">
      <c r="B70" s="76" t="str">
        <f>VLOOKUP(F70,[1]NUTS_Europa!$A$2:$C$81,2,FALSE)</f>
        <v>ES51</v>
      </c>
      <c r="C70" s="76">
        <f>VLOOKUP(F70,[1]NUTS_Europa!$A$2:$C$81,3,FALSE)</f>
        <v>1064</v>
      </c>
      <c r="D70" s="76" t="str">
        <f>VLOOKUP(G70,[1]NUTS_Europa!$A$2:$C$81,2,FALSE)</f>
        <v>FRD2</v>
      </c>
      <c r="E70" s="76">
        <f>VLOOKUP(G70,[1]NUTS_Europa!$A$2:$C$81,3,FALSE)</f>
        <v>271</v>
      </c>
      <c r="F70" s="76">
        <v>55</v>
      </c>
      <c r="G70" s="76">
        <v>60</v>
      </c>
      <c r="H70" s="76">
        <v>159566.34517823873</v>
      </c>
      <c r="I70" s="76">
        <v>1494156.4487555844</v>
      </c>
      <c r="K70" s="76">
        <v>507158.32774652442</v>
      </c>
      <c r="L70" s="76">
        <v>110.07142857142857</v>
      </c>
      <c r="M70" s="76">
        <v>12.321983665622035</v>
      </c>
      <c r="N70" s="76">
        <v>1.6659201343828627</v>
      </c>
      <c r="O70" s="76">
        <v>299.59302325581393</v>
      </c>
    </row>
    <row r="71" spans="2:15" s="76" customFormat="1" x14ac:dyDescent="0.25">
      <c r="B71" s="76" t="str">
        <f>VLOOKUP(F71,[1]NUTS_Europa!$A$2:$C$81,2,FALSE)</f>
        <v>ES52</v>
      </c>
      <c r="C71" s="76">
        <f>VLOOKUP(F71,[1]NUTS_Europa!$A$2:$C$81,3,FALSE)</f>
        <v>1063</v>
      </c>
      <c r="D71" s="76" t="str">
        <f>VLOOKUP(G71,[1]NUTS_Europa!$A$2:$C$81,2,FALSE)</f>
        <v>ES61</v>
      </c>
      <c r="E71" s="76">
        <f>VLOOKUP(G71,[1]NUTS_Europa!$A$2:$C$81,3,FALSE)</f>
        <v>297</v>
      </c>
      <c r="F71" s="76">
        <v>56</v>
      </c>
      <c r="G71" s="76">
        <v>57</v>
      </c>
      <c r="H71" s="76">
        <v>774795.3074072767</v>
      </c>
      <c r="I71" s="76">
        <v>4735674.4126609452</v>
      </c>
      <c r="K71" s="76">
        <v>176841.96373917855</v>
      </c>
      <c r="L71" s="76">
        <v>41.857142857142854</v>
      </c>
      <c r="M71" s="76">
        <v>6.3046661521126817</v>
      </c>
      <c r="N71" s="76">
        <v>4.2432952240920203</v>
      </c>
      <c r="O71" s="76">
        <v>901.90166502666227</v>
      </c>
    </row>
    <row r="72" spans="2:15" s="76" customFormat="1" x14ac:dyDescent="0.25">
      <c r="B72" s="76" t="str">
        <f>VLOOKUP(F72,[1]NUTS_Europa!$A$2:$C$81,2,FALSE)</f>
        <v>ES52</v>
      </c>
      <c r="C72" s="76">
        <f>VLOOKUP(F72,[1]NUTS_Europa!$A$2:$C$81,3,FALSE)</f>
        <v>1063</v>
      </c>
      <c r="D72" s="76" t="str">
        <f>VLOOKUP(G72,[1]NUTS_Europa!$A$2:$C$81,2,FALSE)</f>
        <v>ES62</v>
      </c>
      <c r="E72" s="76">
        <f>VLOOKUP(G72,[1]NUTS_Europa!$A$2:$C$81,3,FALSE)</f>
        <v>462</v>
      </c>
      <c r="F72" s="76">
        <v>56</v>
      </c>
      <c r="G72" s="76">
        <v>58</v>
      </c>
      <c r="H72" s="76">
        <v>1070616.0969089533</v>
      </c>
      <c r="I72" s="76">
        <v>4675953.5601060921</v>
      </c>
      <c r="K72" s="76">
        <v>163171.48832599766</v>
      </c>
      <c r="L72" s="76">
        <v>32.857142857142854</v>
      </c>
      <c r="M72" s="76">
        <v>5.8571406093886935</v>
      </c>
      <c r="N72" s="76">
        <v>4.5878681908245769</v>
      </c>
      <c r="O72" s="76">
        <v>975.13977739150903</v>
      </c>
    </row>
    <row r="73" spans="2:15" s="76" customFormat="1" x14ac:dyDescent="0.25">
      <c r="B73" s="76" t="str">
        <f>VLOOKUP(F73,[1]NUTS_Europa!$A$2:$C$81,2,FALSE)</f>
        <v>FRD1</v>
      </c>
      <c r="C73" s="76">
        <f>VLOOKUP(F73,[1]NUTS_Europa!$A$2:$C$81,3,FALSE)</f>
        <v>269</v>
      </c>
      <c r="D73" s="76" t="str">
        <f>VLOOKUP(G73,[1]NUTS_Europa!$A$2:$C$81,2,FALSE)</f>
        <v>FRJ2</v>
      </c>
      <c r="E73" s="76">
        <f>VLOOKUP(G73,[1]NUTS_Europa!$A$2:$C$81,3,FALSE)</f>
        <v>163</v>
      </c>
      <c r="F73" s="76">
        <v>59</v>
      </c>
      <c r="G73" s="76">
        <v>68</v>
      </c>
      <c r="H73" s="76">
        <v>2809942.48947111</v>
      </c>
      <c r="I73" s="76">
        <v>1012122.3978560971</v>
      </c>
      <c r="K73" s="76">
        <v>145277.79316174539</v>
      </c>
      <c r="L73" s="76">
        <v>43.427857142857142</v>
      </c>
      <c r="M73" s="76">
        <v>11.390696787982471</v>
      </c>
      <c r="N73" s="76">
        <v>19.79482197960683</v>
      </c>
      <c r="O73" s="76">
        <v>3085.040429338103</v>
      </c>
    </row>
    <row r="74" spans="2:15" s="76" customFormat="1" x14ac:dyDescent="0.25">
      <c r="B74" s="76" t="str">
        <f>VLOOKUP(F74,[1]NUTS_Europa!$A$2:$C$81,2,FALSE)</f>
        <v>FRJ1</v>
      </c>
      <c r="C74" s="76">
        <f>VLOOKUP(F74,[1]NUTS_Europa!$A$2:$C$81,3,FALSE)</f>
        <v>1064</v>
      </c>
      <c r="D74" s="76" t="str">
        <f>VLOOKUP(G74,[1]NUTS_Europa!$A$2:$C$81,2,FALSE)</f>
        <v>PT11</v>
      </c>
      <c r="E74" s="76">
        <f>VLOOKUP(G74,[1]NUTS_Europa!$A$2:$C$81,3,FALSE)</f>
        <v>288</v>
      </c>
      <c r="F74" s="76">
        <v>66</v>
      </c>
      <c r="G74" s="76">
        <v>76</v>
      </c>
      <c r="H74" s="76">
        <v>807990.87382197916</v>
      </c>
      <c r="I74" s="76">
        <v>1149027.1026850892</v>
      </c>
      <c r="K74" s="76">
        <v>123614.25510828695</v>
      </c>
      <c r="L74" s="76">
        <v>65.142857142857139</v>
      </c>
      <c r="M74" s="76">
        <v>10.541011958517267</v>
      </c>
      <c r="N74" s="76">
        <v>4.5189062009214327</v>
      </c>
      <c r="O74" s="76">
        <v>960.4820809003329</v>
      </c>
    </row>
    <row r="75" spans="2:15" s="76" customFormat="1" x14ac:dyDescent="0.25">
      <c r="B75" s="76" t="str">
        <f>VLOOKUP(F75,[1]NUTS_Europa!$A$2:$C$81,2,FALSE)</f>
        <v>FRJ1</v>
      </c>
      <c r="C75" s="76">
        <f>VLOOKUP(F75,[1]NUTS_Europa!$A$2:$C$81,3,FALSE)</f>
        <v>1064</v>
      </c>
      <c r="D75" s="76" t="str">
        <f>VLOOKUP(G75,[1]NUTS_Europa!$A$2:$C$81,2,FALSE)</f>
        <v>PT17</v>
      </c>
      <c r="E75" s="76">
        <f>VLOOKUP(G75,[1]NUTS_Europa!$A$2:$C$81,3,FALSE)</f>
        <v>297</v>
      </c>
      <c r="F75" s="76">
        <v>66</v>
      </c>
      <c r="G75" s="76">
        <v>79</v>
      </c>
      <c r="H75" s="76">
        <v>840207.86279779742</v>
      </c>
      <c r="I75" s="76">
        <v>763327.5180927004</v>
      </c>
      <c r="K75" s="76">
        <v>192445.71807502842</v>
      </c>
      <c r="L75" s="76">
        <v>33.071428571428569</v>
      </c>
      <c r="M75" s="76">
        <v>8.3619425253623341</v>
      </c>
      <c r="N75" s="76">
        <v>4.2432952240920203</v>
      </c>
      <c r="O75" s="76">
        <v>901.90166502666227</v>
      </c>
    </row>
    <row r="76" spans="2:15" s="76" customFormat="1" x14ac:dyDescent="0.25">
      <c r="B76" s="76" t="str">
        <f>VLOOKUP(F76,[1]NUTS_Europa!$A$2:$C$81,2,FALSE)</f>
        <v>NL12</v>
      </c>
      <c r="C76" s="76">
        <f>VLOOKUP(F76,[1]NUTS_Europa!$A$2:$C$81,3,FALSE)</f>
        <v>250</v>
      </c>
      <c r="D76" s="76" t="str">
        <f>VLOOKUP(G76,[1]NUTS_Europa!$A$2:$C$81,2,FALSE)</f>
        <v>PT11</v>
      </c>
      <c r="E76" s="76">
        <f>VLOOKUP(G76,[1]NUTS_Europa!$A$2:$C$81,3,FALSE)</f>
        <v>288</v>
      </c>
      <c r="F76" s="76">
        <v>71</v>
      </c>
      <c r="G76" s="76">
        <v>76</v>
      </c>
      <c r="H76" s="76">
        <v>703958.80993704603</v>
      </c>
      <c r="I76" s="76">
        <v>1236869.2841741724</v>
      </c>
      <c r="K76" s="76">
        <v>142841.86171918266</v>
      </c>
      <c r="L76" s="76">
        <v>64.987142857142857</v>
      </c>
      <c r="M76" s="76">
        <v>8.6067497786204665</v>
      </c>
      <c r="N76" s="76">
        <v>5.3408668195839333</v>
      </c>
      <c r="O76" s="76">
        <v>960.4820809003329</v>
      </c>
    </row>
    <row r="77" spans="2:15" s="76" customFormat="1" x14ac:dyDescent="0.25">
      <c r="B77" s="76" t="str">
        <f>VLOOKUP(F77,[1]NUTS_Europa!$A$2:$C$81,2,FALSE)</f>
        <v>NL12</v>
      </c>
      <c r="C77" s="76">
        <f>VLOOKUP(F77,[1]NUTS_Europa!$A$2:$C$81,3,FALSE)</f>
        <v>250</v>
      </c>
      <c r="D77" s="76" t="str">
        <f>VLOOKUP(G77,[1]NUTS_Europa!$A$2:$C$81,2,FALSE)</f>
        <v>PT16</v>
      </c>
      <c r="E77" s="76">
        <f>VLOOKUP(G77,[1]NUTS_Europa!$A$2:$C$81,3,FALSE)</f>
        <v>294</v>
      </c>
      <c r="F77" s="76">
        <v>71</v>
      </c>
      <c r="G77" s="76">
        <v>78</v>
      </c>
      <c r="H77" s="76">
        <v>2433700.9728530557</v>
      </c>
      <c r="I77" s="76">
        <v>1301547.3508030903</v>
      </c>
      <c r="K77" s="76">
        <v>135416.16142478216</v>
      </c>
      <c r="L77" s="76">
        <v>79.83642857142857</v>
      </c>
      <c r="M77" s="76">
        <v>7.7898494522386352</v>
      </c>
      <c r="N77" s="76">
        <v>16.757552580554151</v>
      </c>
      <c r="O77" s="76">
        <v>3013.6173615767602</v>
      </c>
    </row>
    <row r="78" spans="2:15" s="76" customFormat="1" x14ac:dyDescent="0.25">
      <c r="B78" s="76" t="str">
        <f>VLOOKUP(F78,[1]NUTS_Europa!$A$2:$C$81,2,FALSE)</f>
        <v>NL32</v>
      </c>
      <c r="C78" s="76">
        <f>VLOOKUP(F78,[1]NUTS_Europa!$A$2:$C$81,3,FALSE)</f>
        <v>253</v>
      </c>
      <c r="D78" s="76" t="str">
        <f>VLOOKUP(G78,[1]NUTS_Europa!$A$2:$C$81,2,FALSE)</f>
        <v>NL34</v>
      </c>
      <c r="E78" s="76">
        <f>VLOOKUP(G78,[1]NUTS_Europa!$A$2:$C$81,3,FALSE)</f>
        <v>218</v>
      </c>
      <c r="F78" s="76">
        <v>72</v>
      </c>
      <c r="G78" s="76">
        <v>74</v>
      </c>
      <c r="H78" s="76">
        <v>2608415.0291926917</v>
      </c>
      <c r="I78" s="76">
        <v>808678.53355081112</v>
      </c>
      <c r="K78" s="76">
        <v>120125.80522925351</v>
      </c>
      <c r="L78" s="76">
        <v>12.785</v>
      </c>
      <c r="M78" s="76">
        <v>11.933003155022533</v>
      </c>
      <c r="N78" s="76">
        <v>26.943762908255376</v>
      </c>
      <c r="O78" s="76">
        <v>5123.2789092745306</v>
      </c>
    </row>
    <row r="79" spans="2:15" s="76" customFormat="1" x14ac:dyDescent="0.25">
      <c r="B79" s="76" t="str">
        <f>VLOOKUP(F79,[1]NUTS_Europa!$A$2:$C$81,2,FALSE)</f>
        <v>NL32</v>
      </c>
      <c r="C79" s="76">
        <f>VLOOKUP(F79,[1]NUTS_Europa!$A$2:$C$81,3,FALSE)</f>
        <v>253</v>
      </c>
      <c r="D79" s="76" t="str">
        <f>VLOOKUP(G79,[1]NUTS_Europa!$A$2:$C$81,2,FALSE)</f>
        <v>NL41</v>
      </c>
      <c r="E79" s="76">
        <f>VLOOKUP(G79,[1]NUTS_Europa!$A$2:$C$81,3,FALSE)</f>
        <v>218</v>
      </c>
      <c r="F79" s="76">
        <v>72</v>
      </c>
      <c r="G79" s="76">
        <v>75</v>
      </c>
      <c r="H79" s="76">
        <v>2238437.4427594314</v>
      </c>
      <c r="I79" s="76">
        <v>808678.53355081112</v>
      </c>
      <c r="K79" s="76">
        <v>159445.52860932166</v>
      </c>
      <c r="L79" s="76">
        <v>12.785</v>
      </c>
      <c r="M79" s="76">
        <v>11.933003155022533</v>
      </c>
      <c r="N79" s="76">
        <v>26.943762908255376</v>
      </c>
      <c r="O79" s="76">
        <v>5123.2789092745306</v>
      </c>
    </row>
    <row r="80" spans="2:15" s="76" customFormat="1" x14ac:dyDescent="0.25">
      <c r="B80" s="76" t="str">
        <f>VLOOKUP(F80,[1]NUTS_Europa!$A$2:$C$81,2,FALSE)</f>
        <v>NL33</v>
      </c>
      <c r="C80" s="76">
        <f>VLOOKUP(F80,[1]NUTS_Europa!$A$2:$C$81,3,FALSE)</f>
        <v>220</v>
      </c>
      <c r="D80" s="76" t="str">
        <f>VLOOKUP(G80,[1]NUTS_Europa!$A$2:$C$81,2,FALSE)</f>
        <v>NL34</v>
      </c>
      <c r="E80" s="76">
        <f>VLOOKUP(G80,[1]NUTS_Europa!$A$2:$C$81,3,FALSE)</f>
        <v>218</v>
      </c>
      <c r="F80" s="76">
        <v>73</v>
      </c>
      <c r="G80" s="76">
        <v>74</v>
      </c>
      <c r="H80" s="76">
        <v>2762149.7622565157</v>
      </c>
      <c r="I80" s="76">
        <v>722600.75146479788</v>
      </c>
      <c r="K80" s="76">
        <v>145277.79316174539</v>
      </c>
      <c r="L80" s="76">
        <v>8.9285714285714288</v>
      </c>
      <c r="M80" s="76">
        <v>11.369129447830559</v>
      </c>
      <c r="N80" s="76">
        <v>24.041959112658233</v>
      </c>
      <c r="O80" s="76">
        <v>5123.2789092745306</v>
      </c>
    </row>
    <row r="81" spans="2:27" s="76" customFormat="1" x14ac:dyDescent="0.25">
      <c r="B81" s="76" t="str">
        <f>VLOOKUP(F81,[1]NUTS_Europa!$A$2:$C$81,2,FALSE)</f>
        <v>NL33</v>
      </c>
      <c r="C81" s="76">
        <f>VLOOKUP(F81,[1]NUTS_Europa!$A$2:$C$81,3,FALSE)</f>
        <v>220</v>
      </c>
      <c r="D81" s="76" t="str">
        <f>VLOOKUP(G81,[1]NUTS_Europa!$A$2:$C$81,2,FALSE)</f>
        <v>NL41</v>
      </c>
      <c r="E81" s="76">
        <f>VLOOKUP(G81,[1]NUTS_Europa!$A$2:$C$81,3,FALSE)</f>
        <v>218</v>
      </c>
      <c r="F81" s="76">
        <v>73</v>
      </c>
      <c r="G81" s="76">
        <v>75</v>
      </c>
      <c r="H81" s="76">
        <v>2392172.1758232554</v>
      </c>
      <c r="I81" s="76">
        <v>722600.75146479788</v>
      </c>
      <c r="K81" s="76">
        <v>176841.96373917855</v>
      </c>
      <c r="L81" s="76">
        <v>8.9285714285714288</v>
      </c>
      <c r="M81" s="76">
        <v>11.369129447830559</v>
      </c>
      <c r="N81" s="76">
        <v>24.041959112658233</v>
      </c>
      <c r="O81" s="76">
        <v>5123.2789092745306</v>
      </c>
    </row>
    <row r="82" spans="2:27" s="76" customFormat="1" x14ac:dyDescent="0.25">
      <c r="B82" s="76" t="str">
        <f>VLOOKUP(F82,[1]NUTS_Europa!$A$2:$C$81,2,FALSE)</f>
        <v>PT15</v>
      </c>
      <c r="C82" s="76">
        <f>VLOOKUP(F82,[1]NUTS_Europa!$A$2:$C$81,3,FALSE)</f>
        <v>61</v>
      </c>
      <c r="D82" s="76" t="str">
        <f>VLOOKUP(G82,[1]NUTS_Europa!$A$2:$C$81,2,FALSE)</f>
        <v>PT16</v>
      </c>
      <c r="E82" s="76">
        <f>VLOOKUP(G82,[1]NUTS_Europa!$A$2:$C$81,3,FALSE)</f>
        <v>294</v>
      </c>
      <c r="F82" s="76">
        <v>77</v>
      </c>
      <c r="G82" s="76">
        <v>78</v>
      </c>
      <c r="H82" s="76">
        <v>2530022.8028115411</v>
      </c>
      <c r="I82" s="76">
        <v>679729.06941948284</v>
      </c>
      <c r="K82" s="76">
        <v>127001.21695280854</v>
      </c>
      <c r="L82" s="76">
        <v>21.978571428571428</v>
      </c>
      <c r="M82" s="76">
        <v>8.3364022264981905</v>
      </c>
      <c r="N82" s="76">
        <v>13.197713713181296</v>
      </c>
      <c r="O82" s="76">
        <v>3013.6173615767602</v>
      </c>
    </row>
    <row r="83" spans="2:27" s="76" customFormat="1" x14ac:dyDescent="0.25">
      <c r="B83" s="76" t="str">
        <f>VLOOKUP(F83,[1]NUTS_Europa!$A$2:$C$81,2,FALSE)</f>
        <v>PT15</v>
      </c>
      <c r="C83" s="76">
        <f>VLOOKUP(F83,[1]NUTS_Europa!$A$2:$C$81,3,FALSE)</f>
        <v>61</v>
      </c>
      <c r="D83" s="76" t="str">
        <f>VLOOKUP(G83,[1]NUTS_Europa!$A$2:$C$81,2,FALSE)</f>
        <v>PT17</v>
      </c>
      <c r="E83" s="76">
        <f>VLOOKUP(G83,[1]NUTS_Europa!$A$2:$C$81,3,FALSE)</f>
        <v>297</v>
      </c>
      <c r="F83" s="76">
        <v>77</v>
      </c>
      <c r="G83" s="76">
        <v>79</v>
      </c>
      <c r="H83" s="76">
        <v>768916.21823423519</v>
      </c>
      <c r="I83" s="76">
        <v>490210.6489528747</v>
      </c>
      <c r="K83" s="76">
        <v>113696.3812050019</v>
      </c>
      <c r="L83" s="76">
        <v>5.3571428571428568</v>
      </c>
      <c r="M83" s="76">
        <v>6.9742331197250875</v>
      </c>
      <c r="N83" s="76">
        <v>3.9497515922975746</v>
      </c>
      <c r="O83" s="76">
        <v>901.90166502666227</v>
      </c>
    </row>
    <row r="84" spans="2:27" s="76" customFormat="1" x14ac:dyDescent="0.25"/>
    <row r="85" spans="2:27" s="76" customFormat="1" x14ac:dyDescent="0.25"/>
    <row r="86" spans="2:27" s="76" customFormat="1" x14ac:dyDescent="0.25">
      <c r="B86" s="76" t="s">
        <v>132</v>
      </c>
    </row>
    <row r="87" spans="2:27" s="76" customFormat="1" x14ac:dyDescent="0.25">
      <c r="B87" s="76" t="s">
        <v>134</v>
      </c>
      <c r="C87" s="76" t="s">
        <v>135</v>
      </c>
      <c r="D87" s="76" t="s">
        <v>131</v>
      </c>
      <c r="E87" s="76" t="s">
        <v>136</v>
      </c>
      <c r="F87" s="76" t="s">
        <v>39</v>
      </c>
      <c r="G87" s="76" t="s">
        <v>40</v>
      </c>
      <c r="H87" s="76" t="s">
        <v>137</v>
      </c>
      <c r="I87" s="76" t="s">
        <v>133</v>
      </c>
      <c r="J87" s="76" t="str">
        <f>J104</f>
        <v>Coste fijo/buque</v>
      </c>
      <c r="K87" s="76" t="s">
        <v>41</v>
      </c>
      <c r="L87" s="76" t="s">
        <v>42</v>
      </c>
      <c r="M87" s="76" t="s">
        <v>43</v>
      </c>
      <c r="N87" s="76" t="s">
        <v>44</v>
      </c>
      <c r="O87" s="76" t="s">
        <v>45</v>
      </c>
      <c r="P87" s="76" t="str">
        <f t="shared" ref="P87:Y87" si="0">P104</f>
        <v>Tiempo C/D</v>
      </c>
      <c r="Q87" s="76" t="str">
        <f t="shared" si="0"/>
        <v>Tiempo total</v>
      </c>
      <c r="R87" s="76" t="str">
        <f t="shared" si="0"/>
        <v>TEUs/buque</v>
      </c>
      <c r="S87" s="76" t="str">
        <f t="shared" si="0"/>
        <v>Coste variable</v>
      </c>
      <c r="T87" s="76" t="str">
        <f t="shared" si="0"/>
        <v>Coste fijo</v>
      </c>
      <c r="U87" s="76" t="str">
        <f t="shared" si="0"/>
        <v>Coste Total</v>
      </c>
      <c r="V87" s="76" t="str">
        <f t="shared" si="0"/>
        <v>Nodo inicial</v>
      </c>
      <c r="W87" s="76" t="str">
        <f t="shared" si="0"/>
        <v>Puerto O</v>
      </c>
      <c r="X87" s="76" t="str">
        <f t="shared" si="0"/>
        <v>Nodo final</v>
      </c>
      <c r="Y87" s="76" t="str">
        <f t="shared" si="0"/>
        <v>Puerto D</v>
      </c>
    </row>
    <row r="88" spans="2:27" s="76" customFormat="1" x14ac:dyDescent="0.25">
      <c r="B88" s="76" t="str">
        <f>VLOOKUP(F88,[1]NUTS_Europa!$A$2:$C$81,2,FALSE)</f>
        <v>ES21</v>
      </c>
      <c r="C88" s="76">
        <f>VLOOKUP(F88,[1]NUTS_Europa!$A$2:$C$81,3,FALSE)</f>
        <v>1063</v>
      </c>
      <c r="D88" s="76" t="str">
        <f>VLOOKUP(G88,[1]NUTS_Europa!$A$2:$C$81,2,FALSE)</f>
        <v>FRD2</v>
      </c>
      <c r="E88" s="76">
        <f>VLOOKUP(G88,[1]NUTS_Europa!$A$2:$C$81,3,FALSE)</f>
        <v>271</v>
      </c>
      <c r="F88" s="76">
        <v>54</v>
      </c>
      <c r="G88" s="76">
        <v>60</v>
      </c>
      <c r="H88" s="78">
        <v>261624.72277969259</v>
      </c>
      <c r="I88" s="78">
        <v>5479040.2671863781</v>
      </c>
      <c r="J88" s="78">
        <f>I88/14</f>
        <v>391360.0190847413</v>
      </c>
      <c r="K88" s="79">
        <v>159445.52860932166</v>
      </c>
      <c r="L88" s="80">
        <v>119.21428571428571</v>
      </c>
      <c r="M88" s="80">
        <v>10.264707292372384</v>
      </c>
      <c r="N88" s="80">
        <v>1.6659201343828627</v>
      </c>
      <c r="O88" s="79">
        <v>299.59302325581393</v>
      </c>
    </row>
    <row r="89" spans="2:27" s="76" customFormat="1" x14ac:dyDescent="0.25">
      <c r="B89" s="76" t="str">
        <f>VLOOKUP(G89,[1]NUTS_Europa!$A$2:$C$81,2,FALSE)</f>
        <v>FRD2</v>
      </c>
      <c r="C89" s="76">
        <f>VLOOKUP(G89,[1]NUTS_Europa!$A$2:$C$81,3,FALSE)</f>
        <v>271</v>
      </c>
      <c r="D89" s="76" t="str">
        <f>VLOOKUP(F89,[1]NUTS_Europa!$A$2:$C$81,2,FALSE)</f>
        <v>ES51</v>
      </c>
      <c r="E89" s="76">
        <f>VLOOKUP(F89,[1]NUTS_Europa!$A$2:$C$81,3,FALSE)</f>
        <v>1064</v>
      </c>
      <c r="F89" s="76">
        <v>55</v>
      </c>
      <c r="G89" s="76">
        <v>60</v>
      </c>
      <c r="H89" s="78">
        <v>159566.34517823873</v>
      </c>
      <c r="I89" s="78">
        <v>1494156.4487555844</v>
      </c>
      <c r="J89" s="78">
        <f>I89/14</f>
        <v>106725.46062539889</v>
      </c>
      <c r="K89" s="79">
        <v>507158.32774652442</v>
      </c>
      <c r="L89" s="80">
        <v>110.07142857142857</v>
      </c>
      <c r="M89" s="80">
        <v>12.321983665622035</v>
      </c>
      <c r="N89" s="80">
        <v>1.6659201343828627</v>
      </c>
      <c r="O89" s="79">
        <v>299.59302325581393</v>
      </c>
    </row>
    <row r="90" spans="2:27" s="76" customFormat="1" x14ac:dyDescent="0.25">
      <c r="B90" s="76" t="str">
        <f>VLOOKUP(F90,[1]NUTS_Europa!$A$2:$C$81,2,FALSE)</f>
        <v>ES51</v>
      </c>
      <c r="C90" s="76">
        <f>VLOOKUP(F90,[1]NUTS_Europa!$A$2:$C$81,3,FALSE)</f>
        <v>1064</v>
      </c>
      <c r="D90" s="76" t="str">
        <f>VLOOKUP(G90,[1]NUTS_Europa!$A$2:$C$81,2,FALSE)</f>
        <v>ES62</v>
      </c>
      <c r="E90" s="76">
        <f>VLOOKUP(G90,[1]NUTS_Europa!$A$2:$C$81,3,FALSE)</f>
        <v>462</v>
      </c>
      <c r="F90" s="76">
        <v>55</v>
      </c>
      <c r="G90" s="76">
        <v>58</v>
      </c>
      <c r="H90" s="78">
        <v>1052995.6815304749</v>
      </c>
      <c r="I90" s="78">
        <v>706260.37715726974</v>
      </c>
      <c r="J90" s="78">
        <f>I90/14</f>
        <v>50447.169796947841</v>
      </c>
      <c r="K90" s="79">
        <v>114203.52260471623</v>
      </c>
      <c r="L90" s="80">
        <v>23.785714285714285</v>
      </c>
      <c r="M90" s="80">
        <v>7.914416982638345</v>
      </c>
      <c r="N90" s="80">
        <v>4.5878681908245769</v>
      </c>
      <c r="O90" s="79">
        <v>975.13977739150903</v>
      </c>
    </row>
    <row r="91" spans="2:27" s="76" customFormat="1" x14ac:dyDescent="0.25">
      <c r="B91" s="76" t="str">
        <f>VLOOKUP(G91,[1]NUTS_Europa!$A$2:$C$81,2,FALSE)</f>
        <v>ES62</v>
      </c>
      <c r="C91" s="76">
        <f>VLOOKUP(G91,[1]NUTS_Europa!$A$2:$C$81,3,FALSE)</f>
        <v>462</v>
      </c>
      <c r="D91" s="76" t="str">
        <f>VLOOKUP(F91,[1]NUTS_Europa!$A$2:$C$81,2,FALSE)</f>
        <v>ES52</v>
      </c>
      <c r="E91" s="76">
        <f>VLOOKUP(F91,[1]NUTS_Europa!$A$2:$C$81,3,FALSE)</f>
        <v>1063</v>
      </c>
      <c r="F91" s="76">
        <v>56</v>
      </c>
      <c r="G91" s="76">
        <v>58</v>
      </c>
      <c r="H91" s="78">
        <v>1070616.0969089533</v>
      </c>
      <c r="I91" s="78">
        <v>4675953.5601060921</v>
      </c>
      <c r="J91" s="78">
        <f>I91/14</f>
        <v>333996.68286472087</v>
      </c>
      <c r="K91" s="79">
        <v>163171.48832599766</v>
      </c>
      <c r="L91" s="80">
        <v>32.857142857142854</v>
      </c>
      <c r="M91" s="80">
        <v>5.8571406093886935</v>
      </c>
      <c r="N91" s="80">
        <v>4.5878681908245769</v>
      </c>
      <c r="O91" s="79">
        <v>975.13977739150903</v>
      </c>
    </row>
    <row r="92" spans="2:27" s="76" customFormat="1" x14ac:dyDescent="0.25"/>
    <row r="93" spans="2:27" s="76" customFormat="1" x14ac:dyDescent="0.25">
      <c r="Z93" s="76">
        <f>4/3</f>
        <v>1.3333333333333333</v>
      </c>
    </row>
    <row r="94" spans="2:27" s="76" customFormat="1" x14ac:dyDescent="0.25">
      <c r="B94" s="76" t="s">
        <v>138</v>
      </c>
      <c r="Q94" s="80">
        <f>SUM(Q96:Q101)</f>
        <v>397.91571625272371</v>
      </c>
      <c r="R94" s="76">
        <f>Q94/24</f>
        <v>16.579821510530156</v>
      </c>
      <c r="S94" s="76">
        <f>R94/7</f>
        <v>2.3685459300757365</v>
      </c>
    </row>
    <row r="95" spans="2:27" s="76" customFormat="1" x14ac:dyDescent="0.25">
      <c r="B95" s="76" t="s">
        <v>134</v>
      </c>
      <c r="C95" s="76" t="s">
        <v>135</v>
      </c>
      <c r="D95" s="76" t="s">
        <v>131</v>
      </c>
      <c r="E95" s="76" t="s">
        <v>136</v>
      </c>
      <c r="F95" s="76" t="s">
        <v>39</v>
      </c>
      <c r="G95" s="76" t="s">
        <v>40</v>
      </c>
      <c r="H95" s="76" t="s">
        <v>137</v>
      </c>
      <c r="I95" s="76" t="s">
        <v>133</v>
      </c>
      <c r="J95" s="76" t="str">
        <f>J87</f>
        <v>Coste fijo/buque</v>
      </c>
      <c r="K95" s="76" t="s">
        <v>41</v>
      </c>
      <c r="L95" s="76" t="s">
        <v>42</v>
      </c>
      <c r="M95" s="76" t="s">
        <v>43</v>
      </c>
      <c r="N95" s="76" t="s">
        <v>44</v>
      </c>
      <c r="O95" s="76" t="s">
        <v>45</v>
      </c>
      <c r="P95" s="76" t="str">
        <f t="shared" ref="P95:Y95" si="1">P87</f>
        <v>Tiempo C/D</v>
      </c>
      <c r="Q95" s="76" t="str">
        <f t="shared" si="1"/>
        <v>Tiempo total</v>
      </c>
      <c r="R95" s="76" t="str">
        <f t="shared" si="1"/>
        <v>TEUs/buque</v>
      </c>
      <c r="S95" s="76" t="str">
        <f t="shared" si="1"/>
        <v>Coste variable</v>
      </c>
      <c r="T95" s="76" t="str">
        <f t="shared" si="1"/>
        <v>Coste fijo</v>
      </c>
      <c r="U95" s="76" t="str">
        <f t="shared" si="1"/>
        <v>Coste Total</v>
      </c>
      <c r="V95" s="76" t="str">
        <f t="shared" si="1"/>
        <v>Nodo inicial</v>
      </c>
      <c r="W95" s="76" t="str">
        <f t="shared" si="1"/>
        <v>Puerto O</v>
      </c>
      <c r="X95" s="76" t="str">
        <f t="shared" si="1"/>
        <v>Nodo final</v>
      </c>
      <c r="Y95" s="76" t="str">
        <f t="shared" si="1"/>
        <v>Puerto D</v>
      </c>
    </row>
    <row r="96" spans="2:27" s="76" customFormat="1" x14ac:dyDescent="0.25">
      <c r="B96" s="76" t="str">
        <f>VLOOKUP(F96,[1]NUTS_Europa!$A$2:$C$81,2,FALSE)</f>
        <v>FRJ1</v>
      </c>
      <c r="C96" s="76">
        <f>VLOOKUP(F96,[1]NUTS_Europa!$A$2:$C$81,3,FALSE)</f>
        <v>1064</v>
      </c>
      <c r="D96" s="76" t="str">
        <f>VLOOKUP(G96,[1]NUTS_Europa!$A$2:$C$81,2,FALSE)</f>
        <v>PT11</v>
      </c>
      <c r="E96" s="76">
        <f>VLOOKUP(G96,[1]NUTS_Europa!$A$2:$C$81,3,FALSE)</f>
        <v>288</v>
      </c>
      <c r="F96" s="76">
        <v>66</v>
      </c>
      <c r="G96" s="76">
        <v>76</v>
      </c>
      <c r="H96" s="78">
        <v>807990.87382197916</v>
      </c>
      <c r="I96" s="78">
        <v>1149027.1026850892</v>
      </c>
      <c r="J96" s="78">
        <f t="shared" ref="J96:J101" si="2">I96/14</f>
        <v>82073.364477506373</v>
      </c>
      <c r="K96" s="79">
        <v>123614.25510828695</v>
      </c>
      <c r="L96" s="80">
        <v>65.142857142857139</v>
      </c>
      <c r="M96" s="80">
        <v>10.541011958517267</v>
      </c>
      <c r="N96" s="80">
        <f>4.51890620092143+6</f>
        <v>10.51890620092143</v>
      </c>
      <c r="O96" s="79">
        <v>960.4820809003329</v>
      </c>
      <c r="P96" s="80">
        <f>N96</f>
        <v>10.51890620092143</v>
      </c>
      <c r="Q96" s="80">
        <f t="shared" ref="Q96:Q101" si="3">L96+M96+P96</f>
        <v>86.202775302295834</v>
      </c>
      <c r="R96" s="79">
        <f>O96</f>
        <v>960.4820809003329</v>
      </c>
      <c r="S96" s="78">
        <f>H96</f>
        <v>807990.87382197916</v>
      </c>
      <c r="T96" s="78">
        <f t="shared" ref="T96:T101" si="4">J96*2</f>
        <v>164146.72895501275</v>
      </c>
      <c r="U96" s="78">
        <f t="shared" ref="U96:U101" si="5">T96+S96</f>
        <v>972137.6027769919</v>
      </c>
      <c r="V96" s="76" t="str">
        <f>VLOOKUP(B96,NUTS_Europa!$B$2:$F$41,5,FALSE)</f>
        <v>Languedoc-Roussillon</v>
      </c>
      <c r="W96" s="76" t="str">
        <f>VLOOKUP(C96,Puertos!$N$3:$O$27,2,FALSE)</f>
        <v>Valencia</v>
      </c>
      <c r="X96" s="76" t="str">
        <f>VLOOKUP(D96,NUTS_Europa!$B$2:$F$41,5,FALSE)</f>
        <v>Norte</v>
      </c>
      <c r="Y96" s="76" t="str">
        <f>VLOOKUP(E96,Puertos!$N$3:$O$27,2,FALSE)</f>
        <v>Vigo</v>
      </c>
      <c r="Z96" s="80">
        <f t="shared" ref="Z96:Z101" si="6">(168/2)-Q96</f>
        <v>-2.2027753022958336</v>
      </c>
      <c r="AA96" s="76">
        <f t="shared" ref="AA96:AA101" si="7">Q96/24</f>
        <v>3.5917823042623263</v>
      </c>
    </row>
    <row r="97" spans="2:28" s="76" customFormat="1" x14ac:dyDescent="0.25">
      <c r="B97" s="76" t="str">
        <f>VLOOKUP(G97,[1]NUTS_Europa!$A$2:$C$81,2,FALSE)</f>
        <v>PT11</v>
      </c>
      <c r="C97" s="76">
        <f>VLOOKUP(G97,[1]NUTS_Europa!$A$2:$C$81,3,FALSE)</f>
        <v>288</v>
      </c>
      <c r="D97" s="76" t="str">
        <f>VLOOKUP(F97,[1]NUTS_Europa!$A$2:$C$81,2,FALSE)</f>
        <v>NL12</v>
      </c>
      <c r="E97" s="76">
        <f>VLOOKUP(F97,[1]NUTS_Europa!$A$2:$C$81,3,FALSE)</f>
        <v>250</v>
      </c>
      <c r="F97" s="76">
        <v>71</v>
      </c>
      <c r="G97" s="76">
        <v>76</v>
      </c>
      <c r="H97" s="78">
        <v>703958.80993704603</v>
      </c>
      <c r="I97" s="78">
        <v>1236869.2841741724</v>
      </c>
      <c r="J97" s="78">
        <f t="shared" si="2"/>
        <v>88347.806012440895</v>
      </c>
      <c r="K97" s="79">
        <v>142841.86171918266</v>
      </c>
      <c r="L97" s="80">
        <v>64.987142857142857</v>
      </c>
      <c r="M97" s="80">
        <v>8.6067497786204665</v>
      </c>
      <c r="N97" s="80">
        <f>5.34086681958393+6</f>
        <v>11.34086681958393</v>
      </c>
      <c r="O97" s="79">
        <v>960.4820809003329</v>
      </c>
      <c r="P97" s="80">
        <f>N97</f>
        <v>11.34086681958393</v>
      </c>
      <c r="Q97" s="80">
        <f t="shared" si="3"/>
        <v>84.934759455347262</v>
      </c>
      <c r="R97" s="79">
        <f>O97</f>
        <v>960.4820809003329</v>
      </c>
      <c r="S97" s="78">
        <f>H97</f>
        <v>703958.80993704603</v>
      </c>
      <c r="T97" s="78">
        <f t="shared" si="4"/>
        <v>176695.61202488179</v>
      </c>
      <c r="U97" s="78">
        <f t="shared" si="5"/>
        <v>880654.42196192779</v>
      </c>
      <c r="V97" s="76" t="str">
        <f>VLOOKUP(B97,NUTS_Europa!$B$2:$F$41,5,FALSE)</f>
        <v>Norte</v>
      </c>
      <c r="W97" s="76" t="str">
        <f>VLOOKUP(C97,Puertos!$N$3:$O$27,2,FALSE)</f>
        <v>Vigo</v>
      </c>
      <c r="X97" s="76" t="str">
        <f>VLOOKUP(D97,NUTS_Europa!$B$2:$F$41,5,FALSE)</f>
        <v>Friesland (NL)</v>
      </c>
      <c r="Y97" s="76" t="str">
        <f>VLOOKUP(E97,Puertos!$N$3:$O$27,2,FALSE)</f>
        <v>Rotterdam</v>
      </c>
      <c r="Z97" s="80">
        <f t="shared" si="6"/>
        <v>-0.93475945534726179</v>
      </c>
      <c r="AA97" s="76">
        <f t="shared" si="7"/>
        <v>3.5389483106394692</v>
      </c>
    </row>
    <row r="98" spans="2:28" s="76" customFormat="1" x14ac:dyDescent="0.25">
      <c r="B98" s="76" t="str">
        <f>VLOOKUP(F98,[1]NUTS_Europa!$A$2:$C$81,2,FALSE)</f>
        <v>NL12</v>
      </c>
      <c r="C98" s="76">
        <f>VLOOKUP(F98,[1]NUTS_Europa!$A$2:$C$81,3,FALSE)</f>
        <v>250</v>
      </c>
      <c r="D98" s="76" t="str">
        <f>VLOOKUP(G98,[1]NUTS_Europa!$A$2:$C$81,2,FALSE)</f>
        <v>PT16</v>
      </c>
      <c r="E98" s="76">
        <f>VLOOKUP(G98,[1]NUTS_Europa!$A$2:$C$81,3,FALSE)</f>
        <v>294</v>
      </c>
      <c r="F98" s="76">
        <v>71</v>
      </c>
      <c r="G98" s="76">
        <v>78</v>
      </c>
      <c r="H98" s="78">
        <v>2433700.9728530557</v>
      </c>
      <c r="I98" s="78">
        <v>1301547.3508030903</v>
      </c>
      <c r="J98" s="78">
        <f t="shared" si="2"/>
        <v>92967.667914506441</v>
      </c>
      <c r="K98" s="79">
        <v>135416.16142478216</v>
      </c>
      <c r="L98" s="80">
        <v>79.83642857142857</v>
      </c>
      <c r="M98" s="80">
        <v>7.7898494522386352</v>
      </c>
      <c r="N98" s="80">
        <f>16.7575525805542+18</f>
        <v>34.757552580554204</v>
      </c>
      <c r="O98" s="79">
        <v>3013.6173615767602</v>
      </c>
      <c r="P98" s="80">
        <f>N98*(R98/O98)</f>
        <v>17.853856325856398</v>
      </c>
      <c r="Q98" s="80">
        <f t="shared" si="3"/>
        <v>105.48013434952361</v>
      </c>
      <c r="R98" s="76">
        <f>R107</f>
        <v>1548</v>
      </c>
      <c r="S98" s="78">
        <f>H98*(R98/O98)</f>
        <v>1250115.2780741209</v>
      </c>
      <c r="T98" s="78">
        <f t="shared" si="4"/>
        <v>185935.33582901288</v>
      </c>
      <c r="U98" s="78">
        <f t="shared" si="5"/>
        <v>1436050.6139031337</v>
      </c>
      <c r="V98" s="76" t="str">
        <f>VLOOKUP(B98,NUTS_Europa!$B$2:$F$41,5,FALSE)</f>
        <v>Friesland (NL)</v>
      </c>
      <c r="W98" s="76" t="str">
        <f>VLOOKUP(C98,Puertos!$N$3:$O$27,2,FALSE)</f>
        <v>Rotterdam</v>
      </c>
      <c r="X98" s="76" t="str">
        <f>VLOOKUP(D98,NUTS_Europa!$B$2:$F$41,5,FALSE)</f>
        <v>Centro (PT)</v>
      </c>
      <c r="Y98" s="76" t="str">
        <f>VLOOKUP(E98,Puertos!$N$3:$O$27,2,FALSE)</f>
        <v>Lisboa</v>
      </c>
      <c r="Z98" s="80">
        <f t="shared" si="6"/>
        <v>-21.48013434952361</v>
      </c>
      <c r="AA98" s="76">
        <f t="shared" si="7"/>
        <v>4.3950055978968168</v>
      </c>
    </row>
    <row r="99" spans="2:28" s="76" customFormat="1" x14ac:dyDescent="0.25">
      <c r="B99" s="76" t="str">
        <f>VLOOKUP(G99,[1]NUTS_Europa!$A$2:$C$81,2,FALSE)</f>
        <v>PT16</v>
      </c>
      <c r="C99" s="76">
        <f>VLOOKUP(G99,[1]NUTS_Europa!$A$2:$C$81,3,FALSE)</f>
        <v>294</v>
      </c>
      <c r="D99" s="76" t="str">
        <f>VLOOKUP(F99,[1]NUTS_Europa!$A$2:$C$81,2,FALSE)</f>
        <v>PT15</v>
      </c>
      <c r="E99" s="76">
        <f>VLOOKUP(F99,[1]NUTS_Europa!$A$2:$C$81,3,FALSE)</f>
        <v>61</v>
      </c>
      <c r="F99" s="76">
        <v>77</v>
      </c>
      <c r="G99" s="76">
        <v>78</v>
      </c>
      <c r="H99" s="78">
        <v>2530022.8028115411</v>
      </c>
      <c r="I99" s="78">
        <v>679729.06941948284</v>
      </c>
      <c r="J99" s="78">
        <f t="shared" si="2"/>
        <v>48552.076387105917</v>
      </c>
      <c r="K99" s="79">
        <v>127001.21695280854</v>
      </c>
      <c r="L99" s="80">
        <v>21.978571428571428</v>
      </c>
      <c r="M99" s="80">
        <v>8.3364022264981905</v>
      </c>
      <c r="N99" s="80">
        <f>13.1977137131813+18</f>
        <v>31.197713713181301</v>
      </c>
      <c r="O99" s="79">
        <v>3013.6173615767602</v>
      </c>
      <c r="P99" s="80">
        <f>N99*(R99/O99)</f>
        <v>16.025279600438932</v>
      </c>
      <c r="Q99" s="80">
        <f t="shared" si="3"/>
        <v>46.34025325550855</v>
      </c>
      <c r="R99" s="76">
        <f>R108</f>
        <v>1548</v>
      </c>
      <c r="S99" s="78">
        <f>H99*(R99/O99)</f>
        <v>1299592.7580876159</v>
      </c>
      <c r="T99" s="78">
        <f t="shared" si="4"/>
        <v>97104.152774211834</v>
      </c>
      <c r="U99" s="78">
        <f t="shared" si="5"/>
        <v>1396696.9108618279</v>
      </c>
      <c r="V99" s="76" t="str">
        <f>VLOOKUP(B99,NUTS_Europa!$B$2:$F$41,5,FALSE)</f>
        <v>Centro (PT)</v>
      </c>
      <c r="W99" s="76" t="str">
        <f>VLOOKUP(C99,Puertos!$N$3:$O$27,2,FALSE)</f>
        <v>Lisboa</v>
      </c>
      <c r="X99" s="76" t="str">
        <f>VLOOKUP(D99,NUTS_Europa!$B$2:$F$41,5,FALSE)</f>
        <v>Algarve</v>
      </c>
      <c r="Y99" s="76" t="str">
        <f>VLOOKUP(E99,Puertos!$N$3:$O$27,2,FALSE)</f>
        <v>Algeciras</v>
      </c>
      <c r="Z99" s="80">
        <f t="shared" si="6"/>
        <v>37.65974674449145</v>
      </c>
      <c r="AA99" s="76">
        <f t="shared" si="7"/>
        <v>1.9308438856461896</v>
      </c>
    </row>
    <row r="100" spans="2:28" s="76" customFormat="1" x14ac:dyDescent="0.25">
      <c r="B100" s="76" t="str">
        <f>VLOOKUP(F100,[1]NUTS_Europa!$A$2:$C$81,2,FALSE)</f>
        <v>PT15</v>
      </c>
      <c r="C100" s="76">
        <f>VLOOKUP(F100,[1]NUTS_Europa!$A$2:$C$81,3,FALSE)</f>
        <v>61</v>
      </c>
      <c r="D100" s="76" t="str">
        <f>VLOOKUP(G100,[1]NUTS_Europa!$A$2:$C$81,2,FALSE)</f>
        <v>PT17</v>
      </c>
      <c r="E100" s="76">
        <f>VLOOKUP(G100,[1]NUTS_Europa!$A$2:$C$81,3,FALSE)</f>
        <v>297</v>
      </c>
      <c r="F100" s="76">
        <v>77</v>
      </c>
      <c r="G100" s="76">
        <v>79</v>
      </c>
      <c r="H100" s="78">
        <v>768916.21823423519</v>
      </c>
      <c r="I100" s="78">
        <v>490210.6489528747</v>
      </c>
      <c r="J100" s="78">
        <f t="shared" si="2"/>
        <v>35015.046353776765</v>
      </c>
      <c r="K100" s="79">
        <v>113696.3812050019</v>
      </c>
      <c r="L100" s="80">
        <v>5.3571428571428568</v>
      </c>
      <c r="M100" s="80">
        <v>6.9742331197250875</v>
      </c>
      <c r="N100" s="80">
        <f>3.94975159229757+7</f>
        <v>10.94975159229757</v>
      </c>
      <c r="O100" s="79">
        <v>901.90166502666227</v>
      </c>
      <c r="P100" s="80">
        <f>N100</f>
        <v>10.94975159229757</v>
      </c>
      <c r="Q100" s="80">
        <f t="shared" si="3"/>
        <v>23.281127569165513</v>
      </c>
      <c r="R100" s="79">
        <f>O100</f>
        <v>901.90166502666227</v>
      </c>
      <c r="S100" s="78">
        <f>H100</f>
        <v>768916.21823423519</v>
      </c>
      <c r="T100" s="78">
        <f t="shared" si="4"/>
        <v>70030.092707553529</v>
      </c>
      <c r="U100" s="78">
        <f t="shared" si="5"/>
        <v>838946.31094178872</v>
      </c>
      <c r="V100" s="76" t="str">
        <f>VLOOKUP(B100,NUTS_Europa!$B$2:$F$41,5,FALSE)</f>
        <v>Algarve</v>
      </c>
      <c r="W100" s="76" t="str">
        <f>VLOOKUP(C100,Puertos!$N$3:$O$27,2,FALSE)</f>
        <v>Algeciras</v>
      </c>
      <c r="X100" s="76" t="str">
        <f>VLOOKUP(D100,NUTS_Europa!$B$2:$F$41,5,FALSE)</f>
        <v>Área Metropolitana de Lisboa</v>
      </c>
      <c r="Y100" s="76" t="str">
        <f>VLOOKUP(E100,Puertos!$N$3:$O$27,2,FALSE)</f>
        <v>Cádiz</v>
      </c>
      <c r="Z100" s="80">
        <f t="shared" si="6"/>
        <v>60.718872430834487</v>
      </c>
      <c r="AA100" s="76">
        <f t="shared" si="7"/>
        <v>0.97004698204856299</v>
      </c>
    </row>
    <row r="101" spans="2:28" s="76" customFormat="1" x14ac:dyDescent="0.25">
      <c r="B101" s="76" t="str">
        <f>VLOOKUP(G101,[1]NUTS_Europa!$A$2:$C$81,2,FALSE)</f>
        <v>PT17</v>
      </c>
      <c r="C101" s="76">
        <f>VLOOKUP(G101,[1]NUTS_Europa!$A$2:$C$81,3,FALSE)</f>
        <v>297</v>
      </c>
      <c r="D101" s="76" t="str">
        <f>VLOOKUP(F101,[1]NUTS_Europa!$A$2:$C$81,2,FALSE)</f>
        <v>FRJ1</v>
      </c>
      <c r="E101" s="76">
        <f>VLOOKUP(F101,[1]NUTS_Europa!$A$2:$C$81,3,FALSE)</f>
        <v>1064</v>
      </c>
      <c r="F101" s="76">
        <v>66</v>
      </c>
      <c r="G101" s="76">
        <v>79</v>
      </c>
      <c r="H101" s="78">
        <v>840207.86279779742</v>
      </c>
      <c r="I101" s="78">
        <v>763327.5180927004</v>
      </c>
      <c r="J101" s="78">
        <f t="shared" si="2"/>
        <v>54523.394149478598</v>
      </c>
      <c r="K101" s="79">
        <v>192445.71807502842</v>
      </c>
      <c r="L101" s="80">
        <v>33.071428571428569</v>
      </c>
      <c r="M101" s="80">
        <v>8.3619425253623341</v>
      </c>
      <c r="N101" s="80">
        <f>4.24329522409202+6</f>
        <v>10.243295224092019</v>
      </c>
      <c r="O101" s="79">
        <v>901.90166502666227</v>
      </c>
      <c r="P101" s="80">
        <f>N101</f>
        <v>10.243295224092019</v>
      </c>
      <c r="Q101" s="80">
        <f t="shared" si="3"/>
        <v>51.67666632088293</v>
      </c>
      <c r="R101" s="79">
        <f>O101</f>
        <v>901.90166502666227</v>
      </c>
      <c r="S101" s="78">
        <f>H101</f>
        <v>840207.86279779742</v>
      </c>
      <c r="T101" s="78">
        <f t="shared" si="4"/>
        <v>109046.7882989572</v>
      </c>
      <c r="U101" s="78">
        <f t="shared" si="5"/>
        <v>949254.65109675459</v>
      </c>
      <c r="V101" s="76" t="str">
        <f>VLOOKUP(B101,NUTS_Europa!$B$2:$F$41,5,FALSE)</f>
        <v>Área Metropolitana de Lisboa</v>
      </c>
      <c r="W101" s="76" t="str">
        <f>VLOOKUP(C101,Puertos!$N$3:$O$27,2,FALSE)</f>
        <v>Cádiz</v>
      </c>
      <c r="X101" s="76" t="str">
        <f>VLOOKUP(D101,NUTS_Europa!$B$2:$F$41,5,FALSE)</f>
        <v>Languedoc-Roussillon</v>
      </c>
      <c r="Y101" s="76" t="str">
        <f>VLOOKUP(E101,Puertos!$N$3:$O$27,2,FALSE)</f>
        <v>Valencia</v>
      </c>
      <c r="Z101" s="80">
        <f t="shared" si="6"/>
        <v>32.32333367911707</v>
      </c>
      <c r="AA101" s="76">
        <f t="shared" si="7"/>
        <v>2.1531944300367889</v>
      </c>
    </row>
    <row r="102" spans="2:28" s="76" customFormat="1" x14ac:dyDescent="0.25">
      <c r="Z102" s="80">
        <f>AVERAGE(Z96:Z101)</f>
        <v>17.680713957879384</v>
      </c>
    </row>
    <row r="103" spans="2:28" s="76" customFormat="1" x14ac:dyDescent="0.25">
      <c r="B103" s="76" t="s">
        <v>146</v>
      </c>
      <c r="Q103" s="80">
        <f>Q105+Q106+Q107+Q110+Q111+Q112</f>
        <v>607.7509793902226</v>
      </c>
      <c r="R103" s="76">
        <f>Q103/24</f>
        <v>25.322957474592609</v>
      </c>
      <c r="S103" s="76">
        <f>R103/7</f>
        <v>3.6175653535132297</v>
      </c>
    </row>
    <row r="104" spans="2:28" s="76" customFormat="1" x14ac:dyDescent="0.25">
      <c r="B104" s="76" t="s">
        <v>134</v>
      </c>
      <c r="C104" s="76" t="s">
        <v>135</v>
      </c>
      <c r="D104" s="76" t="s">
        <v>131</v>
      </c>
      <c r="E104" s="76" t="s">
        <v>136</v>
      </c>
      <c r="F104" s="76" t="s">
        <v>39</v>
      </c>
      <c r="G104" s="76" t="s">
        <v>40</v>
      </c>
      <c r="H104" s="76" t="s">
        <v>137</v>
      </c>
      <c r="I104" s="76" t="s">
        <v>133</v>
      </c>
      <c r="J104" s="76" t="s">
        <v>154</v>
      </c>
      <c r="K104" s="76" t="s">
        <v>41</v>
      </c>
      <c r="L104" s="76" t="s">
        <v>42</v>
      </c>
      <c r="M104" s="76" t="s">
        <v>43</v>
      </c>
      <c r="N104" s="76" t="s">
        <v>44</v>
      </c>
      <c r="O104" s="76" t="s">
        <v>45</v>
      </c>
      <c r="P104" s="76" t="str">
        <f>'14 buques 19.5 kn 25000 charter'!P116</f>
        <v>Tiempo C/D</v>
      </c>
      <c r="Q104" s="76" t="str">
        <f>'14 buques 19.5 kn 25000 charter'!Q116</f>
        <v>Tiempo total</v>
      </c>
      <c r="R104" s="76" t="str">
        <f>'14 buques 19.5 kn 25000 charter'!R116</f>
        <v>TEUs/buque</v>
      </c>
      <c r="S104" s="76" t="str">
        <f>'14 buques 19.5 kn 25000 charter'!S116</f>
        <v>Coste variable</v>
      </c>
      <c r="T104" s="76" t="str">
        <f>'14 buques 19.5 kn 25000 charter'!T116</f>
        <v>Coste fijo</v>
      </c>
      <c r="U104" s="76" t="str">
        <f>'14 buques 19.5 kn 25000 charter'!U116</f>
        <v>Coste Total</v>
      </c>
      <c r="V104" s="76" t="str">
        <f>'14 buques 19.5 kn 25000 charter'!V116</f>
        <v>Nodo inicial</v>
      </c>
      <c r="W104" s="76" t="str">
        <f>'14 buques 19.5 kn 25000 charter'!W116</f>
        <v>Puerto O</v>
      </c>
      <c r="X104" s="76" t="str">
        <f>'14 buques 19.5 kn 25000 charter'!X116</f>
        <v>Nodo final</v>
      </c>
      <c r="Y104" s="76" t="str">
        <f>'14 buques 19.5 kn 25000 charter'!Y116</f>
        <v>Puerto D</v>
      </c>
      <c r="Z104" s="76">
        <f>(Z105+Z106+Z107+Z110+Z111+Z112)/6</f>
        <v>24.708170101629566</v>
      </c>
    </row>
    <row r="105" spans="2:28" s="76" customFormat="1" x14ac:dyDescent="0.25">
      <c r="B105" s="76" t="str">
        <f>VLOOKUP(F105,[1]NUTS_Europa!$A$2:$C$81,2,FALSE)</f>
        <v>ES61</v>
      </c>
      <c r="C105" s="76">
        <f>VLOOKUP(F105,[1]NUTS_Europa!$A$2:$C$81,3,FALSE)</f>
        <v>61</v>
      </c>
      <c r="D105" s="76" t="str">
        <f>VLOOKUP(G105,[1]NUTS_Europa!$A$2:$C$81,2,FALSE)</f>
        <v>FRG0</v>
      </c>
      <c r="E105" s="76">
        <f>VLOOKUP(G105,[1]NUTS_Europa!$A$2:$C$81,3,FALSE)</f>
        <v>282</v>
      </c>
      <c r="F105" s="76">
        <v>17</v>
      </c>
      <c r="G105" s="76">
        <v>22</v>
      </c>
      <c r="H105" s="78">
        <v>461853.19441267959</v>
      </c>
      <c r="I105" s="78">
        <v>1133547.9512864375</v>
      </c>
      <c r="J105" s="78">
        <f t="shared" ref="J105:J141" si="8">I105/14</f>
        <v>80967.710806174102</v>
      </c>
      <c r="K105" s="79">
        <v>115262.59218235347</v>
      </c>
      <c r="L105" s="80">
        <v>75.131142857142862</v>
      </c>
      <c r="M105" s="80">
        <v>8.4586752101467564</v>
      </c>
      <c r="N105" s="80">
        <f>3.68498977942602+4</f>
        <v>7.6849897794260205</v>
      </c>
      <c r="O105" s="79">
        <v>703.89534883720933</v>
      </c>
      <c r="P105" s="80">
        <f>N105</f>
        <v>7.6849897794260205</v>
      </c>
      <c r="Q105" s="80">
        <f t="shared" ref="Q105:Q133" si="9">L105+M105+P105</f>
        <v>91.274807846715632</v>
      </c>
      <c r="R105" s="79">
        <f>O105</f>
        <v>703.89534883720933</v>
      </c>
      <c r="S105" s="78">
        <f>H105</f>
        <v>461853.19441267959</v>
      </c>
      <c r="T105" s="78">
        <f>J105*4</f>
        <v>323870.84322469641</v>
      </c>
      <c r="U105" s="78">
        <f t="shared" ref="U105:U112" si="10">T105+S105</f>
        <v>785724.03763737599</v>
      </c>
      <c r="V105" s="76" t="str">
        <f>VLOOKUP(B105,NUTS_Europa!$B$2:$F$41,5,FALSE)</f>
        <v>Andalucía</v>
      </c>
      <c r="W105" s="76" t="str">
        <f>VLOOKUP(C105,Puertos!$N$3:$O$27,2,FALSE)</f>
        <v>Algeciras</v>
      </c>
      <c r="X105" s="76" t="str">
        <f>VLOOKUP(D105,NUTS_Europa!$B$2:$F$41,5,FALSE)</f>
        <v>Pays de la Loire</v>
      </c>
      <c r="Y105" s="76" t="str">
        <f>VLOOKUP(E105,Puertos!$N$3:$O$27,2,FALSE)</f>
        <v>Saint Nazaire</v>
      </c>
      <c r="Z105" s="80">
        <f t="shared" ref="Z105:Z112" si="11">(168/Z$93)-Q105</f>
        <v>34.725192153284368</v>
      </c>
      <c r="AA105" s="76">
        <f t="shared" ref="AA105:AA112" si="12">Q105/24</f>
        <v>3.8031169936131515</v>
      </c>
    </row>
    <row r="106" spans="2:28" s="76" customFormat="1" x14ac:dyDescent="0.25">
      <c r="B106" s="76" t="str">
        <f>VLOOKUP(G106,[1]NUTS_Europa!$A$2:$C$81,2,FALSE)</f>
        <v>FRG0</v>
      </c>
      <c r="C106" s="76">
        <f>VLOOKUP(G106,[1]NUTS_Europa!$A$2:$C$81,3,FALSE)</f>
        <v>282</v>
      </c>
      <c r="D106" s="76" t="str">
        <f>VLOOKUP(F106,[1]NUTS_Europa!$A$2:$C$81,2,FALSE)</f>
        <v>ES62</v>
      </c>
      <c r="E106" s="76">
        <f>VLOOKUP(F106,[1]NUTS_Europa!$A$2:$C$81,3,FALSE)</f>
        <v>1064</v>
      </c>
      <c r="F106" s="76">
        <v>18</v>
      </c>
      <c r="G106" s="76">
        <v>22</v>
      </c>
      <c r="H106" s="78">
        <v>442782.53587185929</v>
      </c>
      <c r="I106" s="78">
        <v>1295009.9280233628</v>
      </c>
      <c r="J106" s="78">
        <f t="shared" si="8"/>
        <v>92500.709144525914</v>
      </c>
      <c r="K106" s="79">
        <v>135416.16142478216</v>
      </c>
      <c r="L106" s="80">
        <v>89.787071428571423</v>
      </c>
      <c r="M106" s="80">
        <v>9.846384615784002</v>
      </c>
      <c r="N106" s="80">
        <f>3.91408792295232+4</f>
        <v>7.9140879229523202</v>
      </c>
      <c r="O106" s="79">
        <v>703.89534883720933</v>
      </c>
      <c r="P106" s="80">
        <f>N106</f>
        <v>7.9140879229523202</v>
      </c>
      <c r="Q106" s="80">
        <f t="shared" si="9"/>
        <v>107.54754396730775</v>
      </c>
      <c r="R106" s="79">
        <f>O106</f>
        <v>703.89534883720933</v>
      </c>
      <c r="S106" s="78">
        <f>H106</f>
        <v>442782.53587185929</v>
      </c>
      <c r="T106" s="78">
        <f t="shared" ref="T106:T112" si="13">J106*4</f>
        <v>370002.83657810366</v>
      </c>
      <c r="U106" s="78">
        <f t="shared" si="10"/>
        <v>812785.37244996289</v>
      </c>
      <c r="V106" s="76" t="str">
        <f>VLOOKUP(B106,NUTS_Europa!$B$2:$F$41,5,FALSE)</f>
        <v>Pays de la Loire</v>
      </c>
      <c r="W106" s="76" t="str">
        <f>VLOOKUP(C106,Puertos!$N$3:$O$27,2,FALSE)</f>
        <v>Saint Nazaire</v>
      </c>
      <c r="X106" s="76" t="str">
        <f>VLOOKUP(D106,NUTS_Europa!$B$2:$F$41,5,FALSE)</f>
        <v>Región de Murcia</v>
      </c>
      <c r="Y106" s="76" t="str">
        <f>VLOOKUP(E106,Puertos!$N$3:$O$27,2,FALSE)</f>
        <v>Valencia</v>
      </c>
      <c r="Z106" s="80">
        <f t="shared" si="11"/>
        <v>18.452456032692254</v>
      </c>
      <c r="AA106" s="76">
        <f t="shared" si="12"/>
        <v>4.4811476653044897</v>
      </c>
      <c r="AB106" s="76">
        <f>AA106+AA105</f>
        <v>8.2842646589176407</v>
      </c>
    </row>
    <row r="107" spans="2:28" s="76" customFormat="1" x14ac:dyDescent="0.25">
      <c r="B107" s="76" t="str">
        <f>VLOOKUP(F107,[1]NUTS_Europa!$A$2:$C$81,2,FALSE)</f>
        <v>ES62</v>
      </c>
      <c r="C107" s="76">
        <f>VLOOKUP(F107,[1]NUTS_Europa!$A$2:$C$81,3,FALSE)</f>
        <v>1064</v>
      </c>
      <c r="D107" s="76" t="str">
        <f>VLOOKUP(G107,[1]NUTS_Europa!$A$2:$C$81,2,FALSE)</f>
        <v>FRI1</v>
      </c>
      <c r="E107" s="76">
        <f>VLOOKUP(G107,[1]NUTS_Europa!$A$2:$C$81,3,FALSE)</f>
        <v>283</v>
      </c>
      <c r="F107" s="76">
        <v>18</v>
      </c>
      <c r="G107" s="76">
        <v>24</v>
      </c>
      <c r="H107" s="78">
        <v>1226697.4605067689</v>
      </c>
      <c r="I107" s="78">
        <v>1385299.2121871565</v>
      </c>
      <c r="J107" s="78">
        <f t="shared" si="8"/>
        <v>98949.943727654041</v>
      </c>
      <c r="K107" s="79">
        <v>199597.7643046609</v>
      </c>
      <c r="L107" s="80">
        <v>101.47328571428571</v>
      </c>
      <c r="M107" s="80">
        <v>10.765498691437728</v>
      </c>
      <c r="N107" s="80">
        <f>9.55469834072404+13</f>
        <v>22.554698340724038</v>
      </c>
      <c r="O107" s="79">
        <v>1954.024298469388</v>
      </c>
      <c r="P107" s="80">
        <f t="shared" ref="P107:P133" si="14">N107*(R107/O107)</f>
        <v>17.868085396271642</v>
      </c>
      <c r="Q107" s="80">
        <f t="shared" si="9"/>
        <v>130.10686980199509</v>
      </c>
      <c r="R107" s="76">
        <v>1548</v>
      </c>
      <c r="S107" s="78">
        <f t="shared" ref="S107:S135" si="15">H107*(R107/O107)</f>
        <v>971803.50845786941</v>
      </c>
      <c r="T107" s="78">
        <f t="shared" si="13"/>
        <v>395799.77491061616</v>
      </c>
      <c r="U107" s="78">
        <f t="shared" si="10"/>
        <v>1367603.2833684855</v>
      </c>
      <c r="V107" s="76" t="str">
        <f>VLOOKUP(B107,NUTS_Europa!$B$2:$F$41,5,FALSE)</f>
        <v>Región de Murcia</v>
      </c>
      <c r="W107" s="76" t="str">
        <f>VLOOKUP(C107,Puertos!$N$3:$O$27,2,FALSE)</f>
        <v>Valencia</v>
      </c>
      <c r="X107" s="76" t="str">
        <f>VLOOKUP(D107,NUTS_Europa!$B$2:$F$41,5,FALSE)</f>
        <v>Aquitaine</v>
      </c>
      <c r="Y107" s="76" t="str">
        <f>VLOOKUP(E107,Puertos!$N$3:$O$27,2,FALSE)</f>
        <v>La Rochelle</v>
      </c>
      <c r="Z107" s="80">
        <f t="shared" si="11"/>
        <v>-4.1068698019950887</v>
      </c>
      <c r="AA107" s="76">
        <f t="shared" si="12"/>
        <v>5.4211195750831287</v>
      </c>
    </row>
    <row r="108" spans="2:28" s="76" customFormat="1" x14ac:dyDescent="0.25">
      <c r="B108" s="76" t="str">
        <f>VLOOKUP(G108,[1]NUTS_Europa!$A$2:$C$81,2,FALSE)</f>
        <v>FRI1</v>
      </c>
      <c r="C108" s="76">
        <f>VLOOKUP(G108,[1]NUTS_Europa!$A$2:$C$81,3,FALSE)</f>
        <v>283</v>
      </c>
      <c r="D108" s="76" t="str">
        <f>VLOOKUP(F108,[1]NUTS_Europa!$A$2:$C$81,2,FALSE)</f>
        <v>FRE1</v>
      </c>
      <c r="E108" s="76">
        <f>VLOOKUP(F108,[1]NUTS_Europa!$A$2:$C$81,3,FALSE)</f>
        <v>220</v>
      </c>
      <c r="F108" s="76">
        <v>21</v>
      </c>
      <c r="G108" s="76">
        <v>24</v>
      </c>
      <c r="H108" s="78">
        <v>891337.41428845644</v>
      </c>
      <c r="I108" s="78">
        <v>878100.65290595929</v>
      </c>
      <c r="J108" s="78">
        <f t="shared" si="8"/>
        <v>62721.475207568517</v>
      </c>
      <c r="K108" s="79">
        <v>123840.01515725654</v>
      </c>
      <c r="L108" s="80">
        <v>42.999285714285712</v>
      </c>
      <c r="M108" s="80">
        <v>12.247894814242121</v>
      </c>
      <c r="N108" s="80">
        <v>10.120160547630702</v>
      </c>
      <c r="O108" s="79">
        <v>1954.024298469388</v>
      </c>
      <c r="P108" s="80">
        <f t="shared" si="14"/>
        <v>8.0173048717990412</v>
      </c>
      <c r="Q108" s="80">
        <f t="shared" si="9"/>
        <v>63.264485400326876</v>
      </c>
      <c r="R108" s="76">
        <v>1548</v>
      </c>
      <c r="S108" s="78">
        <f t="shared" si="15"/>
        <v>706127.5125387836</v>
      </c>
      <c r="T108" s="78">
        <f t="shared" si="13"/>
        <v>250885.90083027407</v>
      </c>
      <c r="U108" s="78">
        <f t="shared" si="10"/>
        <v>957013.4133690577</v>
      </c>
      <c r="V108" s="76" t="str">
        <f>VLOOKUP(B108,NUTS_Europa!$B$2:$F$41,5,FALSE)</f>
        <v>Aquitaine</v>
      </c>
      <c r="W108" s="76" t="str">
        <f>VLOOKUP(C108,Puertos!$N$3:$O$27,2,FALSE)</f>
        <v>La Rochelle</v>
      </c>
      <c r="X108" s="76" t="str">
        <f>VLOOKUP(D108,NUTS_Europa!$B$2:$F$41,5,FALSE)</f>
        <v>Nord-Pas de Calais</v>
      </c>
      <c r="Y108" s="76" t="str">
        <f>VLOOKUP(E108,Puertos!$N$3:$O$27,2,FALSE)</f>
        <v>Zeebrugge</v>
      </c>
      <c r="Z108" s="80">
        <f t="shared" si="11"/>
        <v>62.735514599673124</v>
      </c>
      <c r="AA108" s="76">
        <f t="shared" si="12"/>
        <v>2.63602022501362</v>
      </c>
    </row>
    <row r="109" spans="2:28" s="76" customFormat="1" x14ac:dyDescent="0.25">
      <c r="B109" s="76" t="str">
        <f>VLOOKUP(F109,[1]NUTS_Europa!$A$2:$C$81,2,FALSE)</f>
        <v>FRE1</v>
      </c>
      <c r="C109" s="76">
        <f>VLOOKUP(F109,[1]NUTS_Europa!$A$2:$C$81,3,FALSE)</f>
        <v>220</v>
      </c>
      <c r="D109" s="76" t="str">
        <f>VLOOKUP(G109,[1]NUTS_Europa!$A$2:$C$81,2,FALSE)</f>
        <v>FRI3</v>
      </c>
      <c r="E109" s="76">
        <f>VLOOKUP(G109,[1]NUTS_Europa!$A$2:$C$81,3,FALSE)</f>
        <v>283</v>
      </c>
      <c r="F109" s="76">
        <v>21</v>
      </c>
      <c r="G109" s="76">
        <v>25</v>
      </c>
      <c r="H109" s="78">
        <v>582178.52886967442</v>
      </c>
      <c r="I109" s="78">
        <v>878100.65290595929</v>
      </c>
      <c r="J109" s="78">
        <f t="shared" si="8"/>
        <v>62721.475207568517</v>
      </c>
      <c r="K109" s="79">
        <v>117061.71481038857</v>
      </c>
      <c r="L109" s="80">
        <v>42.999285714285712</v>
      </c>
      <c r="M109" s="80">
        <v>12.247894814242121</v>
      </c>
      <c r="N109" s="80">
        <v>10.120160547630702</v>
      </c>
      <c r="O109" s="79">
        <v>1954.024298469388</v>
      </c>
      <c r="P109" s="80">
        <f t="shared" si="14"/>
        <v>8.0173048717990412</v>
      </c>
      <c r="Q109" s="80">
        <f t="shared" si="9"/>
        <v>63.264485400326876</v>
      </c>
      <c r="R109" s="76">
        <v>1548</v>
      </c>
      <c r="S109" s="78">
        <f t="shared" si="15"/>
        <v>461208.37053878349</v>
      </c>
      <c r="T109" s="78">
        <f t="shared" si="13"/>
        <v>250885.90083027407</v>
      </c>
      <c r="U109" s="78">
        <f t="shared" si="10"/>
        <v>712094.27136905759</v>
      </c>
      <c r="V109" s="76" t="str">
        <f>VLOOKUP(B109,NUTS_Europa!$B$2:$F$41,5,FALSE)</f>
        <v>Nord-Pas de Calais</v>
      </c>
      <c r="W109" s="76" t="str">
        <f>VLOOKUP(C109,Puertos!$N$3:$O$27,2,FALSE)</f>
        <v>Zeebrugge</v>
      </c>
      <c r="X109" s="76" t="str">
        <f>VLOOKUP(D109,NUTS_Europa!$B$2:$F$41,5,FALSE)</f>
        <v>Poitou-Charentes</v>
      </c>
      <c r="Y109" s="76" t="str">
        <f>VLOOKUP(E109,Puertos!$N$3:$O$27,2,FALSE)</f>
        <v>La Rochelle</v>
      </c>
      <c r="Z109" s="80">
        <f t="shared" si="11"/>
        <v>62.735514599673124</v>
      </c>
      <c r="AA109" s="76">
        <f t="shared" si="12"/>
        <v>2.63602022501362</v>
      </c>
    </row>
    <row r="110" spans="2:28" s="76" customFormat="1" x14ac:dyDescent="0.25">
      <c r="B110" s="76" t="str">
        <f>VLOOKUP(G110,[1]NUTS_Europa!$A$2:$C$81,2,FALSE)</f>
        <v>FRI3</v>
      </c>
      <c r="C110" s="76">
        <f>VLOOKUP(G110,[1]NUTS_Europa!$A$2:$C$81,3,FALSE)</f>
        <v>283</v>
      </c>
      <c r="D110" s="76" t="str">
        <f>VLOOKUP(F110,[1]NUTS_Europa!$A$2:$C$81,2,FALSE)</f>
        <v>FRD2</v>
      </c>
      <c r="E110" s="76">
        <f>VLOOKUP(F110,[1]NUTS_Europa!$A$2:$C$81,3,FALSE)</f>
        <v>269</v>
      </c>
      <c r="F110" s="76">
        <v>20</v>
      </c>
      <c r="G110" s="76">
        <v>25</v>
      </c>
      <c r="H110" s="78">
        <v>466847.16400221997</v>
      </c>
      <c r="I110" s="78">
        <v>895410.96268140653</v>
      </c>
      <c r="J110" s="78">
        <f t="shared" si="8"/>
        <v>63957.925905814751</v>
      </c>
      <c r="K110" s="79">
        <v>141512.315270936</v>
      </c>
      <c r="L110" s="80">
        <v>33.071428571428569</v>
      </c>
      <c r="M110" s="80">
        <v>12.515332707726564</v>
      </c>
      <c r="N110" s="80">
        <f>11.2269117564558+13</f>
        <v>24.226911756455799</v>
      </c>
      <c r="O110" s="79">
        <v>1954.024298469388</v>
      </c>
      <c r="P110" s="80">
        <f t="shared" si="14"/>
        <v>19.192831649212529</v>
      </c>
      <c r="Q110" s="80">
        <f t="shared" si="9"/>
        <v>64.779592928367663</v>
      </c>
      <c r="R110" s="76">
        <v>1548</v>
      </c>
      <c r="S110" s="78">
        <f t="shared" si="15"/>
        <v>369841.56770287885</v>
      </c>
      <c r="T110" s="78">
        <f t="shared" si="13"/>
        <v>255831.703623259</v>
      </c>
      <c r="U110" s="78">
        <f t="shared" si="10"/>
        <v>625673.27132613782</v>
      </c>
      <c r="V110" s="76" t="str">
        <f>VLOOKUP(B110,NUTS_Europa!$B$2:$F$41,5,FALSE)</f>
        <v>Poitou-Charentes</v>
      </c>
      <c r="W110" s="76" t="str">
        <f>VLOOKUP(C110,Puertos!$N$3:$O$27,2,FALSE)</f>
        <v>La Rochelle</v>
      </c>
      <c r="X110" s="76" t="str">
        <f>VLOOKUP(D110,NUTS_Europa!$B$2:$F$41,5,FALSE)</f>
        <v xml:space="preserve">Haute-Normandie </v>
      </c>
      <c r="Y110" s="76" t="str">
        <f>VLOOKUP(E110,Puertos!$N$3:$O$27,2,FALSE)</f>
        <v>Le Havre</v>
      </c>
      <c r="Z110" s="80">
        <f t="shared" si="11"/>
        <v>61.220407071632337</v>
      </c>
      <c r="AA110" s="76">
        <f t="shared" si="12"/>
        <v>2.6991497053486526</v>
      </c>
      <c r="AB110" s="76">
        <f>AA110+AA107</f>
        <v>8.1202692804317813</v>
      </c>
    </row>
    <row r="111" spans="2:28" s="76" customFormat="1" x14ac:dyDescent="0.25">
      <c r="B111" s="76" t="str">
        <f>VLOOKUP(G111,[1]NUTS_Europa!$A$2:$C$81,2,FALSE)</f>
        <v>FRD2</v>
      </c>
      <c r="C111" s="76">
        <f>VLOOKUP(G111,[1]NUTS_Europa!$A$2:$C$81,3,FALSE)</f>
        <v>269</v>
      </c>
      <c r="D111" s="76" t="str">
        <f>VLOOKUP(F111,[1]NUTS_Europa!$A$2:$C$81,2,FALSE)</f>
        <v>DE60</v>
      </c>
      <c r="E111" s="76">
        <f>VLOOKUP(F111,[1]NUTS_Europa!$A$2:$C$81,3,FALSE)</f>
        <v>1069</v>
      </c>
      <c r="F111" s="76">
        <v>5</v>
      </c>
      <c r="G111" s="76">
        <v>20</v>
      </c>
      <c r="H111" s="78">
        <v>1883866.1663929613</v>
      </c>
      <c r="I111" s="78">
        <v>970145.01381723071</v>
      </c>
      <c r="J111" s="78">
        <f t="shared" si="8"/>
        <v>69296.072415516479</v>
      </c>
      <c r="K111" s="79">
        <v>145277.79316174539</v>
      </c>
      <c r="L111" s="80">
        <v>37.217857142857142</v>
      </c>
      <c r="M111" s="80">
        <v>12.607386657752196</v>
      </c>
      <c r="N111" s="80">
        <f>76.346486924053+80</f>
        <v>156.34648692405301</v>
      </c>
      <c r="O111" s="79">
        <v>13729.874776386405</v>
      </c>
      <c r="P111" s="80">
        <f t="shared" si="14"/>
        <v>17.627572406900928</v>
      </c>
      <c r="Q111" s="80">
        <f t="shared" si="9"/>
        <v>67.452816207510267</v>
      </c>
      <c r="R111" s="76">
        <v>1548</v>
      </c>
      <c r="S111" s="78">
        <f t="shared" si="15"/>
        <v>212399.95798008519</v>
      </c>
      <c r="T111" s="78">
        <f t="shared" si="13"/>
        <v>277184.28966206592</v>
      </c>
      <c r="U111" s="78">
        <f t="shared" si="10"/>
        <v>489584.24764215108</v>
      </c>
      <c r="V111" s="76" t="str">
        <f>VLOOKUP(B111,NUTS_Europa!$B$2:$F$41,5,FALSE)</f>
        <v xml:space="preserve">Haute-Normandie </v>
      </c>
      <c r="W111" s="76" t="str">
        <f>VLOOKUP(C111,Puertos!$N$3:$O$27,2,FALSE)</f>
        <v>Le Havre</v>
      </c>
      <c r="X111" s="76" t="str">
        <f>VLOOKUP(D111,NUTS_Europa!$B$2:$F$41,5,FALSE)</f>
        <v>Hamburg</v>
      </c>
      <c r="Y111" s="76" t="str">
        <f>VLOOKUP(E111,Puertos!$N$3:$O$27,2,FALSE)</f>
        <v>Hamburgo</v>
      </c>
      <c r="Z111" s="80">
        <f t="shared" si="11"/>
        <v>58.547183792489733</v>
      </c>
      <c r="AA111" s="76">
        <f t="shared" si="12"/>
        <v>2.8105340086462611</v>
      </c>
    </row>
    <row r="112" spans="2:28" s="76" customFormat="1" x14ac:dyDescent="0.25">
      <c r="B112" s="76" t="str">
        <f>VLOOKUP(F112,[1]NUTS_Europa!$A$2:$C$81,2,FALSE)</f>
        <v>DE60</v>
      </c>
      <c r="C112" s="76">
        <f>VLOOKUP(F112,[1]NUTS_Europa!$A$2:$C$81,3,FALSE)</f>
        <v>1069</v>
      </c>
      <c r="D112" s="76" t="str">
        <f>VLOOKUP(G112,[1]NUTS_Europa!$A$2:$C$81,2,FALSE)</f>
        <v>PT18</v>
      </c>
      <c r="E112" s="76">
        <f>VLOOKUP(G112,[1]NUTS_Europa!$A$2:$C$81,3,FALSE)</f>
        <v>61</v>
      </c>
      <c r="F112" s="76">
        <v>5</v>
      </c>
      <c r="G112" s="76">
        <v>80</v>
      </c>
      <c r="H112" s="78">
        <v>11581775.422901699</v>
      </c>
      <c r="I112" s="78">
        <v>1543683.3374273521</v>
      </c>
      <c r="J112" s="78">
        <f t="shared" si="8"/>
        <v>110263.09553052516</v>
      </c>
      <c r="K112" s="79">
        <v>118487.95435333898</v>
      </c>
      <c r="L112" s="80">
        <v>119.48428571428572</v>
      </c>
      <c r="M112" s="80">
        <v>9.4698432358261133</v>
      </c>
      <c r="N112" s="80">
        <f>81.1813405918685+130</f>
        <v>211.18134059186849</v>
      </c>
      <c r="O112" s="79">
        <v>18537.263556443555</v>
      </c>
      <c r="P112" s="80">
        <f t="shared" si="14"/>
        <v>17.635219688214388</v>
      </c>
      <c r="Q112" s="80">
        <f t="shared" si="9"/>
        <v>146.58934863832621</v>
      </c>
      <c r="R112" s="76">
        <v>1548</v>
      </c>
      <c r="S112" s="78">
        <f t="shared" si="15"/>
        <v>967164.77596931253</v>
      </c>
      <c r="T112" s="78">
        <f t="shared" si="13"/>
        <v>441052.38212210062</v>
      </c>
      <c r="U112" s="78">
        <f t="shared" si="10"/>
        <v>1408217.1580914131</v>
      </c>
      <c r="V112" s="76" t="str">
        <f>VLOOKUP(B112,NUTS_Europa!$B$2:$F$41,5,FALSE)</f>
        <v>Hamburg</v>
      </c>
      <c r="W112" s="76" t="str">
        <f>VLOOKUP(C112,Puertos!$N$3:$O$27,2,FALSE)</f>
        <v>Hamburgo</v>
      </c>
      <c r="X112" s="76" t="str">
        <f>VLOOKUP(D112,NUTS_Europa!$B$2:$F$41,5,FALSE)</f>
        <v>Alentejo</v>
      </c>
      <c r="Y112" s="76" t="str">
        <f>VLOOKUP(E112,Puertos!$N$3:$O$27,2,FALSE)</f>
        <v>Algeciras</v>
      </c>
      <c r="Z112" s="80">
        <f t="shared" si="11"/>
        <v>-20.589348638326214</v>
      </c>
      <c r="AA112" s="76">
        <f t="shared" si="12"/>
        <v>6.1078895265969253</v>
      </c>
      <c r="AB112" s="76">
        <f>AA112+AA111</f>
        <v>8.9184235352431855</v>
      </c>
    </row>
    <row r="113" spans="2:27" s="76" customFormat="1" ht="15" customHeight="1" x14ac:dyDescent="0.25">
      <c r="B113" s="76" t="str">
        <f>VLOOKUP(G113,[1]NUTS_Europa!$A$2:$C$81,2,FALSE)</f>
        <v>PT18</v>
      </c>
      <c r="C113" s="76">
        <f>VLOOKUP(G113,[1]NUTS_Europa!$A$2:$C$81,3,FALSE)</f>
        <v>61</v>
      </c>
      <c r="D113" s="76" t="str">
        <f>VLOOKUP(F113,[1]NUTS_Europa!$A$2:$C$81,2,FALSE)</f>
        <v>BE25</v>
      </c>
      <c r="E113" s="76">
        <f>VLOOKUP(F113,[1]NUTS_Europa!$A$2:$C$81,3,FALSE)</f>
        <v>220</v>
      </c>
      <c r="F113" s="76">
        <v>43</v>
      </c>
      <c r="G113" s="76">
        <v>80</v>
      </c>
      <c r="H113" s="78">
        <v>12471856.746368283</v>
      </c>
      <c r="I113" s="78">
        <v>1331188.2686148765</v>
      </c>
      <c r="J113" s="78">
        <f t="shared" si="8"/>
        <v>95084.876329634033</v>
      </c>
      <c r="K113" s="79">
        <v>117768.50934211678</v>
      </c>
      <c r="L113" s="80">
        <v>96.690714285714293</v>
      </c>
      <c r="M113" s="80">
        <v>11.40841666194056</v>
      </c>
      <c r="N113" s="80">
        <v>86.545717057835546</v>
      </c>
      <c r="O113" s="79">
        <v>18537.263556443555</v>
      </c>
      <c r="P113" s="80">
        <f t="shared" si="14"/>
        <v>7.22721396270813</v>
      </c>
      <c r="Q113" s="80">
        <f t="shared" si="9"/>
        <v>115.32634491036299</v>
      </c>
      <c r="R113" s="76">
        <v>1548</v>
      </c>
      <c r="S113" s="76">
        <f t="shared" si="15"/>
        <v>1041493.2163311227</v>
      </c>
      <c r="V113" s="76" t="str">
        <f>VLOOKUP(B113,NUTS_Europa!$B$2:$F$41,5,FALSE)</f>
        <v>Alentejo</v>
      </c>
      <c r="W113" s="76" t="str">
        <f>VLOOKUP(C113,Puertos!$N$3:$O$27,2,FALSE)</f>
        <v>Algeciras</v>
      </c>
      <c r="X113" s="76" t="str">
        <f>VLOOKUP(D113,NUTS_Europa!$B$2:$F$41,5,FALSE)</f>
        <v>Prov. West-Vlaanderen</v>
      </c>
      <c r="Y113" s="76" t="str">
        <f>VLOOKUP(E113,Puertos!$N$3:$O$27,2,FALSE)</f>
        <v>Zeebrugge</v>
      </c>
      <c r="Z113" s="80">
        <f>(Z105+Z106+Z107+Z110+Z111+Z112)/6</f>
        <v>24.708170101629566</v>
      </c>
      <c r="AA113" s="82">
        <f>('14 buques 19.5 kn 25000 charter'!Z130-'13 buques 14 kn 25000'!Z113)/'14 buques 19.5 kn 25000 charter'!Z130</f>
        <v>-1.0320999602648901</v>
      </c>
    </row>
    <row r="114" spans="2:27" s="76" customFormat="1" x14ac:dyDescent="0.25">
      <c r="B114" s="76" t="str">
        <f>VLOOKUP(F114,[1]NUTS_Europa!$A$2:$C$81,2,FALSE)</f>
        <v>BE25</v>
      </c>
      <c r="C114" s="76">
        <f>VLOOKUP(F114,[1]NUTS_Europa!$A$2:$C$81,3,FALSE)</f>
        <v>220</v>
      </c>
      <c r="D114" s="76" t="str">
        <f>VLOOKUP(G114,[1]NUTS_Europa!$A$2:$C$81,2,FALSE)</f>
        <v>FRD1</v>
      </c>
      <c r="E114" s="76">
        <f>VLOOKUP(G114,[1]NUTS_Europa!$A$2:$C$81,3,FALSE)</f>
        <v>269</v>
      </c>
      <c r="F114" s="76">
        <v>43</v>
      </c>
      <c r="G114" s="76">
        <v>59</v>
      </c>
      <c r="H114" s="78">
        <v>3527364.5656928718</v>
      </c>
      <c r="I114" s="78">
        <v>746186.49472136237</v>
      </c>
      <c r="J114" s="78">
        <f t="shared" si="8"/>
        <v>53299.035337240166</v>
      </c>
      <c r="K114" s="79">
        <v>199058.85825050285</v>
      </c>
      <c r="L114" s="80">
        <v>12.927857142857144</v>
      </c>
      <c r="M114" s="80">
        <v>14.545960083866643</v>
      </c>
      <c r="N114" s="80">
        <v>80.319684850859261</v>
      </c>
      <c r="O114" s="79">
        <v>13729.874776386405</v>
      </c>
      <c r="P114" s="80">
        <f t="shared" si="14"/>
        <v>9.055790688125569</v>
      </c>
      <c r="Q114" s="80">
        <f t="shared" si="9"/>
        <v>36.529607914849358</v>
      </c>
      <c r="R114" s="76">
        <v>1548</v>
      </c>
      <c r="S114" s="76">
        <f t="shared" si="15"/>
        <v>397699.20968861808</v>
      </c>
      <c r="V114" s="76" t="str">
        <f>VLOOKUP(B114,NUTS_Europa!$B$2:$F$41,5,FALSE)</f>
        <v>Prov. West-Vlaanderen</v>
      </c>
      <c r="W114" s="76" t="str">
        <f>VLOOKUP(C114,Puertos!$N$3:$O$27,2,FALSE)</f>
        <v>Zeebrugge</v>
      </c>
      <c r="X114" s="76" t="str">
        <f>VLOOKUP(D114,NUTS_Europa!$B$2:$F$41,5,FALSE)</f>
        <v xml:space="preserve">Basse-Normandie </v>
      </c>
      <c r="Y114" s="76" t="str">
        <f>VLOOKUP(E114,Puertos!$N$3:$O$27,2,FALSE)</f>
        <v>Le Havre</v>
      </c>
    </row>
    <row r="115" spans="2:27" s="76" customFormat="1" x14ac:dyDescent="0.25">
      <c r="B115" s="76" t="str">
        <f>VLOOKUP(F115,[1]NUTS_Europa!$A$2:$C$81,2,FALSE)</f>
        <v>FRD1</v>
      </c>
      <c r="C115" s="76">
        <f>VLOOKUP(F115,[1]NUTS_Europa!$A$2:$C$81,3,FALSE)</f>
        <v>269</v>
      </c>
      <c r="D115" s="76" t="str">
        <f>VLOOKUP(G115,[1]NUTS_Europa!$A$2:$C$81,2,FALSE)</f>
        <v>FRJ2</v>
      </c>
      <c r="E115" s="76">
        <f>VLOOKUP(G115,[1]NUTS_Europa!$A$2:$C$81,3,FALSE)</f>
        <v>163</v>
      </c>
      <c r="F115" s="76">
        <v>59</v>
      </c>
      <c r="G115" s="76">
        <v>68</v>
      </c>
      <c r="H115" s="78">
        <v>2809942.48947111</v>
      </c>
      <c r="I115" s="78">
        <v>1012122.3978560971</v>
      </c>
      <c r="J115" s="78">
        <f t="shared" si="8"/>
        <v>72294.45698972122</v>
      </c>
      <c r="K115" s="79">
        <v>145277.79316174539</v>
      </c>
      <c r="L115" s="80">
        <v>43.427857142857142</v>
      </c>
      <c r="M115" s="80">
        <v>11.390696787982471</v>
      </c>
      <c r="N115" s="80">
        <v>19.79482197960683</v>
      </c>
      <c r="O115" s="79">
        <v>3085.040429338103</v>
      </c>
      <c r="P115" s="80">
        <f t="shared" si="14"/>
        <v>9.9325714285714266</v>
      </c>
      <c r="Q115" s="80">
        <f t="shared" si="9"/>
        <v>64.751125359411034</v>
      </c>
      <c r="R115" s="76">
        <v>1548</v>
      </c>
      <c r="S115" s="76">
        <f t="shared" si="15"/>
        <v>1409962.3889319752</v>
      </c>
      <c r="V115" s="76" t="str">
        <f>VLOOKUP(B115,NUTS_Europa!$B$2:$F$41,5,FALSE)</f>
        <v xml:space="preserve">Basse-Normandie </v>
      </c>
      <c r="W115" s="76" t="str">
        <f>VLOOKUP(C115,Puertos!$N$3:$O$27,2,FALSE)</f>
        <v>Le Havre</v>
      </c>
      <c r="X115" s="76" t="str">
        <f>VLOOKUP(D115,NUTS_Europa!$B$2:$F$41,5,FALSE)</f>
        <v>Midi-Pyrénées</v>
      </c>
      <c r="Y115" s="76" t="str">
        <f>VLOOKUP(E115,Puertos!$N$3:$O$27,2,FALSE)</f>
        <v>Bilbao</v>
      </c>
    </row>
    <row r="116" spans="2:27" s="76" customFormat="1" x14ac:dyDescent="0.25">
      <c r="B116" s="76" t="str">
        <f>VLOOKUP(G116,[1]NUTS_Europa!$A$2:$C$81,2,FALSE)</f>
        <v>FRJ2</v>
      </c>
      <c r="C116" s="76">
        <f>VLOOKUP(G116,[1]NUTS_Europa!$A$2:$C$81,3,FALSE)</f>
        <v>163</v>
      </c>
      <c r="D116" s="76" t="str">
        <f>VLOOKUP(F116,[1]NUTS_Europa!$A$2:$C$81,2,FALSE)</f>
        <v>BE23</v>
      </c>
      <c r="E116" s="76">
        <f>VLOOKUP(F116,[1]NUTS_Europa!$A$2:$C$81,3,FALSE)</f>
        <v>220</v>
      </c>
      <c r="F116" s="76">
        <v>42</v>
      </c>
      <c r="G116" s="76">
        <v>68</v>
      </c>
      <c r="H116" s="78">
        <v>2578166.7187752635</v>
      </c>
      <c r="I116" s="78">
        <v>983734.11824969191</v>
      </c>
      <c r="J116" s="78">
        <f t="shared" si="8"/>
        <v>70266.722732120848</v>
      </c>
      <c r="K116" s="79">
        <v>156784.57749147405</v>
      </c>
      <c r="L116" s="80">
        <v>52.142857142857146</v>
      </c>
      <c r="M116" s="80">
        <v>11.123258894498029</v>
      </c>
      <c r="N116" s="80">
        <v>18.047467953805491</v>
      </c>
      <c r="O116" s="79">
        <v>3085.040429338103</v>
      </c>
      <c r="P116" s="80">
        <f t="shared" si="14"/>
        <v>9.055790688125569</v>
      </c>
      <c r="Q116" s="80">
        <f t="shared" si="9"/>
        <v>72.321906725480744</v>
      </c>
      <c r="R116" s="76">
        <v>1548</v>
      </c>
      <c r="S116" s="76">
        <f t="shared" si="15"/>
        <v>1293662.8132035143</v>
      </c>
      <c r="V116" s="76" t="str">
        <f>VLOOKUP(B116,NUTS_Europa!$B$2:$F$41,5,FALSE)</f>
        <v>Midi-Pyrénées</v>
      </c>
      <c r="W116" s="76" t="str">
        <f>VLOOKUP(C116,Puertos!$N$3:$O$27,2,FALSE)</f>
        <v>Bilbao</v>
      </c>
      <c r="X116" s="76" t="str">
        <f>VLOOKUP(D116,NUTS_Europa!$B$2:$F$41,5,FALSE)</f>
        <v>Prov. Oost-Vlaanderen</v>
      </c>
      <c r="Y116" s="76" t="str">
        <f>VLOOKUP(E116,Puertos!$N$3:$O$27,2,FALSE)</f>
        <v>Zeebrugge</v>
      </c>
    </row>
    <row r="117" spans="2:27" s="76" customFormat="1" x14ac:dyDescent="0.25">
      <c r="B117" s="76" t="str">
        <f>VLOOKUP(F117,[1]NUTS_Europa!$A$2:$C$81,2,FALSE)</f>
        <v>BE23</v>
      </c>
      <c r="C117" s="76">
        <f>VLOOKUP(F117,[1]NUTS_Europa!$A$2:$C$81,3,FALSE)</f>
        <v>220</v>
      </c>
      <c r="D117" s="76" t="str">
        <f>VLOOKUP(G117,[1]NUTS_Europa!$A$2:$C$81,2,FALSE)</f>
        <v>ES12</v>
      </c>
      <c r="E117" s="76">
        <f>VLOOKUP(G117,[1]NUTS_Europa!$A$2:$C$81,3,FALSE)</f>
        <v>163</v>
      </c>
      <c r="F117" s="76">
        <v>42</v>
      </c>
      <c r="G117" s="76">
        <v>52</v>
      </c>
      <c r="H117" s="78">
        <v>1553350.2235938688</v>
      </c>
      <c r="I117" s="78">
        <v>983734.11824969191</v>
      </c>
      <c r="J117" s="78">
        <f t="shared" si="8"/>
        <v>70266.722732120848</v>
      </c>
      <c r="K117" s="79">
        <v>137713.62258431225</v>
      </c>
      <c r="L117" s="80">
        <v>52.142857142857146</v>
      </c>
      <c r="M117" s="80">
        <v>11.123258894498029</v>
      </c>
      <c r="N117" s="80">
        <v>18.047467953805491</v>
      </c>
      <c r="O117" s="79">
        <v>3085.040429338103</v>
      </c>
      <c r="P117" s="80">
        <f t="shared" si="14"/>
        <v>9.055790688125569</v>
      </c>
      <c r="Q117" s="80">
        <f t="shared" si="9"/>
        <v>72.321906725480744</v>
      </c>
      <c r="R117" s="76">
        <v>1548</v>
      </c>
      <c r="S117" s="76">
        <f t="shared" si="15"/>
        <v>779434.24120351439</v>
      </c>
      <c r="V117" s="76" t="str">
        <f>VLOOKUP(B117,NUTS_Europa!$B$2:$F$41,5,FALSE)</f>
        <v>Prov. Oost-Vlaanderen</v>
      </c>
      <c r="W117" s="76" t="str">
        <f>VLOOKUP(C117,Puertos!$N$3:$O$27,2,FALSE)</f>
        <v>Zeebrugge</v>
      </c>
      <c r="X117" s="76" t="str">
        <f>VLOOKUP(D117,NUTS_Europa!$B$2:$F$41,5,FALSE)</f>
        <v>Principado de Asturias</v>
      </c>
      <c r="Y117" s="76" t="str">
        <f>VLOOKUP(E117,Puertos!$N$3:$O$27,2,FALSE)</f>
        <v>Bilbao</v>
      </c>
    </row>
    <row r="118" spans="2:27" s="76" customFormat="1" x14ac:dyDescent="0.25">
      <c r="B118" s="76" t="str">
        <f>VLOOKUP(G118,[1]NUTS_Europa!$A$2:$C$81,2,FALSE)</f>
        <v>ES12</v>
      </c>
      <c r="C118" s="76">
        <f>VLOOKUP(G118,[1]NUTS_Europa!$A$2:$C$81,3,FALSE)</f>
        <v>163</v>
      </c>
      <c r="D118" s="76" t="str">
        <f>VLOOKUP(F118,[1]NUTS_Europa!$A$2:$C$81,2,FALSE)</f>
        <v>DE50</v>
      </c>
      <c r="E118" s="76">
        <f>VLOOKUP(F118,[1]NUTS_Europa!$A$2:$C$81,3,FALSE)</f>
        <v>1069</v>
      </c>
      <c r="F118" s="76">
        <v>44</v>
      </c>
      <c r="G118" s="76">
        <v>52</v>
      </c>
      <c r="H118" s="78">
        <v>1700119.6342874623</v>
      </c>
      <c r="I118" s="78">
        <v>1195681.6856625974</v>
      </c>
      <c r="J118" s="78">
        <f t="shared" si="8"/>
        <v>85405.834690185526</v>
      </c>
      <c r="K118" s="79">
        <v>120125.80522925351</v>
      </c>
      <c r="L118" s="80">
        <v>74.86071428571428</v>
      </c>
      <c r="M118" s="80">
        <v>9.1846854683835808</v>
      </c>
      <c r="N118" s="80">
        <v>17.154708446701989</v>
      </c>
      <c r="O118" s="79">
        <v>3085.040429338103</v>
      </c>
      <c r="P118" s="80">
        <f t="shared" si="14"/>
        <v>8.6078251756305733</v>
      </c>
      <c r="Q118" s="80">
        <f t="shared" si="9"/>
        <v>92.653224929728424</v>
      </c>
      <c r="R118" s="76">
        <v>1548</v>
      </c>
      <c r="S118" s="76">
        <f t="shared" si="15"/>
        <v>853079.64487247984</v>
      </c>
      <c r="V118" s="76" t="str">
        <f>VLOOKUP(B118,NUTS_Europa!$B$2:$F$41,5,FALSE)</f>
        <v>Principado de Asturias</v>
      </c>
      <c r="W118" s="76" t="str">
        <f>VLOOKUP(C118,Puertos!$N$3:$O$27,2,FALSE)</f>
        <v>Bilbao</v>
      </c>
      <c r="X118" s="76" t="str">
        <f>VLOOKUP(D118,NUTS_Europa!$B$2:$F$41,5,FALSE)</f>
        <v>Bremen</v>
      </c>
      <c r="Y118" s="76" t="str">
        <f>VLOOKUP(E118,Puertos!$N$3:$O$27,2,FALSE)</f>
        <v>Hamburgo</v>
      </c>
    </row>
    <row r="119" spans="2:27" s="76" customFormat="1" x14ac:dyDescent="0.25">
      <c r="B119" s="76" t="str">
        <f>VLOOKUP(F119,[1]NUTS_Europa!$A$2:$C$81,2,FALSE)</f>
        <v>DE50</v>
      </c>
      <c r="C119" s="76">
        <f>VLOOKUP(F119,[1]NUTS_Europa!$A$2:$C$81,3,FALSE)</f>
        <v>1069</v>
      </c>
      <c r="D119" s="76" t="str">
        <f>VLOOKUP(G119,[1]NUTS_Europa!$A$2:$C$81,2,FALSE)</f>
        <v>NL11</v>
      </c>
      <c r="E119" s="76">
        <f>VLOOKUP(G119,[1]NUTS_Europa!$A$2:$C$81,3,FALSE)</f>
        <v>218</v>
      </c>
      <c r="F119" s="76">
        <v>44</v>
      </c>
      <c r="G119" s="76">
        <v>70</v>
      </c>
      <c r="H119" s="78">
        <v>2071376.4202962818</v>
      </c>
      <c r="I119" s="78">
        <v>828071.9194497572</v>
      </c>
      <c r="J119" s="78">
        <f t="shared" si="8"/>
        <v>59147.994246411232</v>
      </c>
      <c r="K119" s="79">
        <v>120437.35243536306</v>
      </c>
      <c r="L119" s="80">
        <v>19.283571428571431</v>
      </c>
      <c r="M119" s="80">
        <v>9.4305560217161108</v>
      </c>
      <c r="N119" s="80">
        <v>22.559367211981254</v>
      </c>
      <c r="O119" s="79">
        <v>5123.2789092745306</v>
      </c>
      <c r="P119" s="80">
        <f t="shared" si="14"/>
        <v>6.8163184286002521</v>
      </c>
      <c r="Q119" s="80">
        <f t="shared" si="9"/>
        <v>35.530445878887797</v>
      </c>
      <c r="R119" s="76">
        <v>1548</v>
      </c>
      <c r="S119" s="76">
        <f t="shared" si="15"/>
        <v>625866.90191978856</v>
      </c>
      <c r="V119" s="76" t="str">
        <f>VLOOKUP(B119,NUTS_Europa!$B$2:$F$41,5,FALSE)</f>
        <v>Bremen</v>
      </c>
      <c r="W119" s="76" t="str">
        <f>VLOOKUP(C119,Puertos!$N$3:$O$27,2,FALSE)</f>
        <v>Hamburgo</v>
      </c>
      <c r="X119" s="76" t="str">
        <f>VLOOKUP(D119,NUTS_Europa!$B$2:$F$41,5,FALSE)</f>
        <v>Groningen</v>
      </c>
      <c r="Y119" s="76" t="str">
        <f>VLOOKUP(E119,Puertos!$N$3:$O$27,2,FALSE)</f>
        <v>Amsterdam</v>
      </c>
    </row>
    <row r="120" spans="2:27" s="76" customFormat="1" x14ac:dyDescent="0.25">
      <c r="B120" s="76" t="s">
        <v>109</v>
      </c>
      <c r="C120" s="76">
        <v>218</v>
      </c>
      <c r="D120" s="76" t="s">
        <v>115</v>
      </c>
      <c r="E120" s="76">
        <v>250</v>
      </c>
      <c r="F120" s="76">
        <v>33</v>
      </c>
      <c r="G120" s="76">
        <v>70</v>
      </c>
      <c r="H120" s="78">
        <v>1837284.7813552974</v>
      </c>
      <c r="I120" s="78">
        <v>782950.04994547262</v>
      </c>
      <c r="J120" s="78">
        <f t="shared" si="8"/>
        <v>55925.003567533757</v>
      </c>
      <c r="K120" s="79">
        <v>135416.16142478216</v>
      </c>
      <c r="L120" s="80">
        <v>4.8571428571428568</v>
      </c>
      <c r="M120" s="80">
        <v>7.9524711451293646</v>
      </c>
      <c r="N120" s="80">
        <v>26.943762908255376</v>
      </c>
      <c r="O120" s="79">
        <v>5123.2789092745306</v>
      </c>
      <c r="P120" s="80">
        <f t="shared" si="14"/>
        <v>8.1410646815411063</v>
      </c>
      <c r="Q120" s="80">
        <f t="shared" si="9"/>
        <v>20.950678683813329</v>
      </c>
      <c r="R120" s="76">
        <v>1548</v>
      </c>
      <c r="S120" s="76">
        <f t="shared" si="15"/>
        <v>555136.05483967974</v>
      </c>
      <c r="V120" s="76" t="str">
        <f>VLOOKUP(B120,NUTS_Europa!$B$2:$F$41,5,FALSE)</f>
        <v>Groningen</v>
      </c>
      <c r="W120" s="76" t="str">
        <f>VLOOKUP(C120,Puertos!$N$3:$O$27,2,FALSE)</f>
        <v>Amsterdam</v>
      </c>
      <c r="X120" s="76" t="str">
        <f>VLOOKUP(D120,NUTS_Europa!$B$2:$F$41,5,FALSE)</f>
        <v>Zuid-Holland</v>
      </c>
      <c r="Y120" s="76" t="str">
        <f>VLOOKUP(E120,Puertos!$N$3:$O$27,2,FALSE)</f>
        <v>Rotterdam</v>
      </c>
    </row>
    <row r="121" spans="2:27" s="76" customFormat="1" x14ac:dyDescent="0.25">
      <c r="B121" s="76" t="s">
        <v>115</v>
      </c>
      <c r="C121" s="76">
        <v>250</v>
      </c>
      <c r="D121" s="76" t="s">
        <v>123</v>
      </c>
      <c r="E121" s="76">
        <v>1065</v>
      </c>
      <c r="F121" s="76">
        <v>33</v>
      </c>
      <c r="G121" s="76">
        <v>37</v>
      </c>
      <c r="H121" s="78">
        <v>3110599.128268017</v>
      </c>
      <c r="I121" s="78">
        <v>1374905.3097617386</v>
      </c>
      <c r="J121" s="78">
        <f t="shared" si="8"/>
        <v>98207.52212583847</v>
      </c>
      <c r="K121" s="79">
        <v>114346.85142443764</v>
      </c>
      <c r="L121" s="80">
        <v>83.268571428571434</v>
      </c>
      <c r="M121" s="80">
        <v>8.8775548120279097</v>
      </c>
      <c r="N121" s="80">
        <v>44.639098480278435</v>
      </c>
      <c r="O121" s="79">
        <v>8027.7332586984066</v>
      </c>
      <c r="P121" s="80">
        <f t="shared" si="14"/>
        <v>8.6078251756305733</v>
      </c>
      <c r="Q121" s="80">
        <f t="shared" si="9"/>
        <v>100.75395141622991</v>
      </c>
      <c r="R121" s="76">
        <v>1548</v>
      </c>
      <c r="S121" s="76">
        <f t="shared" si="15"/>
        <v>599821.55552333512</v>
      </c>
      <c r="V121" s="76" t="str">
        <f>VLOOKUP(B121,NUTS_Europa!$B$2:$F$41,5,FALSE)</f>
        <v>Zuid-Holland</v>
      </c>
      <c r="W121" s="76" t="str">
        <f>VLOOKUP(C121,Puertos!$N$3:$O$27,2,FALSE)</f>
        <v>Rotterdam</v>
      </c>
      <c r="X121" s="76" t="str">
        <f>VLOOKUP(D121,NUTS_Europa!$B$2:$F$41,5,FALSE)</f>
        <v>Algarve</v>
      </c>
      <c r="Y121" s="76" t="str">
        <f>VLOOKUP(E121,Puertos!$N$3:$O$27,2,FALSE)</f>
        <v>Sines</v>
      </c>
    </row>
    <row r="122" spans="2:27" s="76" customFormat="1" x14ac:dyDescent="0.25">
      <c r="B122" s="76" t="s">
        <v>123</v>
      </c>
      <c r="C122" s="76">
        <v>1065</v>
      </c>
      <c r="D122" s="76" t="s">
        <v>127</v>
      </c>
      <c r="E122" s="76">
        <v>294</v>
      </c>
      <c r="F122" s="76">
        <v>37</v>
      </c>
      <c r="G122" s="76">
        <v>39</v>
      </c>
      <c r="H122" s="78">
        <v>979338.83885080006</v>
      </c>
      <c r="I122" s="78">
        <v>576202.64939011959</v>
      </c>
      <c r="J122" s="78">
        <f t="shared" si="8"/>
        <v>41157.332099294254</v>
      </c>
      <c r="K122" s="79">
        <v>507158.32774652442</v>
      </c>
      <c r="L122" s="80">
        <v>3.2142857142857144</v>
      </c>
      <c r="M122" s="80">
        <v>9.2221986792867341</v>
      </c>
      <c r="N122" s="80">
        <v>14.178561425808466</v>
      </c>
      <c r="O122" s="79">
        <v>3013.6173615767602</v>
      </c>
      <c r="P122" s="80">
        <f t="shared" si="14"/>
        <v>7.283078922689719</v>
      </c>
      <c r="Q122" s="80">
        <f t="shared" si="9"/>
        <v>19.719563316262168</v>
      </c>
      <c r="R122" s="76">
        <v>1548</v>
      </c>
      <c r="S122" s="76">
        <f t="shared" si="15"/>
        <v>503055.41170224769</v>
      </c>
      <c r="V122" s="76" t="str">
        <f>VLOOKUP(B122,NUTS_Europa!$B$2:$F$41,5,FALSE)</f>
        <v>Algarve</v>
      </c>
      <c r="W122" s="76" t="str">
        <f>VLOOKUP(C122,Puertos!$N$3:$O$27,2,FALSE)</f>
        <v>Sines</v>
      </c>
      <c r="X122" s="76" t="str">
        <f>VLOOKUP(D122,NUTS_Europa!$B$2:$F$41,5,FALSE)</f>
        <v>Área Metropolitana de Lisboa</v>
      </c>
      <c r="Y122" s="76" t="str">
        <f>VLOOKUP(E122,Puertos!$N$3:$O$27,2,FALSE)</f>
        <v>Lisboa</v>
      </c>
    </row>
    <row r="123" spans="2:27" s="76" customFormat="1" x14ac:dyDescent="0.25">
      <c r="B123" s="76" t="str">
        <f>VLOOKUP(G123,[1]NUTS_Europa!$A$2:$C$81,2,FALSE)</f>
        <v>PT17</v>
      </c>
      <c r="C123" s="76">
        <f>VLOOKUP(G123,[1]NUTS_Europa!$A$2:$C$81,3,FALSE)</f>
        <v>294</v>
      </c>
      <c r="D123" s="76" t="str">
        <f>VLOOKUP(F123,[1]NUTS_Europa!$A$2:$C$81,2,FALSE)</f>
        <v>FRJ1</v>
      </c>
      <c r="E123" s="76">
        <f>VLOOKUP(F123,[1]NUTS_Europa!$A$2:$C$81,3,FALSE)</f>
        <v>1063</v>
      </c>
      <c r="F123" s="76">
        <v>26</v>
      </c>
      <c r="G123" s="76">
        <v>39</v>
      </c>
      <c r="H123" s="78">
        <v>1590514.839884884</v>
      </c>
      <c r="I123" s="78">
        <v>4926022.0993127739</v>
      </c>
      <c r="J123" s="78">
        <f t="shared" si="8"/>
        <v>351858.72137948388</v>
      </c>
      <c r="K123" s="79">
        <v>137713.62258431225</v>
      </c>
      <c r="L123" s="80">
        <v>58.142857142857146</v>
      </c>
      <c r="M123" s="80">
        <v>7.6668352588857838</v>
      </c>
      <c r="N123" s="80">
        <v>14.178561425808466</v>
      </c>
      <c r="O123" s="79">
        <v>3013.6173615767602</v>
      </c>
      <c r="P123" s="80">
        <f t="shared" si="14"/>
        <v>7.283078922689719</v>
      </c>
      <c r="Q123" s="80">
        <f t="shared" si="9"/>
        <v>73.092771324432661</v>
      </c>
      <c r="R123" s="76">
        <v>1548</v>
      </c>
      <c r="S123" s="76">
        <f t="shared" si="15"/>
        <v>816997.2085817795</v>
      </c>
      <c r="V123" s="76" t="str">
        <f>VLOOKUP(B123,NUTS_Europa!$B$2:$F$41,5,FALSE)</f>
        <v>Área Metropolitana de Lisboa</v>
      </c>
      <c r="W123" s="76" t="str">
        <f>VLOOKUP(C123,Puertos!$N$3:$O$27,2,FALSE)</f>
        <v>Lisboa</v>
      </c>
      <c r="X123" s="76" t="str">
        <f>VLOOKUP(D123,NUTS_Europa!$B$2:$F$41,5,FALSE)</f>
        <v>Languedoc-Roussillon</v>
      </c>
      <c r="Y123" s="76" t="str">
        <f>VLOOKUP(E123,Puertos!$N$3:$O$27,2,FALSE)</f>
        <v>Barcelona</v>
      </c>
    </row>
    <row r="124" spans="2:27" s="76" customFormat="1" x14ac:dyDescent="0.25">
      <c r="B124" s="76" t="str">
        <f>VLOOKUP(F124,[1]NUTS_Europa!$A$2:$C$81,2,FALSE)</f>
        <v>FRJ1</v>
      </c>
      <c r="C124" s="76">
        <f>VLOOKUP(F124,[1]NUTS_Europa!$A$2:$C$81,3,FALSE)</f>
        <v>1063</v>
      </c>
      <c r="D124" s="76" t="str">
        <f>VLOOKUP(G124,[1]NUTS_Europa!$A$2:$C$81,2,FALSE)</f>
        <v>FRJ2</v>
      </c>
      <c r="E124" s="76">
        <f>VLOOKUP(G124,[1]NUTS_Europa!$A$2:$C$81,3,FALSE)</f>
        <v>283</v>
      </c>
      <c r="F124" s="76">
        <v>26</v>
      </c>
      <c r="G124" s="76">
        <v>28</v>
      </c>
      <c r="H124" s="78">
        <v>1994146.9191059193</v>
      </c>
      <c r="I124" s="78">
        <v>5363817.7199870422</v>
      </c>
      <c r="J124" s="78">
        <f t="shared" si="8"/>
        <v>383129.83714193158</v>
      </c>
      <c r="K124" s="79">
        <v>142841.86171918266</v>
      </c>
      <c r="L124" s="80">
        <v>110.26692857142858</v>
      </c>
      <c r="M124" s="80">
        <v>8.7082223181880742</v>
      </c>
      <c r="N124" s="80">
        <v>9.5546983407240393</v>
      </c>
      <c r="O124" s="79">
        <v>1954.024298469388</v>
      </c>
      <c r="P124" s="80">
        <f t="shared" si="14"/>
        <v>7.5693393593040446</v>
      </c>
      <c r="Q124" s="80">
        <f t="shared" si="9"/>
        <v>126.5444902489207</v>
      </c>
      <c r="R124" s="76">
        <v>1548</v>
      </c>
      <c r="S124" s="76">
        <f t="shared" si="15"/>
        <v>1579785.5907902485</v>
      </c>
      <c r="V124" s="76" t="str">
        <f>VLOOKUP(B124,NUTS_Europa!$B$2:$F$41,5,FALSE)</f>
        <v>Languedoc-Roussillon</v>
      </c>
      <c r="W124" s="76" t="str">
        <f>VLOOKUP(C124,Puertos!$N$3:$O$27,2,FALSE)</f>
        <v>Barcelona</v>
      </c>
      <c r="X124" s="76" t="str">
        <f>VLOOKUP(D124,NUTS_Europa!$B$2:$F$41,5,FALSE)</f>
        <v>Midi-Pyrénées</v>
      </c>
      <c r="Y124" s="76" t="str">
        <f>VLOOKUP(E124,Puertos!$N$3:$O$27,2,FALSE)</f>
        <v>La Rochelle</v>
      </c>
    </row>
    <row r="125" spans="2:27" s="76" customFormat="1" x14ac:dyDescent="0.25">
      <c r="B125" s="76" t="str">
        <f>VLOOKUP(G125,[1]NUTS_Europa!$A$2:$C$81,2,FALSE)</f>
        <v>FRJ2</v>
      </c>
      <c r="C125" s="76">
        <f>VLOOKUP(G125,[1]NUTS_Europa!$A$2:$C$81,3,FALSE)</f>
        <v>283</v>
      </c>
      <c r="D125" s="76" t="str">
        <f>VLOOKUP(F125,[1]NUTS_Europa!$A$2:$C$81,2,FALSE)</f>
        <v>FRF2</v>
      </c>
      <c r="E125" s="76">
        <f>VLOOKUP(F125,[1]NUTS_Europa!$A$2:$C$81,3,FALSE)</f>
        <v>269</v>
      </c>
      <c r="F125" s="76">
        <v>27</v>
      </c>
      <c r="G125" s="76">
        <v>28</v>
      </c>
      <c r="H125" s="78">
        <v>1623178.3644855812</v>
      </c>
      <c r="I125" s="78">
        <v>895410.96268140653</v>
      </c>
      <c r="J125" s="78">
        <f t="shared" si="8"/>
        <v>63957.925905814751</v>
      </c>
      <c r="K125" s="79">
        <v>176841.96373917855</v>
      </c>
      <c r="L125" s="80">
        <v>33.071428571428569</v>
      </c>
      <c r="M125" s="80">
        <v>12.515332707726564</v>
      </c>
      <c r="N125" s="80">
        <v>11.226911756455761</v>
      </c>
      <c r="O125" s="79">
        <v>1954.024298469388</v>
      </c>
      <c r="P125" s="80">
        <f t="shared" si="14"/>
        <v>8.8940856122449006</v>
      </c>
      <c r="Q125" s="80">
        <f t="shared" si="9"/>
        <v>54.480846891400034</v>
      </c>
      <c r="R125" s="76">
        <v>1548</v>
      </c>
      <c r="S125" s="76">
        <f t="shared" si="15"/>
        <v>1285900.1345028789</v>
      </c>
      <c r="V125" s="76" t="str">
        <f>VLOOKUP(B125,NUTS_Europa!$B$2:$F$41,5,FALSE)</f>
        <v>Midi-Pyrénées</v>
      </c>
      <c r="W125" s="76" t="str">
        <f>VLOOKUP(C125,Puertos!$N$3:$O$27,2,FALSE)</f>
        <v>La Rochelle</v>
      </c>
      <c r="X125" s="76" t="str">
        <f>VLOOKUP(D125,NUTS_Europa!$B$2:$F$41,5,FALSE)</f>
        <v>Champagne-Ardenne</v>
      </c>
      <c r="Y125" s="76" t="str">
        <f>VLOOKUP(E125,Puertos!$N$3:$O$27,2,FALSE)</f>
        <v>Le Havre</v>
      </c>
    </row>
    <row r="126" spans="2:27" s="76" customFormat="1" x14ac:dyDescent="0.25">
      <c r="B126" s="76" t="str">
        <f>VLOOKUP(F126,[1]NUTS_Europa!$A$2:$C$81,2,FALSE)</f>
        <v>FRF2</v>
      </c>
      <c r="C126" s="76">
        <f>VLOOKUP(F126,[1]NUTS_Europa!$A$2:$C$81,3,FALSE)</f>
        <v>269</v>
      </c>
      <c r="D126" s="76" t="str">
        <f>VLOOKUP(G126,[1]NUTS_Europa!$A$2:$C$81,2,FALSE)</f>
        <v>FRG0</v>
      </c>
      <c r="E126" s="76">
        <f>VLOOKUP(G126,[1]NUTS_Europa!$A$2:$C$81,3,FALSE)</f>
        <v>283</v>
      </c>
      <c r="F126" s="76">
        <v>27</v>
      </c>
      <c r="G126" s="76">
        <v>62</v>
      </c>
      <c r="H126" s="78">
        <v>1166495.5295931066</v>
      </c>
      <c r="I126" s="78">
        <v>895410.96268140653</v>
      </c>
      <c r="J126" s="78">
        <f t="shared" si="8"/>
        <v>63957.925905814751</v>
      </c>
      <c r="K126" s="79">
        <v>141512.315270936</v>
      </c>
      <c r="L126" s="80">
        <v>33.071428571428569</v>
      </c>
      <c r="M126" s="80">
        <v>12.515332707726564</v>
      </c>
      <c r="N126" s="80">
        <v>11.226911756455761</v>
      </c>
      <c r="O126" s="79">
        <v>1954.024298469388</v>
      </c>
      <c r="P126" s="80">
        <f t="shared" si="14"/>
        <v>8.8940856122449006</v>
      </c>
      <c r="Q126" s="80">
        <f t="shared" si="9"/>
        <v>54.480846891400034</v>
      </c>
      <c r="R126" s="76">
        <v>1548</v>
      </c>
      <c r="S126" s="76">
        <f t="shared" si="15"/>
        <v>924110.86250287888</v>
      </c>
      <c r="V126" s="76" t="str">
        <f>VLOOKUP(B126,NUTS_Europa!$B$2:$F$41,5,FALSE)</f>
        <v>Champagne-Ardenne</v>
      </c>
      <c r="W126" s="76" t="str">
        <f>VLOOKUP(C126,Puertos!$N$3:$O$27,2,FALSE)</f>
        <v>Le Havre</v>
      </c>
      <c r="X126" s="76" t="str">
        <f>VLOOKUP(D126,NUTS_Europa!$B$2:$F$41,5,FALSE)</f>
        <v>Pays de la Loire</v>
      </c>
      <c r="Y126" s="76" t="str">
        <f>VLOOKUP(E126,Puertos!$N$3:$O$27,2,FALSE)</f>
        <v>La Rochelle</v>
      </c>
    </row>
    <row r="127" spans="2:27" s="76" customFormat="1" x14ac:dyDescent="0.25">
      <c r="B127" s="76" t="str">
        <f>VLOOKUP(G127,[1]NUTS_Europa!$A$2:$C$81,2,FALSE)</f>
        <v>FRG0</v>
      </c>
      <c r="C127" s="76">
        <f>VLOOKUP(G127,[1]NUTS_Europa!$A$2:$C$81,3,FALSE)</f>
        <v>283</v>
      </c>
      <c r="D127" s="76" t="str">
        <f>VLOOKUP(F127,[1]NUTS_Europa!$A$2:$C$81,2,FALSE)</f>
        <v>FRI2</v>
      </c>
      <c r="E127" s="76">
        <f>VLOOKUP(F127,[1]NUTS_Europa!$A$2:$C$81,3,FALSE)</f>
        <v>269</v>
      </c>
      <c r="F127" s="76">
        <v>29</v>
      </c>
      <c r="G127" s="76">
        <v>62</v>
      </c>
      <c r="H127" s="78">
        <v>1176758.0652086679</v>
      </c>
      <c r="I127" s="78">
        <v>895410.96268140653</v>
      </c>
      <c r="J127" s="78">
        <f t="shared" si="8"/>
        <v>63957.925905814751</v>
      </c>
      <c r="K127" s="79">
        <v>118487.95435333898</v>
      </c>
      <c r="L127" s="80">
        <v>33.071428571428569</v>
      </c>
      <c r="M127" s="80">
        <v>12.515332707726564</v>
      </c>
      <c r="N127" s="80">
        <v>11.226911756455761</v>
      </c>
      <c r="O127" s="79">
        <v>1954.024298469388</v>
      </c>
      <c r="P127" s="80">
        <f t="shared" si="14"/>
        <v>8.8940856122449006</v>
      </c>
      <c r="Q127" s="80">
        <f t="shared" si="9"/>
        <v>54.480846891400034</v>
      </c>
      <c r="R127" s="76">
        <v>1548</v>
      </c>
      <c r="S127" s="76">
        <f t="shared" si="15"/>
        <v>932240.95850287902</v>
      </c>
      <c r="V127" s="76" t="str">
        <f>VLOOKUP(B127,NUTS_Europa!$B$2:$F$41,5,FALSE)</f>
        <v>Pays de la Loire</v>
      </c>
      <c r="W127" s="76" t="str">
        <f>VLOOKUP(C127,Puertos!$N$3:$O$27,2,FALSE)</f>
        <v>La Rochelle</v>
      </c>
      <c r="X127" s="76" t="str">
        <f>VLOOKUP(D127,NUTS_Europa!$B$2:$F$41,5,FALSE)</f>
        <v>Limousin</v>
      </c>
      <c r="Y127" s="76" t="str">
        <f>VLOOKUP(E127,Puertos!$N$3:$O$27,2,FALSE)</f>
        <v>Le Havre</v>
      </c>
    </row>
    <row r="128" spans="2:27" s="76" customFormat="1" x14ac:dyDescent="0.25">
      <c r="B128" s="76" t="str">
        <f>VLOOKUP(F128,[1]NUTS_Europa!$A$2:$C$81,2,FALSE)</f>
        <v>FRI2</v>
      </c>
      <c r="C128" s="76">
        <f>VLOOKUP(F128,[1]NUTS_Europa!$A$2:$C$81,3,FALSE)</f>
        <v>269</v>
      </c>
      <c r="D128" s="76" t="str">
        <f>VLOOKUP(G128,[1]NUTS_Europa!$A$2:$C$81,2,FALSE)</f>
        <v>NL12</v>
      </c>
      <c r="E128" s="76">
        <f>VLOOKUP(G128,[1]NUTS_Europa!$A$2:$C$81,3,FALSE)</f>
        <v>218</v>
      </c>
      <c r="F128" s="76">
        <v>29</v>
      </c>
      <c r="G128" s="76">
        <v>31</v>
      </c>
      <c r="H128" s="78">
        <v>2469252.2696231408</v>
      </c>
      <c r="I128" s="78">
        <v>917900.16736532352</v>
      </c>
      <c r="J128" s="78">
        <f t="shared" si="8"/>
        <v>65564.29766895168</v>
      </c>
      <c r="K128" s="79">
        <v>154854.30087154222</v>
      </c>
      <c r="L128" s="80">
        <v>19.642857142857142</v>
      </c>
      <c r="M128" s="80">
        <v>11.636567341315001</v>
      </c>
      <c r="N128" s="80">
        <v>26.943762908255376</v>
      </c>
      <c r="O128" s="79">
        <v>5123.2789092745306</v>
      </c>
      <c r="P128" s="80">
        <f t="shared" si="14"/>
        <v>8.1410646815411063</v>
      </c>
      <c r="Q128" s="80">
        <f t="shared" si="9"/>
        <v>39.420489165713249</v>
      </c>
      <c r="R128" s="76">
        <v>1548</v>
      </c>
      <c r="S128" s="76">
        <f t="shared" si="15"/>
        <v>746085.18900991941</v>
      </c>
      <c r="V128" s="76" t="str">
        <f>VLOOKUP(B128,NUTS_Europa!$B$2:$F$41,5,FALSE)</f>
        <v>Limousin</v>
      </c>
      <c r="W128" s="76" t="str">
        <f>VLOOKUP(C128,Puertos!$N$3:$O$27,2,FALSE)</f>
        <v>Le Havre</v>
      </c>
      <c r="X128" s="76" t="str">
        <f>VLOOKUP(D128,NUTS_Europa!$B$2:$F$41,5,FALSE)</f>
        <v>Friesland (NL)</v>
      </c>
      <c r="Y128" s="76" t="str">
        <f>VLOOKUP(E128,Puertos!$N$3:$O$27,2,FALSE)</f>
        <v>Amsterdam</v>
      </c>
    </row>
    <row r="129" spans="2:30" s="76" customFormat="1" x14ac:dyDescent="0.25">
      <c r="B129" s="76" t="str">
        <f>VLOOKUP(G129,[1]NUTS_Europa!$A$2:$C$81,2,FALSE)</f>
        <v>NL12</v>
      </c>
      <c r="C129" s="76">
        <f>VLOOKUP(G129,[1]NUTS_Europa!$A$2:$C$81,3,FALSE)</f>
        <v>218</v>
      </c>
      <c r="D129" s="76" t="str">
        <f>VLOOKUP(F129,[1]NUTS_Europa!$A$2:$C$81,2,FALSE)</f>
        <v>DE93</v>
      </c>
      <c r="E129" s="76">
        <f>VLOOKUP(F129,[1]NUTS_Europa!$A$2:$C$81,3,FALSE)</f>
        <v>1069</v>
      </c>
      <c r="F129" s="76">
        <v>7</v>
      </c>
      <c r="G129" s="76">
        <v>31</v>
      </c>
      <c r="H129" s="78">
        <v>1368419.0060730875</v>
      </c>
      <c r="I129" s="78">
        <v>828071.9194497572</v>
      </c>
      <c r="J129" s="78">
        <f t="shared" si="8"/>
        <v>59147.994246411232</v>
      </c>
      <c r="K129" s="79">
        <v>163171.48832599766</v>
      </c>
      <c r="L129" s="80">
        <v>19.283571428571431</v>
      </c>
      <c r="M129" s="80">
        <v>9.4305560217161108</v>
      </c>
      <c r="N129" s="80">
        <v>22.559367211981254</v>
      </c>
      <c r="O129" s="79">
        <v>5123.2789092745306</v>
      </c>
      <c r="P129" s="80">
        <f t="shared" si="14"/>
        <v>6.8163184286002521</v>
      </c>
      <c r="Q129" s="80">
        <f t="shared" si="9"/>
        <v>35.530445878887797</v>
      </c>
      <c r="R129" s="76">
        <v>1548</v>
      </c>
      <c r="S129" s="76">
        <f t="shared" si="15"/>
        <v>413468.14391978865</v>
      </c>
      <c r="V129" s="76" t="str">
        <f>VLOOKUP(B129,NUTS_Europa!$B$2:$F$41,5,FALSE)</f>
        <v>Friesland (NL)</v>
      </c>
      <c r="W129" s="76" t="str">
        <f>VLOOKUP(C129,Puertos!$N$3:$O$27,2,FALSE)</f>
        <v>Amsterdam</v>
      </c>
      <c r="X129" s="76" t="str">
        <f>VLOOKUP(D129,NUTS_Europa!$B$2:$F$41,5,FALSE)</f>
        <v>Lüneburg</v>
      </c>
      <c r="Y129" s="76" t="str">
        <f>VLOOKUP(E129,Puertos!$N$3:$O$27,2,FALSE)</f>
        <v>Hamburgo</v>
      </c>
    </row>
    <row r="130" spans="2:30" s="76" customFormat="1" x14ac:dyDescent="0.25">
      <c r="B130" s="76" t="str">
        <f>VLOOKUP(F130,[1]NUTS_Europa!$A$2:$C$81,2,FALSE)</f>
        <v>DE93</v>
      </c>
      <c r="C130" s="76">
        <f>VLOOKUP(F130,[1]NUTS_Europa!$A$2:$C$81,3,FALSE)</f>
        <v>1069</v>
      </c>
      <c r="D130" s="76" t="str">
        <f>VLOOKUP(G130,[1]NUTS_Europa!$A$2:$C$81,2,FALSE)</f>
        <v>NL32</v>
      </c>
      <c r="E130" s="76">
        <f>VLOOKUP(G130,[1]NUTS_Europa!$A$2:$C$81,3,FALSE)</f>
        <v>218</v>
      </c>
      <c r="F130" s="76">
        <v>7</v>
      </c>
      <c r="G130" s="76">
        <v>32</v>
      </c>
      <c r="H130" s="78">
        <v>576666.97110591049</v>
      </c>
      <c r="I130" s="78">
        <v>828071.9194497572</v>
      </c>
      <c r="J130" s="78">
        <f t="shared" si="8"/>
        <v>59147.994246411232</v>
      </c>
      <c r="K130" s="79">
        <v>199058.85825050285</v>
      </c>
      <c r="L130" s="80">
        <v>19.283571428571431</v>
      </c>
      <c r="M130" s="80">
        <v>9.4305560217161108</v>
      </c>
      <c r="N130" s="80">
        <v>22.559367211981254</v>
      </c>
      <c r="O130" s="79">
        <v>5123.2789092745306</v>
      </c>
      <c r="P130" s="80">
        <f t="shared" si="14"/>
        <v>6.8163184286002521</v>
      </c>
      <c r="Q130" s="80">
        <f t="shared" si="9"/>
        <v>35.530445878887797</v>
      </c>
      <c r="R130" s="76">
        <v>1548</v>
      </c>
      <c r="S130" s="76">
        <f t="shared" si="15"/>
        <v>174240.06911978862</v>
      </c>
      <c r="V130" s="76" t="str">
        <f>VLOOKUP(B130,NUTS_Europa!$B$2:$F$41,5,FALSE)</f>
        <v>Lüneburg</v>
      </c>
      <c r="W130" s="76" t="str">
        <f>VLOOKUP(C130,Puertos!$N$3:$O$27,2,FALSE)</f>
        <v>Hamburgo</v>
      </c>
      <c r="X130" s="76" t="str">
        <f>VLOOKUP(D130,NUTS_Europa!$B$2:$F$41,5,FALSE)</f>
        <v>Noord-Holland</v>
      </c>
      <c r="Y130" s="76" t="str">
        <f>VLOOKUP(E130,Puertos!$N$3:$O$27,2,FALSE)</f>
        <v>Amsterdam</v>
      </c>
    </row>
    <row r="131" spans="2:30" s="76" customFormat="1" x14ac:dyDescent="0.25">
      <c r="B131" s="76" t="str">
        <f>VLOOKUP(G131,[1]NUTS_Europa!$A$2:$C$81,2,FALSE)</f>
        <v>NL32</v>
      </c>
      <c r="C131" s="76">
        <f>VLOOKUP(G131,[1]NUTS_Europa!$A$2:$C$81,3,FALSE)</f>
        <v>218</v>
      </c>
      <c r="D131" s="76" t="str">
        <f>VLOOKUP(F131,[1]NUTS_Europa!$A$2:$C$81,2,FALSE)</f>
        <v>BE21</v>
      </c>
      <c r="E131" s="76">
        <f>VLOOKUP(F131,[1]NUTS_Europa!$A$2:$C$81,3,FALSE)</f>
        <v>253</v>
      </c>
      <c r="F131" s="76">
        <v>1</v>
      </c>
      <c r="G131" s="76">
        <v>32</v>
      </c>
      <c r="H131" s="78">
        <v>461199.654838207</v>
      </c>
      <c r="I131" s="78">
        <v>808678.53355081112</v>
      </c>
      <c r="J131" s="78">
        <f t="shared" si="8"/>
        <v>57762.75239648651</v>
      </c>
      <c r="K131" s="79">
        <v>198656.28734660565</v>
      </c>
      <c r="L131" s="80">
        <v>12.785</v>
      </c>
      <c r="M131" s="80">
        <v>11.933003155022533</v>
      </c>
      <c r="N131" s="80">
        <v>26.943762908255376</v>
      </c>
      <c r="O131" s="79">
        <v>5123.2789092745306</v>
      </c>
      <c r="P131" s="80">
        <f t="shared" si="14"/>
        <v>8.1410646815411063</v>
      </c>
      <c r="Q131" s="80">
        <f t="shared" si="9"/>
        <v>32.859067836563639</v>
      </c>
      <c r="R131" s="76">
        <v>1548</v>
      </c>
      <c r="S131" s="76">
        <f t="shared" si="15"/>
        <v>139351.59071607908</v>
      </c>
      <c r="V131" s="76" t="str">
        <f>VLOOKUP(B131,NUTS_Europa!$B$2:$F$41,5,FALSE)</f>
        <v>Noord-Holland</v>
      </c>
      <c r="W131" s="76" t="str">
        <f>VLOOKUP(C131,Puertos!$N$3:$O$27,2,FALSE)</f>
        <v>Amsterdam</v>
      </c>
      <c r="X131" s="76" t="str">
        <f>VLOOKUP(D131,NUTS_Europa!$B$2:$F$41,5,FALSE)</f>
        <v>Prov. Antwerpen</v>
      </c>
      <c r="Y131" s="76" t="str">
        <f>VLOOKUP(E131,Puertos!$N$3:$O$27,2,FALSE)</f>
        <v>Amberes</v>
      </c>
    </row>
    <row r="132" spans="2:30" s="76" customFormat="1" x14ac:dyDescent="0.25">
      <c r="B132" s="76" t="str">
        <f>VLOOKUP(F132,[1]NUTS_Europa!$A$2:$C$81,2,FALSE)</f>
        <v>BE21</v>
      </c>
      <c r="C132" s="76">
        <f>VLOOKUP(F132,[1]NUTS_Europa!$A$2:$C$81,3,FALSE)</f>
        <v>253</v>
      </c>
      <c r="D132" s="76" t="str">
        <f>VLOOKUP(G132,[1]NUTS_Europa!$A$2:$C$81,2,FALSE)</f>
        <v>BE25</v>
      </c>
      <c r="E132" s="76">
        <f>VLOOKUP(G132,[1]NUTS_Europa!$A$2:$C$81,3,FALSE)</f>
        <v>235</v>
      </c>
      <c r="F132" s="76">
        <v>1</v>
      </c>
      <c r="G132" s="76">
        <v>3</v>
      </c>
      <c r="H132" s="78">
        <v>286657.42126054224</v>
      </c>
      <c r="I132" s="78">
        <v>632569.18926560797</v>
      </c>
      <c r="J132" s="78">
        <f t="shared" si="8"/>
        <v>45183.513518971995</v>
      </c>
      <c r="K132" s="79">
        <v>135416.16142478216</v>
      </c>
      <c r="L132" s="80">
        <v>8.9857142857142858</v>
      </c>
      <c r="M132" s="80">
        <v>12.074819621561353</v>
      </c>
      <c r="N132" s="80">
        <v>8.4795381465049093</v>
      </c>
      <c r="O132" s="79">
        <v>1522.6567936191168</v>
      </c>
      <c r="P132" s="80">
        <f t="shared" si="14"/>
        <v>8.6206721736619194</v>
      </c>
      <c r="Q132" s="80">
        <f t="shared" si="9"/>
        <v>29.68120608093756</v>
      </c>
      <c r="R132" s="76">
        <v>1548</v>
      </c>
      <c r="S132" s="76">
        <f t="shared" si="15"/>
        <v>291428.56746897334</v>
      </c>
      <c r="V132" s="76" t="str">
        <f>VLOOKUP(B132,NUTS_Europa!$B$2:$F$41,5,FALSE)</f>
        <v>Prov. Antwerpen</v>
      </c>
      <c r="W132" s="76" t="str">
        <f>VLOOKUP(C132,Puertos!$N$3:$O$27,2,FALSE)</f>
        <v>Amberes</v>
      </c>
      <c r="X132" s="76" t="str">
        <f>VLOOKUP(D132,NUTS_Europa!$B$2:$F$41,5,FALSE)</f>
        <v>Prov. West-Vlaanderen</v>
      </c>
      <c r="Y132" s="76" t="str">
        <f>VLOOKUP(E132,Puertos!$N$3:$O$27,2,FALSE)</f>
        <v>Dunkerque</v>
      </c>
    </row>
    <row r="133" spans="2:30" s="76" customFormat="1" x14ac:dyDescent="0.25">
      <c r="B133" s="76" t="str">
        <f>VLOOKUP(G133,[1]NUTS_Europa!$A$2:$C$81,2,FALSE)</f>
        <v>BE25</v>
      </c>
      <c r="C133" s="76">
        <f>VLOOKUP(G133,[1]NUTS_Europa!$A$2:$C$81,3,FALSE)</f>
        <v>235</v>
      </c>
      <c r="D133" s="76" t="str">
        <f>VLOOKUP(F133,[1]NUTS_Europa!$A$2:$C$81,2,FALSE)</f>
        <v>BE23</v>
      </c>
      <c r="E133" s="76">
        <f>VLOOKUP(F133,[1]NUTS_Europa!$A$2:$C$81,3,FALSE)</f>
        <v>253</v>
      </c>
      <c r="F133" s="76">
        <v>2</v>
      </c>
      <c r="G133" s="76">
        <v>3</v>
      </c>
      <c r="H133" s="78">
        <v>354631.86584128684</v>
      </c>
      <c r="I133" s="78">
        <v>632569.18926560797</v>
      </c>
      <c r="J133" s="78">
        <f t="shared" si="8"/>
        <v>45183.513518971995</v>
      </c>
      <c r="K133" s="79">
        <v>135416.16142478216</v>
      </c>
      <c r="L133" s="80">
        <v>8.9857142857142858</v>
      </c>
      <c r="M133" s="80">
        <v>12.074819621561353</v>
      </c>
      <c r="N133" s="80">
        <v>8.4795381465049093</v>
      </c>
      <c r="O133" s="79">
        <v>1522.6567936191168</v>
      </c>
      <c r="P133" s="80">
        <f t="shared" si="14"/>
        <v>8.6206721736619194</v>
      </c>
      <c r="Q133" s="80">
        <f t="shared" si="9"/>
        <v>29.68120608093756</v>
      </c>
      <c r="R133" s="76">
        <v>1548</v>
      </c>
      <c r="S133" s="76">
        <f t="shared" si="15"/>
        <v>360534.38346897333</v>
      </c>
      <c r="V133" s="76" t="str">
        <f>VLOOKUP(B133,NUTS_Europa!$B$2:$F$41,5,FALSE)</f>
        <v>Prov. West-Vlaanderen</v>
      </c>
      <c r="W133" s="76" t="str">
        <f>VLOOKUP(C133,Puertos!$N$3:$O$27,2,FALSE)</f>
        <v>Dunkerque</v>
      </c>
      <c r="X133" s="76" t="str">
        <f>VLOOKUP(D133,NUTS_Europa!$B$2:$F$41,5,FALSE)</f>
        <v>Prov. Oost-Vlaanderen</v>
      </c>
      <c r="Y133" s="76" t="str">
        <f>VLOOKUP(E133,Puertos!$N$3:$O$27,2,FALSE)</f>
        <v>Amberes</v>
      </c>
    </row>
    <row r="134" spans="2:30" s="76" customFormat="1" x14ac:dyDescent="0.25">
      <c r="B134" s="76" t="str">
        <f>VLOOKUP(F134,[1]NUTS_Europa!$A$2:$C$81,2,FALSE)</f>
        <v>BE23</v>
      </c>
      <c r="C134" s="76">
        <f>VLOOKUP(F134,[1]NUTS_Europa!$A$2:$C$81,3,FALSE)</f>
        <v>253</v>
      </c>
      <c r="D134" s="76" t="str">
        <f>VLOOKUP(G134,[1]NUTS_Europa!$A$2:$C$81,2,FALSE)</f>
        <v>ES13</v>
      </c>
      <c r="E134" s="76">
        <f>VLOOKUP(G134,[1]NUTS_Europa!$A$2:$C$81,3,FALSE)</f>
        <v>163</v>
      </c>
      <c r="F134" s="76">
        <v>2</v>
      </c>
      <c r="G134" s="76">
        <v>13</v>
      </c>
      <c r="H134" s="78">
        <v>949031.24189557706</v>
      </c>
      <c r="I134" s="78">
        <v>1064860.6912041982</v>
      </c>
      <c r="J134" s="78">
        <f t="shared" si="8"/>
        <v>76061.477943157006</v>
      </c>
      <c r="K134" s="79">
        <v>117923.68175590989</v>
      </c>
      <c r="L134" s="80">
        <v>55.422142857142852</v>
      </c>
      <c r="M134" s="80">
        <v>11.687132601690003</v>
      </c>
      <c r="N134" s="80">
        <f>19.7948219796068+15</f>
        <v>34.794821979606802</v>
      </c>
      <c r="O134" s="79">
        <v>3085.040429338103</v>
      </c>
      <c r="P134" s="80">
        <f t="shared" ref="P134:P139" si="16">(N134*(R134/O134))</f>
        <v>17.459215092356999</v>
      </c>
      <c r="Q134" s="80">
        <f>P134+M134+L134</f>
        <v>84.568490551189853</v>
      </c>
      <c r="R134" s="76">
        <v>1548</v>
      </c>
      <c r="S134" s="78">
        <f t="shared" si="15"/>
        <v>476201.33223652741</v>
      </c>
      <c r="T134" s="78">
        <f t="shared" ref="T134:T139" si="17">J134*2</f>
        <v>152122.95588631401</v>
      </c>
      <c r="U134" s="78">
        <f t="shared" ref="U134:U139" si="18">T134+S134</f>
        <v>628324.28812284139</v>
      </c>
      <c r="V134" s="76" t="str">
        <f>VLOOKUP(B134,NUTS_Europa!$B$2:$F$41,5,FALSE)</f>
        <v>Prov. Oost-Vlaanderen</v>
      </c>
      <c r="W134" s="76" t="str">
        <f>VLOOKUP(C134,Puertos!$N$3:$O$27,2,FALSE)</f>
        <v>Amberes</v>
      </c>
      <c r="X134" s="76" t="str">
        <f>VLOOKUP(D134,NUTS_Europa!$B$2:$F$41,5,FALSE)</f>
        <v>Cantabria</v>
      </c>
      <c r="Y134" s="76" t="str">
        <f>VLOOKUP(E134,Puertos!$N$3:$O$27,2,FALSE)</f>
        <v>Bilbao</v>
      </c>
      <c r="Z134" s="80">
        <f>Q134/24</f>
        <v>3.5236871062995774</v>
      </c>
      <c r="AA134" s="76">
        <f t="shared" ref="AA134:AA139" si="19">Z134/24</f>
        <v>0.14682029609581573</v>
      </c>
    </row>
    <row r="135" spans="2:30" s="76" customFormat="1" x14ac:dyDescent="0.25">
      <c r="B135" s="76" t="str">
        <f>VLOOKUP(G135,[1]NUTS_Europa!$A$2:$C$81,2,FALSE)</f>
        <v>ES13</v>
      </c>
      <c r="C135" s="76">
        <f>VLOOKUP(G135,[1]NUTS_Europa!$A$2:$C$81,3,FALSE)</f>
        <v>163</v>
      </c>
      <c r="D135" s="76" t="str">
        <f>VLOOKUP(F135,[1]NUTS_Europa!$A$2:$C$81,2,FALSE)</f>
        <v>DEF0</v>
      </c>
      <c r="E135" s="76">
        <f>VLOOKUP(F135,[1]NUTS_Europa!$A$2:$C$81,3,FALSE)</f>
        <v>1069</v>
      </c>
      <c r="F135" s="76">
        <v>10</v>
      </c>
      <c r="G135" s="76">
        <v>13</v>
      </c>
      <c r="H135" s="78">
        <v>1079963.8816697879</v>
      </c>
      <c r="I135" s="78">
        <v>1195681.6856625974</v>
      </c>
      <c r="J135" s="78">
        <f t="shared" si="8"/>
        <v>85405.834690185526</v>
      </c>
      <c r="K135" s="79">
        <v>163171.48832599766</v>
      </c>
      <c r="L135" s="80">
        <v>74.86071428571428</v>
      </c>
      <c r="M135" s="80">
        <v>9.1846854683835808</v>
      </c>
      <c r="N135" s="80">
        <f>17.1547084467019+15</f>
        <v>32.154708446701903</v>
      </c>
      <c r="O135" s="79">
        <v>3085.040429338103</v>
      </c>
      <c r="P135" s="80">
        <f t="shared" si="16"/>
        <v>16.134468839416119</v>
      </c>
      <c r="Q135" s="80">
        <f t="shared" ref="Q135:Q139" si="20">P135+M135+L135</f>
        <v>100.17986859351399</v>
      </c>
      <c r="R135" s="76">
        <v>1548</v>
      </c>
      <c r="S135" s="78">
        <f t="shared" si="15"/>
        <v>541900.2204724797</v>
      </c>
      <c r="T135" s="78">
        <f t="shared" si="17"/>
        <v>170811.66938037105</v>
      </c>
      <c r="U135" s="78">
        <f t="shared" si="18"/>
        <v>712711.8898528507</v>
      </c>
      <c r="V135" s="76" t="str">
        <f>VLOOKUP(B135,NUTS_Europa!$B$2:$F$41,5,FALSE)</f>
        <v>Cantabria</v>
      </c>
      <c r="W135" s="76" t="str">
        <f>VLOOKUP(C135,Puertos!$N$3:$O$27,2,FALSE)</f>
        <v>Bilbao</v>
      </c>
      <c r="X135" s="76" t="str">
        <f>VLOOKUP(D135,NUTS_Europa!$B$2:$F$41,5,FALSE)</f>
        <v>Schleswig-Holstein</v>
      </c>
      <c r="Y135" s="76" t="str">
        <f>VLOOKUP(E135,Puertos!$N$3:$O$27,2,FALSE)</f>
        <v>Hamburgo</v>
      </c>
      <c r="Z135" s="80">
        <f t="shared" ref="Z135:Z139" si="21">Q135/24</f>
        <v>4.1741611913964158</v>
      </c>
      <c r="AA135" s="76">
        <f t="shared" si="19"/>
        <v>0.17392338297485066</v>
      </c>
    </row>
    <row r="136" spans="2:30" s="76" customFormat="1" x14ac:dyDescent="0.25">
      <c r="B136" s="76" t="str">
        <f>VLOOKUP(F136,[1]NUTS_Europa!$A$2:$C$81,2,FALSE)</f>
        <v>DEF0</v>
      </c>
      <c r="C136" s="76">
        <f>VLOOKUP(F136,[1]NUTS_Europa!$A$2:$C$81,3,FALSE)</f>
        <v>1069</v>
      </c>
      <c r="D136" s="76" t="str">
        <f>VLOOKUP(G136,[1]NUTS_Europa!$A$2:$C$81,2,FALSE)</f>
        <v>ES21</v>
      </c>
      <c r="E136" s="76">
        <f>VLOOKUP(G136,[1]NUTS_Europa!$A$2:$C$81,3,FALSE)</f>
        <v>163</v>
      </c>
      <c r="F136" s="76">
        <v>10</v>
      </c>
      <c r="G136" s="76">
        <v>14</v>
      </c>
      <c r="H136" s="78">
        <v>898494.39951909042</v>
      </c>
      <c r="I136" s="78">
        <v>1195681.6856625974</v>
      </c>
      <c r="J136" s="78">
        <f t="shared" si="8"/>
        <v>85405.834690185526</v>
      </c>
      <c r="K136" s="79">
        <v>199058.85825050285</v>
      </c>
      <c r="L136" s="80">
        <v>74.86071428571428</v>
      </c>
      <c r="M136" s="80">
        <v>9.1846854683835808</v>
      </c>
      <c r="N136" s="80">
        <v>17.154708446701989</v>
      </c>
      <c r="O136" s="79">
        <v>3085.040429338103</v>
      </c>
      <c r="P136" s="80">
        <f t="shared" si="16"/>
        <v>0</v>
      </c>
      <c r="Q136" s="80">
        <f t="shared" si="20"/>
        <v>84.045399754097858</v>
      </c>
      <c r="S136" s="78"/>
      <c r="T136" s="78">
        <f t="shared" si="17"/>
        <v>170811.66938037105</v>
      </c>
      <c r="U136" s="78">
        <f t="shared" si="18"/>
        <v>170811.66938037105</v>
      </c>
      <c r="V136" s="76" t="str">
        <f>VLOOKUP(B136,NUTS_Europa!$B$2:$F$41,5,FALSE)</f>
        <v>Schleswig-Holstein</v>
      </c>
      <c r="W136" s="76" t="str">
        <f>VLOOKUP(C136,Puertos!$N$3:$O$27,2,FALSE)</f>
        <v>Hamburgo</v>
      </c>
      <c r="X136" s="76" t="str">
        <f>VLOOKUP(D136,NUTS_Europa!$B$2:$F$41,5,FALSE)</f>
        <v>País Vasco</v>
      </c>
      <c r="Y136" s="76" t="str">
        <f>VLOOKUP(E136,Puertos!$N$3:$O$27,2,FALSE)</f>
        <v>Bilbao</v>
      </c>
      <c r="Z136" s="80">
        <f t="shared" si="21"/>
        <v>3.5018916564207441</v>
      </c>
      <c r="AA136" s="76">
        <f t="shared" si="19"/>
        <v>0.14591215235086433</v>
      </c>
    </row>
    <row r="137" spans="2:30" s="76" customFormat="1" x14ac:dyDescent="0.25">
      <c r="B137" s="76" t="str">
        <f>VLOOKUP(G137,[1]NUTS_Europa!$A$2:$C$81,2,FALSE)</f>
        <v>ES21</v>
      </c>
      <c r="C137" s="76">
        <f>VLOOKUP(G137,[1]NUTS_Europa!$A$2:$C$81,3,FALSE)</f>
        <v>163</v>
      </c>
      <c r="D137" s="76" t="str">
        <f>VLOOKUP(F137,[1]NUTS_Europa!$A$2:$C$81,2,FALSE)</f>
        <v>DE80</v>
      </c>
      <c r="E137" s="76">
        <f>VLOOKUP(F137,[1]NUTS_Europa!$A$2:$C$81,3,FALSE)</f>
        <v>1069</v>
      </c>
      <c r="F137" s="76">
        <v>6</v>
      </c>
      <c r="G137" s="76">
        <v>14</v>
      </c>
      <c r="H137" s="78">
        <v>1465991.5970483928</v>
      </c>
      <c r="I137" s="78">
        <v>1195681.6856625974</v>
      </c>
      <c r="J137" s="78">
        <f t="shared" si="8"/>
        <v>85405.834690185526</v>
      </c>
      <c r="K137" s="79">
        <v>154854.30087154222</v>
      </c>
      <c r="L137" s="80">
        <v>74.86071428571428</v>
      </c>
      <c r="M137" s="80">
        <v>9.1846854683835808</v>
      </c>
      <c r="N137" s="80">
        <v>17.154708446701989</v>
      </c>
      <c r="O137" s="79">
        <v>3085.040429338103</v>
      </c>
      <c r="P137" s="80">
        <f t="shared" si="16"/>
        <v>0</v>
      </c>
      <c r="Q137" s="80">
        <f t="shared" si="20"/>
        <v>84.045399754097858</v>
      </c>
      <c r="S137" s="78"/>
      <c r="T137" s="78">
        <f t="shared" si="17"/>
        <v>170811.66938037105</v>
      </c>
      <c r="U137" s="78">
        <f t="shared" si="18"/>
        <v>170811.66938037105</v>
      </c>
      <c r="V137" s="76" t="str">
        <f>VLOOKUP(B137,NUTS_Europa!$B$2:$F$41,5,FALSE)</f>
        <v>País Vasco</v>
      </c>
      <c r="W137" s="76" t="str">
        <f>VLOOKUP(C137,Puertos!$N$3:$O$27,2,FALSE)</f>
        <v>Bilbao</v>
      </c>
      <c r="X137" s="76" t="str">
        <f>VLOOKUP(D137,NUTS_Europa!$B$2:$F$41,5,FALSE)</f>
        <v>Mecklenburg-Vorpommern</v>
      </c>
      <c r="Y137" s="76" t="str">
        <f>VLOOKUP(E137,Puertos!$N$3:$O$27,2,FALSE)</f>
        <v>Hamburgo</v>
      </c>
      <c r="Z137" s="80">
        <f t="shared" si="21"/>
        <v>3.5018916564207441</v>
      </c>
      <c r="AA137" s="76">
        <f t="shared" si="19"/>
        <v>0.14591215235086433</v>
      </c>
    </row>
    <row r="138" spans="2:30" s="76" customFormat="1" x14ac:dyDescent="0.25">
      <c r="B138" s="76" t="str">
        <f>VLOOKUP(F138,[1]NUTS_Europa!$A$2:$C$81,2,FALSE)</f>
        <v>DE80</v>
      </c>
      <c r="C138" s="76">
        <f>VLOOKUP(F138,[1]NUTS_Europa!$A$2:$C$81,3,FALSE)</f>
        <v>1069</v>
      </c>
      <c r="D138" s="76" t="str">
        <f>VLOOKUP(G138,[1]NUTS_Europa!$A$2:$C$81,2,FALSE)</f>
        <v>ES11</v>
      </c>
      <c r="E138" s="76">
        <f>VLOOKUP(G138,[1]NUTS_Europa!$A$2:$C$81,3,FALSE)</f>
        <v>288</v>
      </c>
      <c r="F138" s="76">
        <v>6</v>
      </c>
      <c r="G138" s="76">
        <v>11</v>
      </c>
      <c r="H138" s="78">
        <v>517213.26083615399</v>
      </c>
      <c r="I138" s="78">
        <v>1310705.1039421991</v>
      </c>
      <c r="J138" s="78">
        <f t="shared" si="8"/>
        <v>93621.793138728506</v>
      </c>
      <c r="K138" s="79">
        <v>142841.86171918266</v>
      </c>
      <c r="L138" s="80">
        <v>82.767857142857139</v>
      </c>
      <c r="M138" s="80">
        <v>10.084834655207214</v>
      </c>
      <c r="N138" s="80">
        <f>4.51890620092143+6</f>
        <v>10.51890620092143</v>
      </c>
      <c r="O138" s="79">
        <v>960.4820809003329</v>
      </c>
      <c r="P138" s="80">
        <f t="shared" si="16"/>
        <v>10.51890620092143</v>
      </c>
      <c r="Q138" s="80">
        <f t="shared" si="20"/>
        <v>103.37159799898578</v>
      </c>
      <c r="R138" s="79">
        <f>O138</f>
        <v>960.4820809003329</v>
      </c>
      <c r="S138" s="78">
        <f>H138</f>
        <v>517213.26083615399</v>
      </c>
      <c r="T138" s="78">
        <f t="shared" si="17"/>
        <v>187243.58627745701</v>
      </c>
      <c r="U138" s="78">
        <f t="shared" si="18"/>
        <v>704456.84711361094</v>
      </c>
      <c r="V138" s="76" t="str">
        <f>VLOOKUP(B138,NUTS_Europa!$B$2:$F$41,5,FALSE)</f>
        <v>Mecklenburg-Vorpommern</v>
      </c>
      <c r="W138" s="76" t="str">
        <f>VLOOKUP(C138,Puertos!$N$3:$O$27,2,FALSE)</f>
        <v>Hamburgo</v>
      </c>
      <c r="X138" s="76" t="str">
        <f>VLOOKUP(D138,NUTS_Europa!$B$2:$F$41,5,FALSE)</f>
        <v>Galicia</v>
      </c>
      <c r="Y138" s="76" t="str">
        <f>VLOOKUP(E138,Puertos!$N$3:$O$27,2,FALSE)</f>
        <v>Vigo</v>
      </c>
      <c r="Z138" s="80">
        <f t="shared" si="21"/>
        <v>4.3071499166244074</v>
      </c>
      <c r="AA138" s="76">
        <f t="shared" si="19"/>
        <v>0.1794645798593503</v>
      </c>
    </row>
    <row r="139" spans="2:30" s="76" customFormat="1" x14ac:dyDescent="0.25">
      <c r="B139" s="76" t="str">
        <f>VLOOKUP(G139,[1]NUTS_Europa!$A$2:$C$81,2,FALSE)</f>
        <v>ES11</v>
      </c>
      <c r="C139" s="76">
        <f>VLOOKUP(G139,[1]NUTS_Europa!$A$2:$C$81,3,FALSE)</f>
        <v>288</v>
      </c>
      <c r="D139" s="76" t="str">
        <f>VLOOKUP(F139,[1]NUTS_Europa!$A$2:$C$81,2,FALSE)</f>
        <v>DEA1</v>
      </c>
      <c r="E139" s="76">
        <f>VLOOKUP(F139,[1]NUTS_Europa!$A$2:$C$81,3,FALSE)</f>
        <v>253</v>
      </c>
      <c r="F139" s="76">
        <v>9</v>
      </c>
      <c r="G139" s="76">
        <v>11</v>
      </c>
      <c r="H139" s="78">
        <v>538562.41891311097</v>
      </c>
      <c r="I139" s="78">
        <v>1188360.3292991736</v>
      </c>
      <c r="J139" s="78">
        <f t="shared" si="8"/>
        <v>84882.880664226686</v>
      </c>
      <c r="K139" s="79">
        <v>142392.8717171422</v>
      </c>
      <c r="L139" s="80">
        <v>63.36785714285714</v>
      </c>
      <c r="M139" s="80">
        <v>12.587281788513636</v>
      </c>
      <c r="N139" s="80">
        <f>5.34086681958393+6</f>
        <v>11.34086681958393</v>
      </c>
      <c r="O139" s="79">
        <v>960.4820809003329</v>
      </c>
      <c r="P139" s="80">
        <f t="shared" si="16"/>
        <v>11.34086681958393</v>
      </c>
      <c r="Q139" s="80">
        <f t="shared" si="20"/>
        <v>87.296005750954706</v>
      </c>
      <c r="R139" s="79">
        <f>O139</f>
        <v>960.4820809003329</v>
      </c>
      <c r="S139" s="78">
        <f>H139</f>
        <v>538562.41891311097</v>
      </c>
      <c r="T139" s="78">
        <f t="shared" si="17"/>
        <v>169765.76132845337</v>
      </c>
      <c r="U139" s="78">
        <f t="shared" si="18"/>
        <v>708328.18024156429</v>
      </c>
      <c r="V139" s="76" t="str">
        <f>VLOOKUP(B139,NUTS_Europa!$B$2:$F$41,5,FALSE)</f>
        <v>Galicia</v>
      </c>
      <c r="W139" s="76" t="str">
        <f>VLOOKUP(C139,Puertos!$N$3:$O$27,2,FALSE)</f>
        <v>Vigo</v>
      </c>
      <c r="X139" s="76" t="str">
        <f>VLOOKUP(D139,NUTS_Europa!$B$2:$F$41,5,FALSE)</f>
        <v>Düsseldorf</v>
      </c>
      <c r="Y139" s="76" t="str">
        <f>VLOOKUP(E139,Puertos!$N$3:$O$27,2,FALSE)</f>
        <v>Amberes</v>
      </c>
      <c r="Z139" s="80">
        <f t="shared" si="21"/>
        <v>3.6373335729564462</v>
      </c>
      <c r="AA139" s="76">
        <f t="shared" si="19"/>
        <v>0.15155556553985192</v>
      </c>
      <c r="AB139" s="80">
        <f>Q134+Q135+Q138+Q139</f>
        <v>375.41596289464428</v>
      </c>
      <c r="AC139" s="76">
        <f>AB139/24</f>
        <v>15.642331787276845</v>
      </c>
      <c r="AD139" s="76">
        <f>AC139/7</f>
        <v>2.2346188267538349</v>
      </c>
    </row>
    <row r="140" spans="2:30" s="76" customFormat="1" x14ac:dyDescent="0.25">
      <c r="B140" s="76" t="str">
        <f>VLOOKUP(F140,[1]NUTS_Europa!$A$2:$C$81,2,FALSE)</f>
        <v>DEA1</v>
      </c>
      <c r="C140" s="76">
        <f>VLOOKUP(F140,[1]NUTS_Europa!$A$2:$C$81,3,FALSE)</f>
        <v>253</v>
      </c>
      <c r="D140" s="76" t="str">
        <f>VLOOKUP(G140,[1]NUTS_Europa!$A$2:$C$81,2,FALSE)</f>
        <v>FRH0</v>
      </c>
      <c r="E140" s="76">
        <f>VLOOKUP(G140,[1]NUTS_Europa!$A$2:$C$81,3,FALSE)</f>
        <v>283</v>
      </c>
      <c r="F140" s="76">
        <v>9</v>
      </c>
      <c r="G140" s="76">
        <v>23</v>
      </c>
      <c r="H140" s="78">
        <v>1389338.5620231957</v>
      </c>
      <c r="I140" s="78">
        <v>985331.36618071084</v>
      </c>
      <c r="J140" s="78">
        <f t="shared" si="8"/>
        <v>70380.811870050777</v>
      </c>
      <c r="K140" s="79">
        <v>144185.26102544673</v>
      </c>
      <c r="L140" s="80">
        <v>49.328571428571429</v>
      </c>
      <c r="M140" s="80">
        <v>12.811768521434095</v>
      </c>
      <c r="N140" s="80">
        <v>11.226911756455761</v>
      </c>
      <c r="O140" s="79">
        <v>1954.024298469388</v>
      </c>
      <c r="P140" s="80">
        <f>N140*(R140/O140)</f>
        <v>8.8940856122449006</v>
      </c>
      <c r="Q140" s="80">
        <f>L140+M140+P140</f>
        <v>71.034425562250419</v>
      </c>
      <c r="R140" s="76">
        <f>R134</f>
        <v>1548</v>
      </c>
      <c r="S140" s="76">
        <f>I140*(R140/O140)</f>
        <v>780590.57711949723</v>
      </c>
      <c r="V140" s="76" t="str">
        <f>VLOOKUP(B140,NUTS_Europa!$B$2:$F$41,5,FALSE)</f>
        <v>Düsseldorf</v>
      </c>
      <c r="W140" s="76" t="str">
        <f>VLOOKUP(C140,Puertos!$N$3:$O$27,2,FALSE)</f>
        <v>Amberes</v>
      </c>
      <c r="X140" s="76" t="str">
        <f>VLOOKUP(D140,NUTS_Europa!$B$2:$F$41,5,FALSE)</f>
        <v>Bretagne</v>
      </c>
      <c r="Y140" s="76" t="str">
        <f>VLOOKUP(E140,Puertos!$N$3:$O$27,2,FALSE)</f>
        <v>La Rochelle</v>
      </c>
      <c r="Z140" s="80">
        <f>(Z134+Z135+Z138+Z139)/6</f>
        <v>2.6070552978794743</v>
      </c>
    </row>
    <row r="141" spans="2:30" s="76" customFormat="1" x14ac:dyDescent="0.25">
      <c r="B141" s="76" t="str">
        <f>VLOOKUP(G141,[1]NUTS_Europa!$A$2:$C$81,2,FALSE)</f>
        <v>FRH0</v>
      </c>
      <c r="C141" s="76">
        <f>VLOOKUP(G141,[1]NUTS_Europa!$A$2:$C$81,3,FALSE)</f>
        <v>283</v>
      </c>
      <c r="D141" s="76" t="str">
        <f>VLOOKUP(F141,[1]NUTS_Europa!$A$2:$C$81,2,FALSE)</f>
        <v>ES61</v>
      </c>
      <c r="E141" s="76">
        <f>VLOOKUP(F141,[1]NUTS_Europa!$A$2:$C$81,3,FALSE)</f>
        <v>61</v>
      </c>
      <c r="F141" s="76">
        <v>17</v>
      </c>
      <c r="G141" s="76">
        <v>23</v>
      </c>
      <c r="H141" s="78">
        <v>1444170.8012856515</v>
      </c>
      <c r="I141" s="78">
        <v>1107655.3859288881</v>
      </c>
      <c r="J141" s="78">
        <f t="shared" si="8"/>
        <v>79118.241852063438</v>
      </c>
      <c r="K141" s="79">
        <v>191087.21980936834</v>
      </c>
      <c r="L141" s="80">
        <v>73.28</v>
      </c>
      <c r="M141" s="80">
        <v>9.3777892858004819</v>
      </c>
      <c r="N141" s="80">
        <v>8.9187183759123076</v>
      </c>
      <c r="O141" s="79">
        <v>1954.024298469388</v>
      </c>
      <c r="P141" s="80">
        <f>N141*(R141/O141)</f>
        <v>7.0655088868274589</v>
      </c>
      <c r="Q141" s="80">
        <f>L141+M141+P141</f>
        <v>89.723298172627935</v>
      </c>
      <c r="R141" s="76">
        <f>R135</f>
        <v>1548</v>
      </c>
      <c r="S141" s="76">
        <f>I141*(R141/O141)</f>
        <v>877497.03970468859</v>
      </c>
      <c r="V141" s="76" t="str">
        <f>VLOOKUP(B141,NUTS_Europa!$B$2:$F$41,5,FALSE)</f>
        <v>Bretagne</v>
      </c>
      <c r="W141" s="76" t="str">
        <f>VLOOKUP(C141,Puertos!$N$3:$O$27,2,FALSE)</f>
        <v>La Rochelle</v>
      </c>
      <c r="X141" s="76" t="str">
        <f>VLOOKUP(D141,NUTS_Europa!$B$2:$F$41,5,FALSE)</f>
        <v>Andalucía</v>
      </c>
      <c r="Y141" s="76" t="str">
        <f>VLOOKUP(E141,Puertos!$N$3:$O$27,2,FALSE)</f>
        <v>Algeciras</v>
      </c>
      <c r="Z141" s="82">
        <f>('14 buques 19.5 kn 25000 charter'!Z113-'13 buques 14 kn 25000'!Z140)/'14 buques 19.5 kn 25000 charter'!Z113</f>
        <v>0.88467783775446363</v>
      </c>
    </row>
    <row r="142" spans="2:30" s="76" customFormat="1" x14ac:dyDescent="0.25">
      <c r="Z142" s="76">
        <f>(Z134+Z135+Z138+Z139)/4</f>
        <v>3.9105829468192117</v>
      </c>
    </row>
    <row r="143" spans="2:30" s="76" customFormat="1" x14ac:dyDescent="0.25"/>
    <row r="144" spans="2:30" s="76" customFormat="1" x14ac:dyDescent="0.25"/>
    <row r="145" s="76" customFormat="1" x14ac:dyDescent="0.25"/>
    <row r="146" s="76" customFormat="1" x14ac:dyDescent="0.25"/>
    <row r="147" s="76" customFormat="1" x14ac:dyDescent="0.25"/>
    <row r="148" s="76" customFormat="1" x14ac:dyDescent="0.25"/>
    <row r="149" s="76" customFormat="1" x14ac:dyDescent="0.25"/>
    <row r="150" s="76" customFormat="1" x14ac:dyDescent="0.25"/>
  </sheetData>
  <autoFilter ref="B3:I83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99B-A848-4B56-8D7F-F10CEBE38BDC}">
  <dimension ref="A3:O28"/>
  <sheetViews>
    <sheetView tabSelected="1" workbookViewId="0">
      <selection activeCell="O3" sqref="O3:O27"/>
    </sheetView>
  </sheetViews>
  <sheetFormatPr baseColWidth="10" defaultRowHeight="15" x14ac:dyDescent="0.25"/>
  <sheetData>
    <row r="3" spans="1:15" x14ac:dyDescent="0.25">
      <c r="C3" s="1" t="s">
        <v>0</v>
      </c>
      <c r="D3" s="1" t="s">
        <v>1</v>
      </c>
      <c r="E3" t="s">
        <v>25</v>
      </c>
      <c r="F3" t="s">
        <v>26</v>
      </c>
      <c r="N3" s="1">
        <v>282</v>
      </c>
      <c r="O3" s="1" t="s">
        <v>2</v>
      </c>
    </row>
    <row r="4" spans="1:15" x14ac:dyDescent="0.25">
      <c r="C4" s="1">
        <v>282</v>
      </c>
      <c r="D4" s="1" t="s">
        <v>2</v>
      </c>
      <c r="E4">
        <v>157391</v>
      </c>
      <c r="F4">
        <f>E4/52</f>
        <v>3026.75</v>
      </c>
      <c r="N4" s="1">
        <v>1064</v>
      </c>
      <c r="O4" s="1" t="s">
        <v>3</v>
      </c>
    </row>
    <row r="5" spans="1:15" x14ac:dyDescent="0.25">
      <c r="C5" s="1">
        <v>1064</v>
      </c>
      <c r="D5" s="1" t="s">
        <v>3</v>
      </c>
      <c r="E5">
        <f>1380871+1335726</f>
        <v>2716597</v>
      </c>
      <c r="F5">
        <f t="shared" ref="F5:F28" si="0">E5/52</f>
        <v>52242.25</v>
      </c>
      <c r="N5" s="1">
        <v>269</v>
      </c>
      <c r="O5" s="1" t="s">
        <v>4</v>
      </c>
    </row>
    <row r="6" spans="1:15" x14ac:dyDescent="0.25">
      <c r="C6" s="1">
        <v>269</v>
      </c>
      <c r="D6" s="1" t="s">
        <v>4</v>
      </c>
      <c r="E6">
        <v>3070000</v>
      </c>
      <c r="F6">
        <f t="shared" si="0"/>
        <v>59038.461538461539</v>
      </c>
      <c r="N6" s="1">
        <v>268</v>
      </c>
      <c r="O6" t="s">
        <v>37</v>
      </c>
    </row>
    <row r="7" spans="1:15" x14ac:dyDescent="0.25">
      <c r="C7" s="1">
        <v>268</v>
      </c>
      <c r="D7" s="1" t="s">
        <v>5</v>
      </c>
      <c r="E7">
        <v>20000</v>
      </c>
      <c r="F7">
        <f t="shared" si="0"/>
        <v>384.61538461538464</v>
      </c>
      <c r="N7" s="1">
        <v>235</v>
      </c>
      <c r="O7" s="1" t="s">
        <v>27</v>
      </c>
    </row>
    <row r="8" spans="1:15" x14ac:dyDescent="0.25">
      <c r="C8" s="1">
        <v>235</v>
      </c>
      <c r="D8" s="1" t="s">
        <v>27</v>
      </c>
      <c r="E8">
        <v>462691</v>
      </c>
      <c r="F8">
        <f t="shared" si="0"/>
        <v>8897.9038461538457</v>
      </c>
      <c r="N8" s="1">
        <v>1063</v>
      </c>
      <c r="O8" s="1" t="s">
        <v>6</v>
      </c>
    </row>
    <row r="9" spans="1:15" x14ac:dyDescent="0.25">
      <c r="C9" s="1">
        <v>1063</v>
      </c>
      <c r="D9" s="1" t="s">
        <v>6</v>
      </c>
      <c r="E9">
        <v>11166640</v>
      </c>
      <c r="F9">
        <f t="shared" si="0"/>
        <v>214743.07692307694</v>
      </c>
      <c r="N9" s="1">
        <v>220</v>
      </c>
      <c r="O9" s="1" t="s">
        <v>7</v>
      </c>
    </row>
    <row r="10" spans="1:15" x14ac:dyDescent="0.25">
      <c r="A10" t="s">
        <v>29</v>
      </c>
      <c r="B10" t="s">
        <v>28</v>
      </c>
      <c r="C10" s="1">
        <v>220</v>
      </c>
      <c r="D10" s="1" t="s">
        <v>7</v>
      </c>
      <c r="E10">
        <v>6770000</v>
      </c>
      <c r="F10">
        <f t="shared" si="0"/>
        <v>130192.30769230769</v>
      </c>
      <c r="N10" s="1">
        <v>250</v>
      </c>
      <c r="O10" s="1" t="s">
        <v>8</v>
      </c>
    </row>
    <row r="11" spans="1:15" x14ac:dyDescent="0.25">
      <c r="C11" s="1">
        <v>250</v>
      </c>
      <c r="D11" s="1" t="s">
        <v>8</v>
      </c>
      <c r="E11">
        <v>15299970</v>
      </c>
      <c r="F11">
        <f t="shared" si="0"/>
        <v>294230.19230769231</v>
      </c>
      <c r="N11" s="1">
        <v>253</v>
      </c>
      <c r="O11" s="1" t="s">
        <v>9</v>
      </c>
    </row>
    <row r="12" spans="1:15" x14ac:dyDescent="0.25">
      <c r="C12" s="1">
        <v>253</v>
      </c>
      <c r="D12" s="1" t="s">
        <v>9</v>
      </c>
      <c r="E12">
        <v>12020000</v>
      </c>
      <c r="F12">
        <f t="shared" si="0"/>
        <v>231153.84615384616</v>
      </c>
      <c r="N12" s="1">
        <v>218</v>
      </c>
      <c r="O12" s="1" t="s">
        <v>10</v>
      </c>
    </row>
    <row r="13" spans="1:15" x14ac:dyDescent="0.25">
      <c r="C13" s="1">
        <v>218</v>
      </c>
      <c r="D13" s="1" t="s">
        <v>10</v>
      </c>
      <c r="E13">
        <v>1400000</v>
      </c>
      <c r="F13">
        <f t="shared" si="0"/>
        <v>26923.076923076922</v>
      </c>
      <c r="N13" s="1">
        <v>245</v>
      </c>
      <c r="O13" s="1" t="s">
        <v>11</v>
      </c>
    </row>
    <row r="14" spans="1:15" x14ac:dyDescent="0.25">
      <c r="C14" s="1">
        <v>245</v>
      </c>
      <c r="D14" s="1" t="s">
        <v>11</v>
      </c>
      <c r="E14">
        <v>4900000</v>
      </c>
      <c r="F14">
        <f t="shared" si="0"/>
        <v>94230.769230769234</v>
      </c>
      <c r="N14" s="1">
        <v>1065</v>
      </c>
      <c r="O14" s="1" t="s">
        <v>12</v>
      </c>
    </row>
    <row r="15" spans="1:15" x14ac:dyDescent="0.25">
      <c r="C15" s="1">
        <v>1065</v>
      </c>
      <c r="D15" s="1" t="s">
        <v>12</v>
      </c>
      <c r="E15">
        <v>1800000</v>
      </c>
      <c r="F15">
        <f t="shared" si="0"/>
        <v>34615.384615384617</v>
      </c>
      <c r="N15" s="1">
        <v>294</v>
      </c>
      <c r="O15" s="1" t="s">
        <v>13</v>
      </c>
    </row>
    <row r="16" spans="1:15" x14ac:dyDescent="0.25">
      <c r="C16" s="1">
        <v>294</v>
      </c>
      <c r="D16" s="1" t="s">
        <v>13</v>
      </c>
      <c r="E16">
        <v>1200000</v>
      </c>
      <c r="F16">
        <f t="shared" si="0"/>
        <v>23076.923076923078</v>
      </c>
      <c r="N16" s="1">
        <v>111</v>
      </c>
      <c r="O16" s="1" t="s">
        <v>14</v>
      </c>
    </row>
    <row r="17" spans="3:15" x14ac:dyDescent="0.25">
      <c r="C17" s="1">
        <v>111</v>
      </c>
      <c r="D17" s="1" t="s">
        <v>14</v>
      </c>
      <c r="E17">
        <v>717954</v>
      </c>
      <c r="F17">
        <f t="shared" si="0"/>
        <v>13806.807692307691</v>
      </c>
      <c r="N17" s="1">
        <v>1069</v>
      </c>
      <c r="O17" s="1" t="s">
        <v>15</v>
      </c>
    </row>
    <row r="18" spans="3:15" x14ac:dyDescent="0.25">
      <c r="C18" s="1">
        <v>1069</v>
      </c>
      <c r="D18" s="1" t="s">
        <v>15</v>
      </c>
      <c r="E18">
        <v>9300000</v>
      </c>
      <c r="F18">
        <f t="shared" si="0"/>
        <v>178846.15384615384</v>
      </c>
      <c r="G18" t="s">
        <v>30</v>
      </c>
      <c r="N18" s="1">
        <v>288</v>
      </c>
      <c r="O18" s="1" t="s">
        <v>16</v>
      </c>
    </row>
    <row r="19" spans="3:15" x14ac:dyDescent="0.25">
      <c r="C19" s="1">
        <v>288</v>
      </c>
      <c r="D19" s="1" t="s">
        <v>16</v>
      </c>
      <c r="E19">
        <v>228822</v>
      </c>
      <c r="F19">
        <f t="shared" si="0"/>
        <v>4400.4230769230771</v>
      </c>
      <c r="N19" s="1">
        <v>285</v>
      </c>
      <c r="O19" t="s">
        <v>31</v>
      </c>
    </row>
    <row r="20" spans="3:15" x14ac:dyDescent="0.25">
      <c r="C20" s="1">
        <v>285</v>
      </c>
      <c r="D20" s="1" t="s">
        <v>17</v>
      </c>
      <c r="E20">
        <v>1190</v>
      </c>
      <c r="F20">
        <f t="shared" si="0"/>
        <v>22.884615384615383</v>
      </c>
      <c r="N20" s="1">
        <v>297</v>
      </c>
      <c r="O20" s="1" t="s">
        <v>18</v>
      </c>
    </row>
    <row r="21" spans="3:15" x14ac:dyDescent="0.25">
      <c r="C21" s="1">
        <v>297</v>
      </c>
      <c r="D21" s="1" t="s">
        <v>18</v>
      </c>
      <c r="E21">
        <v>214866</v>
      </c>
      <c r="F21">
        <f t="shared" si="0"/>
        <v>4132.0384615384619</v>
      </c>
      <c r="N21" s="1">
        <v>61</v>
      </c>
      <c r="O21" s="1" t="s">
        <v>19</v>
      </c>
    </row>
    <row r="22" spans="3:15" x14ac:dyDescent="0.25">
      <c r="C22" s="1">
        <v>61</v>
      </c>
      <c r="D22" s="1" t="s">
        <v>19</v>
      </c>
      <c r="E22">
        <v>5125385</v>
      </c>
      <c r="F22">
        <f t="shared" si="0"/>
        <v>98565.096153846156</v>
      </c>
      <c r="N22" s="1">
        <v>462</v>
      </c>
      <c r="O22" s="1" t="s">
        <v>20</v>
      </c>
    </row>
    <row r="23" spans="3:15" x14ac:dyDescent="0.25">
      <c r="C23" s="1">
        <v>462</v>
      </c>
      <c r="D23" s="1" t="s">
        <v>20</v>
      </c>
      <c r="E23">
        <v>232314</v>
      </c>
      <c r="F23">
        <f t="shared" si="0"/>
        <v>4467.5769230769229</v>
      </c>
      <c r="G23" t="s">
        <v>32</v>
      </c>
      <c r="N23" s="1">
        <v>275</v>
      </c>
      <c r="O23" t="s">
        <v>38</v>
      </c>
    </row>
    <row r="24" spans="3:15" x14ac:dyDescent="0.25">
      <c r="C24" s="1">
        <v>275</v>
      </c>
      <c r="D24" s="1" t="s">
        <v>21</v>
      </c>
      <c r="E24">
        <v>40000</v>
      </c>
      <c r="F24">
        <f t="shared" si="0"/>
        <v>769.23076923076928</v>
      </c>
      <c r="N24" s="1">
        <v>163</v>
      </c>
      <c r="O24" s="1" t="s">
        <v>22</v>
      </c>
    </row>
    <row r="25" spans="3:15" x14ac:dyDescent="0.25">
      <c r="C25" s="1">
        <v>163</v>
      </c>
      <c r="D25" s="1" t="s">
        <v>22</v>
      </c>
      <c r="E25">
        <v>538918</v>
      </c>
      <c r="F25">
        <f t="shared" si="0"/>
        <v>10363.807692307691</v>
      </c>
      <c r="N25" s="1">
        <v>271</v>
      </c>
      <c r="O25" t="s">
        <v>34</v>
      </c>
    </row>
    <row r="26" spans="3:15" x14ac:dyDescent="0.25">
      <c r="C26" s="1">
        <v>271</v>
      </c>
      <c r="D26" s="1" t="s">
        <v>23</v>
      </c>
      <c r="E26">
        <v>66989</v>
      </c>
      <c r="F26">
        <f t="shared" si="0"/>
        <v>1288.25</v>
      </c>
      <c r="H26" t="s">
        <v>35</v>
      </c>
      <c r="N26" s="1">
        <v>272</v>
      </c>
      <c r="O26" t="s">
        <v>33</v>
      </c>
    </row>
    <row r="27" spans="3:15" x14ac:dyDescent="0.25">
      <c r="C27" s="1">
        <v>272</v>
      </c>
      <c r="D27" s="1" t="s">
        <v>24</v>
      </c>
      <c r="E27">
        <v>50000</v>
      </c>
      <c r="F27">
        <f t="shared" si="0"/>
        <v>961.53846153846155</v>
      </c>
      <c r="N27" s="1">
        <v>283</v>
      </c>
      <c r="O27" s="1" t="s">
        <v>36</v>
      </c>
    </row>
    <row r="28" spans="3:15" x14ac:dyDescent="0.25">
      <c r="C28" s="1">
        <v>283</v>
      </c>
      <c r="D28" s="1" t="s">
        <v>36</v>
      </c>
      <c r="E28" s="2">
        <f>AVERAGE(E4,E6,E7,E8,E24,E26,E27)</f>
        <v>552438.71428571432</v>
      </c>
      <c r="F28" s="2">
        <f t="shared" si="0"/>
        <v>10623.821428571429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E4E2-57CB-4B09-BC0F-CE1E3F183A2D}">
  <sheetPr filterMode="1"/>
  <dimension ref="A1:R117"/>
  <sheetViews>
    <sheetView zoomScale="80" zoomScaleNormal="80" workbookViewId="0">
      <selection activeCell="H2" sqref="H2"/>
    </sheetView>
  </sheetViews>
  <sheetFormatPr baseColWidth="10" defaultColWidth="9.140625" defaultRowHeight="12.75" x14ac:dyDescent="0.2"/>
  <cols>
    <col min="1" max="1" width="9.140625" style="5" customWidth="1"/>
    <col min="2" max="3" width="9.140625" style="13"/>
    <col min="4" max="4" width="13.7109375" style="5" customWidth="1"/>
    <col min="5" max="5" width="13.28515625" style="5" customWidth="1"/>
    <col min="6" max="6" width="43" style="5" customWidth="1"/>
    <col min="7" max="11" width="9.140625" style="5" customWidth="1"/>
    <col min="12" max="14" width="9.140625" style="5"/>
    <col min="15" max="15" width="20.7109375" style="5" bestFit="1" customWidth="1"/>
    <col min="16" max="16384" width="9.140625" style="5"/>
  </cols>
  <sheetData>
    <row r="1" spans="1:18" x14ac:dyDescent="0.2">
      <c r="A1" s="3"/>
      <c r="B1" s="4" t="s">
        <v>46</v>
      </c>
      <c r="C1" s="4" t="s">
        <v>47</v>
      </c>
      <c r="D1" s="3" t="s">
        <v>48</v>
      </c>
      <c r="E1" s="3" t="s">
        <v>49</v>
      </c>
      <c r="F1" s="5" t="s">
        <v>50</v>
      </c>
    </row>
    <row r="2" spans="1:18" ht="15" hidden="1" x14ac:dyDescent="0.25">
      <c r="A2" s="3">
        <v>1</v>
      </c>
      <c r="B2" t="s">
        <v>51</v>
      </c>
      <c r="C2">
        <v>253</v>
      </c>
      <c r="D2" s="3">
        <v>3977071</v>
      </c>
      <c r="E2" s="3">
        <v>51056031</v>
      </c>
      <c r="F2" s="7" t="s">
        <v>52</v>
      </c>
      <c r="G2" s="5">
        <f>COUNTIF('14 buques 19.5 kn 25000 charter'!$B$4:$E$83,B2)</f>
        <v>4</v>
      </c>
      <c r="J2" s="6"/>
      <c r="L2" s="6"/>
      <c r="M2" s="14"/>
      <c r="R2"/>
    </row>
    <row r="3" spans="1:18" ht="15" hidden="1" x14ac:dyDescent="0.25">
      <c r="A3" s="3">
        <v>2</v>
      </c>
      <c r="B3" t="s">
        <v>53</v>
      </c>
      <c r="C3">
        <f>C2</f>
        <v>253</v>
      </c>
      <c r="D3" s="3">
        <v>5007976</v>
      </c>
      <c r="E3" s="3">
        <v>51441127</v>
      </c>
      <c r="F3" s="7" t="s">
        <v>54</v>
      </c>
      <c r="G3" s="5">
        <f>COUNTIF('14 buques 19.5 kn 25000 charter'!$B$4:$E$83,B3)</f>
        <v>4</v>
      </c>
      <c r="J3" s="6"/>
      <c r="L3" s="6"/>
      <c r="M3" s="14"/>
      <c r="R3"/>
    </row>
    <row r="4" spans="1:18" ht="15" hidden="1" x14ac:dyDescent="0.25">
      <c r="A4" s="3">
        <v>3</v>
      </c>
      <c r="B4" t="s">
        <v>55</v>
      </c>
      <c r="C4">
        <v>235</v>
      </c>
      <c r="D4" s="3">
        <v>3123165</v>
      </c>
      <c r="E4" s="3">
        <v>51124189</v>
      </c>
      <c r="F4" s="7" t="s">
        <v>56</v>
      </c>
      <c r="G4" s="5">
        <f>COUNTIF('14 buques 19.5 kn 25000 charter'!$B$4:$E$83,B4)</f>
        <v>4</v>
      </c>
      <c r="J4" s="6"/>
      <c r="L4" s="6"/>
      <c r="M4" s="14"/>
      <c r="R4"/>
    </row>
    <row r="5" spans="1:18" ht="15" hidden="1" x14ac:dyDescent="0.25">
      <c r="A5" s="3">
        <v>4</v>
      </c>
      <c r="B5" t="s">
        <v>57</v>
      </c>
      <c r="C5">
        <v>245</v>
      </c>
      <c r="D5" s="3">
        <v>8788959</v>
      </c>
      <c r="E5" s="3">
        <v>53142071</v>
      </c>
      <c r="F5" s="7" t="s">
        <v>58</v>
      </c>
      <c r="G5" s="5">
        <f>COUNTIF('14 buques 19.5 kn 25000 charter'!$B$4:$E$83,B5)</f>
        <v>4</v>
      </c>
      <c r="J5" s="6"/>
      <c r="L5" s="6"/>
      <c r="M5" s="14"/>
      <c r="R5"/>
    </row>
    <row r="6" spans="1:18" ht="15" hidden="1" x14ac:dyDescent="0.25">
      <c r="A6" s="3">
        <v>5</v>
      </c>
      <c r="B6" t="s">
        <v>59</v>
      </c>
      <c r="C6">
        <v>1069</v>
      </c>
      <c r="D6" s="3">
        <v>9779604</v>
      </c>
      <c r="E6" s="3">
        <v>53902936</v>
      </c>
      <c r="F6" s="7" t="s">
        <v>60</v>
      </c>
      <c r="G6" s="5">
        <f>COUNTIF('14 buques 19.5 kn 25000 charter'!$B$4:$E$83,B6)</f>
        <v>4</v>
      </c>
      <c r="J6" s="6"/>
      <c r="L6" s="6"/>
      <c r="M6" s="14"/>
      <c r="R6"/>
    </row>
    <row r="7" spans="1:18" ht="15" hidden="1" x14ac:dyDescent="0.25">
      <c r="A7" s="3">
        <v>6</v>
      </c>
      <c r="B7" t="s">
        <v>61</v>
      </c>
      <c r="C7">
        <f>C6</f>
        <v>1069</v>
      </c>
      <c r="D7" s="3">
        <v>11868153</v>
      </c>
      <c r="E7" s="3">
        <v>53708458</v>
      </c>
      <c r="F7" s="7" t="s">
        <v>62</v>
      </c>
      <c r="G7" s="5">
        <f>COUNTIF('14 buques 19.5 kn 25000 charter'!$B$4:$E$83,B7)</f>
        <v>4</v>
      </c>
      <c r="J7" s="6"/>
      <c r="L7" s="6"/>
      <c r="M7" s="14"/>
      <c r="R7"/>
    </row>
    <row r="8" spans="1:18" ht="15" hidden="1" x14ac:dyDescent="0.25">
      <c r="A8" s="3">
        <v>7</v>
      </c>
      <c r="B8" t="s">
        <v>63</v>
      </c>
      <c r="C8">
        <f>C7</f>
        <v>1069</v>
      </c>
      <c r="D8" s="3">
        <v>9980268</v>
      </c>
      <c r="E8" s="3">
        <v>53485807</v>
      </c>
      <c r="F8" s="7" t="s">
        <v>64</v>
      </c>
      <c r="G8" s="5">
        <f>COUNTIF('14 buques 19.5 kn 25000 charter'!$B$4:$E$83,B8)</f>
        <v>4</v>
      </c>
      <c r="J8" s="6"/>
      <c r="L8" s="6"/>
      <c r="M8" s="14"/>
      <c r="R8"/>
    </row>
    <row r="9" spans="1:18" ht="15" hidden="1" x14ac:dyDescent="0.25">
      <c r="A9" s="3">
        <v>8</v>
      </c>
      <c r="B9" t="s">
        <v>65</v>
      </c>
      <c r="C9">
        <v>245</v>
      </c>
      <c r="D9" s="3">
        <v>7544631</v>
      </c>
      <c r="E9" s="3">
        <v>53435080</v>
      </c>
      <c r="F9" s="7" t="s">
        <v>66</v>
      </c>
      <c r="G9" s="5">
        <f>COUNTIF('14 buques 19.5 kn 25000 charter'!$B$4:$E$83,B9)</f>
        <v>4</v>
      </c>
      <c r="J9" s="6"/>
      <c r="L9" s="6"/>
      <c r="M9" s="14"/>
      <c r="R9"/>
    </row>
    <row r="10" spans="1:18" ht="15" hidden="1" x14ac:dyDescent="0.25">
      <c r="A10" s="3">
        <v>9</v>
      </c>
      <c r="B10" t="s">
        <v>67</v>
      </c>
      <c r="C10">
        <v>253</v>
      </c>
      <c r="D10" s="3">
        <v>7627532</v>
      </c>
      <c r="E10" s="3">
        <v>52350409</v>
      </c>
      <c r="F10" s="7" t="s">
        <v>68</v>
      </c>
      <c r="G10" s="5">
        <f>COUNTIF('14 buques 19.5 kn 25000 charter'!$B$4:$E$83,B10)</f>
        <v>4</v>
      </c>
      <c r="J10" s="6"/>
      <c r="L10" s="6"/>
      <c r="M10" s="14"/>
      <c r="R10"/>
    </row>
    <row r="11" spans="1:18" ht="15" hidden="1" x14ac:dyDescent="0.25">
      <c r="A11" s="3">
        <v>10</v>
      </c>
      <c r="B11" t="s">
        <v>69</v>
      </c>
      <c r="C11">
        <v>1069</v>
      </c>
      <c r="D11" s="3">
        <v>9450896</v>
      </c>
      <c r="E11" s="3">
        <v>54765741</v>
      </c>
      <c r="F11" s="7" t="s">
        <v>70</v>
      </c>
      <c r="G11" s="5">
        <f>COUNTIF('14 buques 19.5 kn 25000 charter'!$B$4:$E$83,B11)</f>
        <v>4</v>
      </c>
      <c r="J11" s="6"/>
      <c r="L11" s="6"/>
      <c r="M11" s="14"/>
      <c r="R11"/>
    </row>
    <row r="12" spans="1:18" ht="15" x14ac:dyDescent="0.25">
      <c r="A12" s="3">
        <v>11</v>
      </c>
      <c r="B12" t="s">
        <v>71</v>
      </c>
      <c r="C12">
        <v>288</v>
      </c>
      <c r="D12" s="3">
        <v>-8049491</v>
      </c>
      <c r="E12" s="3">
        <v>43014444</v>
      </c>
      <c r="F12" s="7" t="s">
        <v>72</v>
      </c>
      <c r="G12" s="5">
        <f>COUNTIF('14 buques 19.5 kn 25000 charter'!$B$4:$E$83,B12)</f>
        <v>4</v>
      </c>
      <c r="J12" s="6"/>
      <c r="L12" s="6"/>
      <c r="M12" s="14"/>
      <c r="R12"/>
    </row>
    <row r="13" spans="1:18" ht="15" x14ac:dyDescent="0.25">
      <c r="A13" s="3">
        <v>12</v>
      </c>
      <c r="B13" t="s">
        <v>73</v>
      </c>
      <c r="C13">
        <v>285</v>
      </c>
      <c r="D13" s="3">
        <v>-5874719</v>
      </c>
      <c r="E13" s="3">
        <v>43424336</v>
      </c>
      <c r="F13" s="7" t="s">
        <v>74</v>
      </c>
      <c r="G13" s="5">
        <f>COUNTIF('14 buques 19.5 kn 25000 charter'!$B$4:$E$83,B13)</f>
        <v>4</v>
      </c>
      <c r="J13" s="6"/>
      <c r="L13" s="6"/>
      <c r="M13" s="14"/>
      <c r="R13"/>
    </row>
    <row r="14" spans="1:18" ht="15" x14ac:dyDescent="0.25">
      <c r="A14" s="3">
        <v>13</v>
      </c>
      <c r="B14" t="s">
        <v>75</v>
      </c>
      <c r="C14">
        <v>163</v>
      </c>
      <c r="D14" s="3">
        <v>-4131409</v>
      </c>
      <c r="E14" s="3">
        <v>43277646</v>
      </c>
      <c r="F14" s="7" t="s">
        <v>76</v>
      </c>
      <c r="G14" s="5">
        <f>COUNTIF('14 buques 19.5 kn 25000 charter'!$B$4:$E$83,B14)</f>
        <v>4</v>
      </c>
      <c r="J14" s="6"/>
      <c r="L14" s="6"/>
      <c r="M14" s="14"/>
      <c r="R14"/>
    </row>
    <row r="15" spans="1:18" ht="15" x14ac:dyDescent="0.25">
      <c r="A15" s="3">
        <v>14</v>
      </c>
      <c r="B15" t="s">
        <v>77</v>
      </c>
      <c r="C15">
        <v>163</v>
      </c>
      <c r="D15" s="3">
        <v>-2670293</v>
      </c>
      <c r="E15" s="3">
        <v>43315678</v>
      </c>
      <c r="F15" s="7" t="s">
        <v>78</v>
      </c>
      <c r="G15" s="5">
        <f>COUNTIF('14 buques 19.5 kn 25000 charter'!$B$4:$E$83,B15)</f>
        <v>4</v>
      </c>
      <c r="J15" s="6"/>
      <c r="L15" s="6"/>
      <c r="M15" s="14"/>
      <c r="R15"/>
    </row>
    <row r="16" spans="1:18" ht="15" x14ac:dyDescent="0.25">
      <c r="A16" s="3">
        <v>15</v>
      </c>
      <c r="B16" t="s">
        <v>79</v>
      </c>
      <c r="C16">
        <v>1063</v>
      </c>
      <c r="D16" s="3">
        <v>1311517</v>
      </c>
      <c r="E16" s="3">
        <v>42073992</v>
      </c>
      <c r="F16" s="7" t="s">
        <v>80</v>
      </c>
      <c r="G16" s="5">
        <f>COUNTIF('14 buques 19.5 kn 25000 charter'!$B$4:$E$83,B16)</f>
        <v>4</v>
      </c>
      <c r="J16" s="6"/>
      <c r="L16" s="6"/>
      <c r="M16" s="14"/>
      <c r="R16"/>
    </row>
    <row r="17" spans="1:18" ht="15" x14ac:dyDescent="0.25">
      <c r="A17" s="3">
        <v>16</v>
      </c>
      <c r="B17" t="s">
        <v>81</v>
      </c>
      <c r="C17">
        <v>1064</v>
      </c>
      <c r="D17" s="3">
        <v>-726743</v>
      </c>
      <c r="E17" s="3">
        <v>40696321</v>
      </c>
      <c r="F17" s="7" t="s">
        <v>82</v>
      </c>
      <c r="G17" s="5">
        <f>COUNTIF('14 buques 19.5 kn 25000 charter'!$B$4:$E$83,B17)</f>
        <v>4</v>
      </c>
      <c r="J17" s="6"/>
      <c r="L17" s="6"/>
      <c r="M17" s="14"/>
      <c r="R17"/>
    </row>
    <row r="18" spans="1:18" ht="15" x14ac:dyDescent="0.25">
      <c r="A18" s="3">
        <v>17</v>
      </c>
      <c r="B18" t="s">
        <v>83</v>
      </c>
      <c r="C18">
        <v>61</v>
      </c>
      <c r="D18" s="3">
        <v>-4560438</v>
      </c>
      <c r="E18" s="3">
        <v>37900386</v>
      </c>
      <c r="F18" s="7" t="s">
        <v>84</v>
      </c>
      <c r="G18" s="5">
        <f>COUNTIF('14 buques 19.5 kn 25000 charter'!$B$4:$E$83,B18)</f>
        <v>4</v>
      </c>
      <c r="J18" s="6"/>
      <c r="L18" s="6"/>
      <c r="M18" s="14"/>
      <c r="R18"/>
    </row>
    <row r="19" spans="1:18" ht="15" x14ac:dyDescent="0.25">
      <c r="A19" s="3">
        <v>18</v>
      </c>
      <c r="B19" t="s">
        <v>85</v>
      </c>
      <c r="C19">
        <v>1064</v>
      </c>
      <c r="D19" s="3">
        <v>-1567875</v>
      </c>
      <c r="E19" s="3">
        <v>38202995</v>
      </c>
      <c r="F19" s="7" t="s">
        <v>86</v>
      </c>
      <c r="G19" s="5">
        <f>COUNTIF('14 buques 19.5 kn 25000 charter'!$B$4:$E$83,B19)</f>
        <v>4</v>
      </c>
      <c r="J19" s="6"/>
      <c r="L19" s="6"/>
      <c r="M19" s="14"/>
      <c r="R19"/>
    </row>
    <row r="20" spans="1:18" ht="15" x14ac:dyDescent="0.25">
      <c r="A20" s="3">
        <v>19</v>
      </c>
      <c r="B20" s="8" t="s">
        <v>87</v>
      </c>
      <c r="C20">
        <v>268</v>
      </c>
      <c r="D20" s="3">
        <v>571508</v>
      </c>
      <c r="E20" s="3">
        <v>48757721</v>
      </c>
      <c r="F20" s="9" t="s">
        <v>88</v>
      </c>
      <c r="G20" s="5">
        <f>COUNTIF('14 buques 19.5 kn 25000 charter'!$B$4:$E$83,B20)</f>
        <v>4</v>
      </c>
      <c r="J20" s="6"/>
      <c r="L20" s="6"/>
      <c r="M20" s="14"/>
      <c r="R20"/>
    </row>
    <row r="21" spans="1:18" ht="15" x14ac:dyDescent="0.25">
      <c r="A21" s="3">
        <v>20</v>
      </c>
      <c r="B21" s="8" t="s">
        <v>89</v>
      </c>
      <c r="C21" s="10">
        <v>269</v>
      </c>
      <c r="D21" s="3">
        <v>1111617</v>
      </c>
      <c r="E21" s="3">
        <v>49896542</v>
      </c>
      <c r="F21" s="9" t="s">
        <v>90</v>
      </c>
      <c r="G21" s="5">
        <f>COUNTIF('14 buques 19.5 kn 25000 charter'!$B$4:$E$83,B21)</f>
        <v>4</v>
      </c>
      <c r="J21" s="6"/>
      <c r="L21" s="6"/>
      <c r="M21" s="14"/>
      <c r="P21" s="10"/>
      <c r="R21"/>
    </row>
    <row r="22" spans="1:18" ht="15" x14ac:dyDescent="0.25">
      <c r="A22" s="3">
        <v>21</v>
      </c>
      <c r="B22" s="8" t="s">
        <v>91</v>
      </c>
      <c r="C22" s="10">
        <v>220</v>
      </c>
      <c r="D22" s="3">
        <v>2240088</v>
      </c>
      <c r="E22" s="3">
        <v>50691170</v>
      </c>
      <c r="F22" s="7" t="s">
        <v>92</v>
      </c>
      <c r="G22" s="5">
        <f>COUNTIF('14 buques 19.5 kn 25000 charter'!$B$4:$E$83,B22)</f>
        <v>4</v>
      </c>
      <c r="J22" s="6"/>
      <c r="L22" s="6"/>
      <c r="M22" s="14"/>
      <c r="P22" s="10"/>
      <c r="R22"/>
    </row>
    <row r="23" spans="1:18" ht="15" x14ac:dyDescent="0.25">
      <c r="A23" s="3">
        <v>22</v>
      </c>
      <c r="B23" s="8" t="s">
        <v>93</v>
      </c>
      <c r="C23" s="10">
        <v>282</v>
      </c>
      <c r="D23" s="3">
        <v>-295848</v>
      </c>
      <c r="E23" s="3">
        <v>47531443</v>
      </c>
      <c r="F23" s="7" t="s">
        <v>94</v>
      </c>
      <c r="G23" s="5">
        <f>COUNTIF('14 buques 19.5 kn 25000 charter'!$B$4:$E$83,B23)</f>
        <v>4</v>
      </c>
      <c r="J23" s="6"/>
      <c r="L23" s="6"/>
      <c r="M23" s="14"/>
      <c r="R23"/>
    </row>
    <row r="24" spans="1:18" ht="15" x14ac:dyDescent="0.25">
      <c r="A24" s="3">
        <v>23</v>
      </c>
      <c r="B24" s="8" t="s">
        <v>95</v>
      </c>
      <c r="C24" s="10">
        <v>283</v>
      </c>
      <c r="D24" s="3">
        <v>-1843648</v>
      </c>
      <c r="E24" s="3">
        <v>48212407</v>
      </c>
      <c r="F24" s="7" t="s">
        <v>96</v>
      </c>
      <c r="G24" s="5">
        <f>COUNTIF('14 buques 19.5 kn 25000 charter'!$B$4:$E$83,B24)</f>
        <v>4</v>
      </c>
      <c r="J24" s="6"/>
      <c r="L24" s="6"/>
      <c r="M24" s="14"/>
      <c r="R24"/>
    </row>
    <row r="25" spans="1:18" ht="15" x14ac:dyDescent="0.25">
      <c r="A25" s="3">
        <v>24</v>
      </c>
      <c r="B25" s="8" t="s">
        <v>97</v>
      </c>
      <c r="C25">
        <f>C24</f>
        <v>283</v>
      </c>
      <c r="D25" s="3">
        <v>-725136</v>
      </c>
      <c r="E25" s="3">
        <v>44252240</v>
      </c>
      <c r="F25" s="7" t="s">
        <v>98</v>
      </c>
      <c r="G25" s="5">
        <f>COUNTIF('14 buques 19.5 kn 25000 charter'!$B$4:$E$83,B25)</f>
        <v>4</v>
      </c>
      <c r="J25" s="6"/>
      <c r="L25" s="6"/>
      <c r="M25" s="14"/>
      <c r="R25"/>
    </row>
    <row r="26" spans="1:18" ht="15" x14ac:dyDescent="0.25">
      <c r="A26" s="3">
        <v>25</v>
      </c>
      <c r="B26" s="8" t="s">
        <v>99</v>
      </c>
      <c r="C26">
        <f>C25</f>
        <v>283</v>
      </c>
      <c r="D26" s="3">
        <v>1299447</v>
      </c>
      <c r="E26" s="3">
        <v>46122303</v>
      </c>
      <c r="F26" s="7" t="s">
        <v>100</v>
      </c>
      <c r="G26" s="5">
        <f>COUNTIF('14 buques 19.5 kn 25000 charter'!$B$4:$E$83,B26)</f>
        <v>4</v>
      </c>
      <c r="J26" s="6"/>
      <c r="L26" s="6"/>
      <c r="M26" s="14"/>
      <c r="R26"/>
    </row>
    <row r="27" spans="1:18" ht="15" x14ac:dyDescent="0.25">
      <c r="A27" s="3">
        <v>26</v>
      </c>
      <c r="B27" s="8" t="s">
        <v>101</v>
      </c>
      <c r="C27" s="10">
        <v>1063</v>
      </c>
      <c r="D27" s="3">
        <v>2545157</v>
      </c>
      <c r="E27" s="3">
        <v>43217336</v>
      </c>
      <c r="F27" s="7" t="s">
        <v>102</v>
      </c>
      <c r="G27" s="5">
        <f>COUNTIF('14 buques 19.5 kn 25000 charter'!$B$4:$E$83,B27)</f>
        <v>4</v>
      </c>
      <c r="J27" s="6"/>
      <c r="L27" s="6"/>
      <c r="M27" s="14"/>
    </row>
    <row r="28" spans="1:18" ht="15" x14ac:dyDescent="0.25">
      <c r="A28" s="3">
        <v>27</v>
      </c>
      <c r="B28" s="8" t="s">
        <v>103</v>
      </c>
      <c r="C28" s="10">
        <v>269</v>
      </c>
      <c r="D28" s="3">
        <v>2528531</v>
      </c>
      <c r="E28" s="3">
        <v>47410961</v>
      </c>
      <c r="F28" s="7" t="s">
        <v>104</v>
      </c>
      <c r="G28" s="5">
        <f>COUNTIF('14 buques 19.5 kn 25000 charter'!$B$4:$E$83,B28)</f>
        <v>4</v>
      </c>
      <c r="J28" s="6"/>
      <c r="L28" s="6"/>
      <c r="M28" s="14"/>
    </row>
    <row r="29" spans="1:18" ht="15" x14ac:dyDescent="0.25">
      <c r="A29" s="3">
        <v>28</v>
      </c>
      <c r="B29" s="8" t="s">
        <v>105</v>
      </c>
      <c r="C29" s="11">
        <v>283</v>
      </c>
      <c r="D29" s="3">
        <v>-621061</v>
      </c>
      <c r="E29" s="3">
        <v>46056221</v>
      </c>
      <c r="F29" s="7" t="s">
        <v>106</v>
      </c>
      <c r="G29" s="5">
        <f>COUNTIF('14 buques 19.5 kn 25000 charter'!$B$4:$E$83,B29)</f>
        <v>4</v>
      </c>
      <c r="J29" s="6"/>
      <c r="L29" s="6"/>
      <c r="M29" s="14"/>
    </row>
    <row r="30" spans="1:18" ht="15" x14ac:dyDescent="0.25">
      <c r="A30" s="3">
        <v>29</v>
      </c>
      <c r="B30" s="8" t="s">
        <v>107</v>
      </c>
      <c r="C30" s="11">
        <v>269</v>
      </c>
      <c r="D30" s="3">
        <v>1257854</v>
      </c>
      <c r="E30" s="3">
        <v>44267792</v>
      </c>
      <c r="F30" s="7" t="s">
        <v>108</v>
      </c>
      <c r="G30" s="5">
        <f>COUNTIF('14 buques 19.5 kn 25000 charter'!$B$4:$E$83,B30)</f>
        <v>4</v>
      </c>
      <c r="J30" s="6"/>
      <c r="L30" s="6"/>
      <c r="M30" s="14"/>
    </row>
    <row r="31" spans="1:18" ht="15" hidden="1" x14ac:dyDescent="0.25">
      <c r="A31" s="3">
        <v>30</v>
      </c>
      <c r="B31" t="s">
        <v>109</v>
      </c>
      <c r="C31">
        <v>245</v>
      </c>
      <c r="D31" s="3">
        <v>6461970</v>
      </c>
      <c r="E31" s="3">
        <v>53511817</v>
      </c>
      <c r="F31" s="7" t="s">
        <v>110</v>
      </c>
      <c r="G31" s="5">
        <f>COUNTIF('14 buques 19.5 kn 25000 charter'!$B$4:$E$83,B31)</f>
        <v>4</v>
      </c>
      <c r="J31" s="6"/>
      <c r="L31" s="6"/>
      <c r="M31" s="14"/>
    </row>
    <row r="32" spans="1:18" ht="15" hidden="1" x14ac:dyDescent="0.25">
      <c r="A32" s="3">
        <v>31</v>
      </c>
      <c r="B32" t="s">
        <v>111</v>
      </c>
      <c r="C32" s="12">
        <v>218</v>
      </c>
      <c r="D32" s="3">
        <v>6145767</v>
      </c>
      <c r="E32" s="3">
        <v>53131117</v>
      </c>
      <c r="F32" s="7" t="s">
        <v>112</v>
      </c>
      <c r="G32" s="5">
        <f>COUNTIF('14 buques 19.5 kn 25000 charter'!$B$4:$E$83,B32)</f>
        <v>4</v>
      </c>
      <c r="J32" s="6"/>
      <c r="L32" s="6"/>
      <c r="M32" s="14"/>
    </row>
    <row r="33" spans="1:13" ht="15" hidden="1" x14ac:dyDescent="0.25">
      <c r="A33" s="3">
        <v>32</v>
      </c>
      <c r="B33" t="s">
        <v>113</v>
      </c>
      <c r="C33">
        <v>218</v>
      </c>
      <c r="D33" s="3">
        <v>5958752</v>
      </c>
      <c r="E33" s="3">
        <v>52449552</v>
      </c>
      <c r="F33" s="7" t="s">
        <v>114</v>
      </c>
      <c r="G33" s="5">
        <f>COUNTIF('14 buques 19.5 kn 25000 charter'!$B$4:$E$83,B33)</f>
        <v>4</v>
      </c>
      <c r="J33" s="6"/>
      <c r="L33" s="6"/>
      <c r="M33" s="14"/>
    </row>
    <row r="34" spans="1:13" ht="15" hidden="1" x14ac:dyDescent="0.25">
      <c r="A34" s="3">
        <v>33</v>
      </c>
      <c r="B34" t="s">
        <v>115</v>
      </c>
      <c r="C34">
        <v>250</v>
      </c>
      <c r="D34" s="3">
        <v>4308773</v>
      </c>
      <c r="E34" s="3">
        <v>52031749</v>
      </c>
      <c r="F34" s="7" t="s">
        <v>116</v>
      </c>
      <c r="G34" s="5">
        <f>COUNTIF('14 buques 19.5 kn 25000 charter'!$B$4:$E$83,B34)</f>
        <v>4</v>
      </c>
      <c r="J34" s="6"/>
      <c r="L34" s="6"/>
      <c r="M34" s="14"/>
    </row>
    <row r="35" spans="1:13" ht="15" hidden="1" x14ac:dyDescent="0.25">
      <c r="A35" s="3">
        <v>34</v>
      </c>
      <c r="B35" t="s">
        <v>117</v>
      </c>
      <c r="C35">
        <f>C34</f>
        <v>250</v>
      </c>
      <c r="D35" s="3">
        <v>3806523</v>
      </c>
      <c r="E35" s="3">
        <v>51688411</v>
      </c>
      <c r="F35" s="7" t="s">
        <v>118</v>
      </c>
      <c r="G35" s="5">
        <f>COUNTIF('14 buques 19.5 kn 25000 charter'!$B$4:$E$83,B35)</f>
        <v>4</v>
      </c>
      <c r="J35" s="6"/>
      <c r="L35" s="6"/>
      <c r="M35" s="14"/>
    </row>
    <row r="36" spans="1:13" ht="15" hidden="1" x14ac:dyDescent="0.25">
      <c r="A36" s="3">
        <v>35</v>
      </c>
      <c r="B36" t="s">
        <v>119</v>
      </c>
      <c r="C36">
        <v>253</v>
      </c>
      <c r="D36" s="3">
        <v>5365344</v>
      </c>
      <c r="E36" s="3">
        <v>51858701</v>
      </c>
      <c r="F36" s="7" t="s">
        <v>120</v>
      </c>
      <c r="G36" s="5">
        <f>COUNTIF('14 buques 19.5 kn 25000 charter'!$B$4:$E$83,B36)</f>
        <v>4</v>
      </c>
      <c r="J36" s="6"/>
      <c r="L36" s="6"/>
      <c r="M36" s="14"/>
    </row>
    <row r="37" spans="1:13" ht="15" hidden="1" x14ac:dyDescent="0.25">
      <c r="A37" s="3">
        <v>36</v>
      </c>
      <c r="B37" t="s">
        <v>121</v>
      </c>
      <c r="C37">
        <v>111</v>
      </c>
      <c r="D37" s="3">
        <v>-7903712</v>
      </c>
      <c r="E37" s="3">
        <v>41645164</v>
      </c>
      <c r="F37" s="7" t="s">
        <v>122</v>
      </c>
      <c r="G37" s="5">
        <f>COUNTIF('14 buques 19.5 kn 25000 charter'!$B$4:$E$83,B37)</f>
        <v>4</v>
      </c>
      <c r="J37" s="6"/>
      <c r="L37" s="6"/>
      <c r="M37" s="14"/>
    </row>
    <row r="38" spans="1:13" ht="15" hidden="1" x14ac:dyDescent="0.25">
      <c r="A38" s="3">
        <v>37</v>
      </c>
      <c r="B38" t="s">
        <v>123</v>
      </c>
      <c r="C38">
        <v>1065</v>
      </c>
      <c r="D38" s="3">
        <v>-8060565</v>
      </c>
      <c r="E38" s="3">
        <v>37432045</v>
      </c>
      <c r="F38" s="7" t="s">
        <v>124</v>
      </c>
      <c r="G38" s="5">
        <f>COUNTIF('14 buques 19.5 kn 25000 charter'!$B$4:$E$83,B38)</f>
        <v>4</v>
      </c>
      <c r="J38" s="6"/>
      <c r="L38" s="6"/>
      <c r="M38" s="14"/>
    </row>
    <row r="39" spans="1:13" ht="15" hidden="1" x14ac:dyDescent="0.25">
      <c r="A39" s="3">
        <v>38</v>
      </c>
      <c r="B39" t="s">
        <v>125</v>
      </c>
      <c r="C39">
        <v>111</v>
      </c>
      <c r="D39" s="3">
        <v>-7621893</v>
      </c>
      <c r="E39" s="3">
        <v>40004387</v>
      </c>
      <c r="F39" s="7" t="s">
        <v>126</v>
      </c>
      <c r="G39" s="5">
        <f>COUNTIF('14 buques 19.5 kn 25000 charter'!$B$4:$E$83,B39)</f>
        <v>4</v>
      </c>
      <c r="J39" s="6"/>
      <c r="L39" s="6"/>
      <c r="M39" s="14"/>
    </row>
    <row r="40" spans="1:13" ht="15" hidden="1" x14ac:dyDescent="0.25">
      <c r="A40" s="3">
        <v>39</v>
      </c>
      <c r="B40" t="s">
        <v>127</v>
      </c>
      <c r="C40">
        <v>294</v>
      </c>
      <c r="D40" s="3">
        <v>-8731857</v>
      </c>
      <c r="E40" s="3">
        <v>38823270</v>
      </c>
      <c r="F40" s="7" t="s">
        <v>128</v>
      </c>
      <c r="G40" s="5">
        <f>COUNTIF('14 buques 19.5 kn 25000 charter'!$B$4:$E$83,B40)</f>
        <v>4</v>
      </c>
      <c r="J40" s="6"/>
      <c r="L40" s="6"/>
      <c r="M40" s="14"/>
    </row>
    <row r="41" spans="1:13" ht="15" hidden="1" x14ac:dyDescent="0.25">
      <c r="A41" s="3">
        <v>40</v>
      </c>
      <c r="B41" t="s">
        <v>129</v>
      </c>
      <c r="C41">
        <v>1065</v>
      </c>
      <c r="D41" s="3">
        <v>-7322763</v>
      </c>
      <c r="E41" s="3">
        <v>40723574</v>
      </c>
      <c r="F41" s="7" t="s">
        <v>130</v>
      </c>
      <c r="G41" s="5">
        <f>COUNTIF('14 buques 19.5 kn 25000 charter'!$B$4:$E$83,B41)</f>
        <v>4</v>
      </c>
      <c r="J41" s="6"/>
      <c r="L41" s="6"/>
      <c r="M41" s="14"/>
    </row>
    <row r="42" spans="1:13" ht="15" hidden="1" x14ac:dyDescent="0.25">
      <c r="A42" s="3">
        <v>41</v>
      </c>
      <c r="B42" t="s">
        <v>51</v>
      </c>
      <c r="C42">
        <v>250</v>
      </c>
      <c r="D42" s="3">
        <v>3977071</v>
      </c>
      <c r="E42" s="3">
        <v>51056031</v>
      </c>
      <c r="G42" s="5">
        <f>COUNTIF('14 buques 19.5 kn 25000 charter'!$B$4:$E$83,B42)</f>
        <v>4</v>
      </c>
      <c r="J42" s="6"/>
      <c r="L42" s="6"/>
      <c r="M42" s="14"/>
    </row>
    <row r="43" spans="1:13" ht="15" hidden="1" x14ac:dyDescent="0.25">
      <c r="A43" s="3">
        <v>42</v>
      </c>
      <c r="B43" t="s">
        <v>53</v>
      </c>
      <c r="C43">
        <v>220</v>
      </c>
      <c r="D43" s="3">
        <v>5007976</v>
      </c>
      <c r="E43" s="3">
        <v>51441127</v>
      </c>
      <c r="G43" s="5">
        <f>COUNTIF('14 buques 19.5 kn 25000 charter'!$B$4:$E$83,B43)</f>
        <v>4</v>
      </c>
      <c r="J43" s="6"/>
      <c r="L43" s="6"/>
      <c r="M43" s="14"/>
    </row>
    <row r="44" spans="1:13" ht="15" hidden="1" x14ac:dyDescent="0.25">
      <c r="A44" s="3">
        <v>43</v>
      </c>
      <c r="B44" t="s">
        <v>55</v>
      </c>
      <c r="C44">
        <v>220</v>
      </c>
      <c r="D44" s="3">
        <v>3123165</v>
      </c>
      <c r="E44" s="3">
        <v>51124189</v>
      </c>
      <c r="G44" s="5">
        <f>COUNTIF('14 buques 19.5 kn 25000 charter'!$B$4:$E$83,B44)</f>
        <v>4</v>
      </c>
      <c r="J44" s="6"/>
      <c r="L44" s="6"/>
      <c r="M44" s="14"/>
    </row>
    <row r="45" spans="1:13" ht="15" hidden="1" x14ac:dyDescent="0.25">
      <c r="A45" s="3">
        <v>44</v>
      </c>
      <c r="B45" t="s">
        <v>57</v>
      </c>
      <c r="C45">
        <v>1069</v>
      </c>
      <c r="D45" s="3">
        <v>8788959</v>
      </c>
      <c r="E45" s="3">
        <v>53142071</v>
      </c>
      <c r="G45" s="5">
        <f>COUNTIF('14 buques 19.5 kn 25000 charter'!$B$4:$E$83,B45)</f>
        <v>4</v>
      </c>
      <c r="J45" s="6"/>
      <c r="L45" s="6"/>
      <c r="M45" s="14"/>
    </row>
    <row r="46" spans="1:13" ht="15" hidden="1" x14ac:dyDescent="0.25">
      <c r="A46" s="3">
        <v>45</v>
      </c>
      <c r="B46" t="s">
        <v>59</v>
      </c>
      <c r="C46">
        <v>245</v>
      </c>
      <c r="D46" s="3">
        <v>9779604</v>
      </c>
      <c r="E46" s="3">
        <v>53902936</v>
      </c>
      <c r="G46" s="5">
        <f>COUNTIF('14 buques 19.5 kn 25000 charter'!$B$4:$E$83,B46)</f>
        <v>4</v>
      </c>
      <c r="J46" s="6"/>
      <c r="L46" s="6"/>
      <c r="M46" s="14"/>
    </row>
    <row r="47" spans="1:13" ht="15" hidden="1" x14ac:dyDescent="0.25">
      <c r="A47" s="3">
        <v>46</v>
      </c>
      <c r="B47" t="s">
        <v>61</v>
      </c>
      <c r="C47">
        <v>245</v>
      </c>
      <c r="D47" s="3">
        <v>11868153</v>
      </c>
      <c r="E47" s="3">
        <v>53708458</v>
      </c>
      <c r="G47" s="5">
        <f>COUNTIF('14 buques 19.5 kn 25000 charter'!$B$4:$E$83,B47)</f>
        <v>4</v>
      </c>
      <c r="J47" s="6"/>
      <c r="L47" s="6"/>
      <c r="M47" s="14"/>
    </row>
    <row r="48" spans="1:13" ht="15" hidden="1" x14ac:dyDescent="0.25">
      <c r="A48" s="3">
        <v>47</v>
      </c>
      <c r="B48" t="s">
        <v>63</v>
      </c>
      <c r="C48">
        <v>245</v>
      </c>
      <c r="D48" s="3">
        <v>9980268</v>
      </c>
      <c r="E48" s="3">
        <v>53485807</v>
      </c>
      <c r="G48" s="5">
        <f>COUNTIF('14 buques 19.5 kn 25000 charter'!$B$4:$E$83,B48)</f>
        <v>4</v>
      </c>
      <c r="J48" s="6"/>
      <c r="L48" s="6"/>
      <c r="M48" s="14"/>
    </row>
    <row r="49" spans="1:13" ht="15" hidden="1" x14ac:dyDescent="0.25">
      <c r="A49" s="3">
        <v>48</v>
      </c>
      <c r="B49" t="s">
        <v>65</v>
      </c>
      <c r="C49">
        <v>1069</v>
      </c>
      <c r="D49" s="3">
        <v>7544631</v>
      </c>
      <c r="E49" s="3">
        <v>53435080</v>
      </c>
      <c r="G49" s="5">
        <f>COUNTIF('14 buques 19.5 kn 25000 charter'!$B$4:$E$83,B49)</f>
        <v>4</v>
      </c>
      <c r="J49" s="6"/>
      <c r="L49" s="6"/>
      <c r="M49" s="14"/>
    </row>
    <row r="50" spans="1:13" ht="15" hidden="1" x14ac:dyDescent="0.25">
      <c r="A50" s="3">
        <v>49</v>
      </c>
      <c r="B50" t="s">
        <v>67</v>
      </c>
      <c r="C50">
        <v>245</v>
      </c>
      <c r="D50" s="3">
        <v>7627532</v>
      </c>
      <c r="E50" s="3">
        <v>52350409</v>
      </c>
      <c r="G50" s="5">
        <f>COUNTIF('14 buques 19.5 kn 25000 charter'!$B$4:$E$83,B50)</f>
        <v>4</v>
      </c>
      <c r="J50" s="6"/>
      <c r="L50" s="6"/>
      <c r="M50" s="14"/>
    </row>
    <row r="51" spans="1:13" ht="15" hidden="1" x14ac:dyDescent="0.25">
      <c r="A51" s="3">
        <v>50</v>
      </c>
      <c r="B51" t="s">
        <v>69</v>
      </c>
      <c r="C51">
        <v>245</v>
      </c>
      <c r="D51" s="3">
        <v>9450896</v>
      </c>
      <c r="E51" s="3">
        <v>54765741</v>
      </c>
      <c r="G51" s="5">
        <f>COUNTIF('14 buques 19.5 kn 25000 charter'!$B$4:$E$83,B51)</f>
        <v>4</v>
      </c>
      <c r="J51" s="6"/>
      <c r="L51" s="6"/>
      <c r="M51" s="14"/>
    </row>
    <row r="52" spans="1:13" ht="15" x14ac:dyDescent="0.25">
      <c r="A52" s="3">
        <v>51</v>
      </c>
      <c r="B52" t="s">
        <v>71</v>
      </c>
      <c r="C52">
        <v>285</v>
      </c>
      <c r="D52" s="3">
        <v>-8049491</v>
      </c>
      <c r="E52" s="3">
        <v>43014444</v>
      </c>
      <c r="G52" s="5">
        <f>COUNTIF('14 buques 19.5 kn 25000 charter'!$B$4:$E$83,B52)</f>
        <v>4</v>
      </c>
      <c r="J52" s="6"/>
      <c r="L52" s="6"/>
      <c r="M52" s="14"/>
    </row>
    <row r="53" spans="1:13" ht="15" x14ac:dyDescent="0.25">
      <c r="A53" s="3">
        <v>52</v>
      </c>
      <c r="B53" t="s">
        <v>73</v>
      </c>
      <c r="C53">
        <v>163</v>
      </c>
      <c r="D53" s="3">
        <v>-5874719</v>
      </c>
      <c r="E53" s="3">
        <v>43424336</v>
      </c>
      <c r="G53" s="5">
        <f>COUNTIF('14 buques 19.5 kn 25000 charter'!$B$4:$E$83,B53)</f>
        <v>4</v>
      </c>
      <c r="J53" s="6"/>
      <c r="L53" s="6"/>
      <c r="M53" s="14"/>
    </row>
    <row r="54" spans="1:13" ht="15" x14ac:dyDescent="0.25">
      <c r="A54" s="3">
        <v>53</v>
      </c>
      <c r="B54" t="s">
        <v>75</v>
      </c>
      <c r="C54">
        <v>285</v>
      </c>
      <c r="D54" s="3">
        <v>-4131409</v>
      </c>
      <c r="E54" s="3">
        <v>43277646</v>
      </c>
      <c r="G54" s="5">
        <f>COUNTIF('14 buques 19.5 kn 25000 charter'!$B$4:$E$83,B54)</f>
        <v>4</v>
      </c>
      <c r="J54" s="6"/>
      <c r="L54" s="6"/>
      <c r="M54" s="14"/>
    </row>
    <row r="55" spans="1:13" ht="15" x14ac:dyDescent="0.25">
      <c r="A55" s="3">
        <v>54</v>
      </c>
      <c r="B55" t="s">
        <v>77</v>
      </c>
      <c r="C55">
        <v>1063</v>
      </c>
      <c r="D55" s="3">
        <v>-2670293</v>
      </c>
      <c r="E55" s="3">
        <v>43315678</v>
      </c>
      <c r="G55" s="5">
        <f>COUNTIF('14 buques 19.5 kn 25000 charter'!$B$4:$E$83,B55)</f>
        <v>4</v>
      </c>
      <c r="J55" s="6"/>
      <c r="L55" s="6"/>
      <c r="M55" s="14"/>
    </row>
    <row r="56" spans="1:13" ht="15" x14ac:dyDescent="0.25">
      <c r="A56" s="3">
        <v>55</v>
      </c>
      <c r="B56" t="s">
        <v>79</v>
      </c>
      <c r="C56">
        <v>1064</v>
      </c>
      <c r="D56" s="3">
        <v>1311517</v>
      </c>
      <c r="E56" s="3">
        <v>42073992</v>
      </c>
      <c r="G56" s="5">
        <f>COUNTIF('14 buques 19.5 kn 25000 charter'!$B$4:$E$83,B56)</f>
        <v>4</v>
      </c>
      <c r="J56" s="6"/>
      <c r="L56" s="6"/>
      <c r="M56" s="14"/>
    </row>
    <row r="57" spans="1:13" ht="15" x14ac:dyDescent="0.25">
      <c r="A57" s="3">
        <v>56</v>
      </c>
      <c r="B57" t="s">
        <v>81</v>
      </c>
      <c r="C57">
        <v>1063</v>
      </c>
      <c r="D57" s="3">
        <v>-726743</v>
      </c>
      <c r="E57" s="3">
        <v>40696321</v>
      </c>
      <c r="G57" s="5">
        <f>COUNTIF('14 buques 19.5 kn 25000 charter'!$B$4:$E$83,B57)</f>
        <v>4</v>
      </c>
      <c r="J57" s="6"/>
      <c r="L57" s="6"/>
      <c r="M57" s="14"/>
    </row>
    <row r="58" spans="1:13" ht="15" x14ac:dyDescent="0.25">
      <c r="A58" s="3">
        <v>57</v>
      </c>
      <c r="B58" t="s">
        <v>83</v>
      </c>
      <c r="C58">
        <v>297</v>
      </c>
      <c r="D58" s="3">
        <v>-4560438</v>
      </c>
      <c r="E58" s="3">
        <v>37900386</v>
      </c>
      <c r="G58" s="5">
        <f>COUNTIF('14 buques 19.5 kn 25000 charter'!$B$4:$E$83,B58)</f>
        <v>4</v>
      </c>
      <c r="J58" s="6"/>
      <c r="L58" s="6"/>
      <c r="M58" s="14"/>
    </row>
    <row r="59" spans="1:13" ht="15" x14ac:dyDescent="0.25">
      <c r="A59" s="3">
        <v>58</v>
      </c>
      <c r="B59" t="s">
        <v>85</v>
      </c>
      <c r="C59">
        <v>462</v>
      </c>
      <c r="D59" s="3">
        <v>-1567875</v>
      </c>
      <c r="E59" s="3">
        <v>38202995</v>
      </c>
      <c r="G59" s="5">
        <f>COUNTIF('14 buques 19.5 kn 25000 charter'!$B$4:$E$83,B59)</f>
        <v>4</v>
      </c>
      <c r="J59" s="6"/>
      <c r="L59" s="6"/>
      <c r="M59" s="14"/>
    </row>
    <row r="60" spans="1:13" ht="15" x14ac:dyDescent="0.25">
      <c r="A60" s="3">
        <v>59</v>
      </c>
      <c r="B60" t="s">
        <v>87</v>
      </c>
      <c r="C60">
        <v>269</v>
      </c>
      <c r="D60" s="3">
        <v>571508</v>
      </c>
      <c r="E60" s="3">
        <v>48757721</v>
      </c>
      <c r="G60" s="5">
        <f>COUNTIF('14 buques 19.5 kn 25000 charter'!$B$4:$E$83,B60)</f>
        <v>4</v>
      </c>
      <c r="J60" s="6"/>
      <c r="L60" s="6"/>
      <c r="M60" s="14"/>
    </row>
    <row r="61" spans="1:13" ht="15" x14ac:dyDescent="0.25">
      <c r="A61" s="3">
        <v>60</v>
      </c>
      <c r="B61" t="s">
        <v>89</v>
      </c>
      <c r="C61">
        <v>271</v>
      </c>
      <c r="D61" s="3">
        <v>1111617</v>
      </c>
      <c r="E61" s="3">
        <v>49896542</v>
      </c>
      <c r="G61" s="5">
        <f>COUNTIF('14 buques 19.5 kn 25000 charter'!$B$4:$E$83,B61)</f>
        <v>4</v>
      </c>
      <c r="J61" s="6"/>
      <c r="L61" s="6"/>
      <c r="M61" s="14"/>
    </row>
    <row r="62" spans="1:13" ht="15" x14ac:dyDescent="0.25">
      <c r="A62" s="3">
        <v>61</v>
      </c>
      <c r="B62" t="s">
        <v>91</v>
      </c>
      <c r="C62">
        <v>235</v>
      </c>
      <c r="D62" s="3">
        <v>2240088</v>
      </c>
      <c r="E62" s="3">
        <v>50691170</v>
      </c>
      <c r="G62" s="5">
        <f>COUNTIF('14 buques 19.5 kn 25000 charter'!$B$4:$E$83,B62)</f>
        <v>4</v>
      </c>
      <c r="J62" s="6"/>
      <c r="L62" s="6"/>
      <c r="M62" s="14"/>
    </row>
    <row r="63" spans="1:13" ht="15" x14ac:dyDescent="0.25">
      <c r="A63" s="3">
        <v>62</v>
      </c>
      <c r="B63" t="s">
        <v>93</v>
      </c>
      <c r="C63">
        <v>283</v>
      </c>
      <c r="D63" s="3">
        <v>-295848</v>
      </c>
      <c r="E63" s="3">
        <v>47531443</v>
      </c>
      <c r="G63" s="5">
        <f>COUNTIF('14 buques 19.5 kn 25000 charter'!$B$4:$E$83,B63)</f>
        <v>4</v>
      </c>
      <c r="J63" s="6"/>
      <c r="L63" s="6"/>
      <c r="M63" s="14"/>
    </row>
    <row r="64" spans="1:13" ht="15" x14ac:dyDescent="0.25">
      <c r="A64" s="3">
        <v>63</v>
      </c>
      <c r="B64" t="s">
        <v>95</v>
      </c>
      <c r="C64">
        <v>282</v>
      </c>
      <c r="D64" s="3">
        <v>-1843648</v>
      </c>
      <c r="E64" s="3">
        <v>48212407</v>
      </c>
      <c r="G64" s="5">
        <f>COUNTIF('14 buques 19.5 kn 25000 charter'!$B$4:$E$83,B64)</f>
        <v>4</v>
      </c>
      <c r="J64" s="6"/>
      <c r="L64" s="6"/>
      <c r="M64" s="14"/>
    </row>
    <row r="65" spans="1:13" ht="15" x14ac:dyDescent="0.25">
      <c r="A65" s="3">
        <v>64</v>
      </c>
      <c r="B65" t="s">
        <v>97</v>
      </c>
      <c r="C65">
        <v>275</v>
      </c>
      <c r="D65" s="3">
        <v>-725136</v>
      </c>
      <c r="E65" s="3">
        <v>44252240</v>
      </c>
      <c r="G65" s="5">
        <f>COUNTIF('14 buques 19.5 kn 25000 charter'!$B$4:$E$83,B65)</f>
        <v>4</v>
      </c>
      <c r="J65" s="6"/>
      <c r="L65" s="6"/>
      <c r="M65" s="14"/>
    </row>
    <row r="66" spans="1:13" ht="15" x14ac:dyDescent="0.25">
      <c r="A66" s="3">
        <v>65</v>
      </c>
      <c r="B66" t="s">
        <v>99</v>
      </c>
      <c r="C66">
        <v>282</v>
      </c>
      <c r="D66" s="3">
        <v>1299447</v>
      </c>
      <c r="E66" s="3">
        <v>46122303</v>
      </c>
      <c r="G66" s="5">
        <f>COUNTIF('14 buques 19.5 kn 25000 charter'!$B$4:$E$83,B66)</f>
        <v>4</v>
      </c>
      <c r="J66" s="6"/>
      <c r="L66" s="6"/>
      <c r="M66" s="14"/>
    </row>
    <row r="67" spans="1:13" ht="15" x14ac:dyDescent="0.25">
      <c r="A67" s="3">
        <v>66</v>
      </c>
      <c r="B67" t="s">
        <v>101</v>
      </c>
      <c r="C67">
        <v>1064</v>
      </c>
      <c r="D67" s="3">
        <v>2545157</v>
      </c>
      <c r="E67" s="3">
        <v>43217336</v>
      </c>
      <c r="G67" s="5">
        <f>COUNTIF('14 buques 19.5 kn 25000 charter'!$B$4:$E$83,B67)</f>
        <v>4</v>
      </c>
      <c r="J67" s="6"/>
      <c r="L67" s="6"/>
      <c r="M67" s="14"/>
    </row>
    <row r="68" spans="1:13" ht="15" x14ac:dyDescent="0.25">
      <c r="A68" s="3">
        <v>67</v>
      </c>
      <c r="B68" t="s">
        <v>103</v>
      </c>
      <c r="C68">
        <v>235</v>
      </c>
      <c r="D68" s="3">
        <v>2528531</v>
      </c>
      <c r="E68" s="3">
        <v>47410961</v>
      </c>
      <c r="G68" s="5">
        <f>COUNTIF('14 buques 19.5 kn 25000 charter'!$B$4:$E$83,B68)</f>
        <v>4</v>
      </c>
      <c r="J68" s="6"/>
      <c r="L68" s="6"/>
      <c r="M68" s="14"/>
    </row>
    <row r="69" spans="1:13" ht="15" x14ac:dyDescent="0.25">
      <c r="A69" s="3">
        <v>68</v>
      </c>
      <c r="B69" t="s">
        <v>105</v>
      </c>
      <c r="C69">
        <v>163</v>
      </c>
      <c r="D69" s="3">
        <v>1257854</v>
      </c>
      <c r="E69" s="3">
        <v>44267792</v>
      </c>
      <c r="G69" s="5">
        <f>COUNTIF('14 buques 19.5 kn 25000 charter'!$B$4:$E$83,B69)</f>
        <v>4</v>
      </c>
      <c r="J69" s="6"/>
      <c r="L69" s="6"/>
      <c r="M69" s="14"/>
    </row>
    <row r="70" spans="1:13" ht="15" x14ac:dyDescent="0.25">
      <c r="A70" s="3">
        <v>69</v>
      </c>
      <c r="B70" t="s">
        <v>107</v>
      </c>
      <c r="C70">
        <v>275</v>
      </c>
      <c r="D70" s="3">
        <v>-621061</v>
      </c>
      <c r="E70" s="3">
        <v>46056221</v>
      </c>
      <c r="G70" s="5">
        <f>COUNTIF('14 buques 19.5 kn 25000 charter'!$B$4:$E$83,B70)</f>
        <v>4</v>
      </c>
      <c r="J70" s="6"/>
      <c r="L70" s="6"/>
      <c r="M70" s="14"/>
    </row>
    <row r="71" spans="1:13" ht="15" hidden="1" x14ac:dyDescent="0.25">
      <c r="A71" s="3">
        <v>70</v>
      </c>
      <c r="B71" t="s">
        <v>109</v>
      </c>
      <c r="C71">
        <v>218</v>
      </c>
      <c r="D71" s="3">
        <v>6461970</v>
      </c>
      <c r="E71" s="3">
        <v>53511817</v>
      </c>
      <c r="G71" s="5">
        <f>COUNTIF('14 buques 19.5 kn 25000 charter'!$B$4:$E$83,B71)</f>
        <v>4</v>
      </c>
      <c r="J71" s="6"/>
      <c r="L71" s="6"/>
      <c r="M71" s="14"/>
    </row>
    <row r="72" spans="1:13" ht="15" hidden="1" x14ac:dyDescent="0.25">
      <c r="A72" s="3">
        <v>71</v>
      </c>
      <c r="B72" t="s">
        <v>111</v>
      </c>
      <c r="C72">
        <v>250</v>
      </c>
      <c r="D72" s="3">
        <v>6145767</v>
      </c>
      <c r="E72" s="3">
        <v>53131117</v>
      </c>
      <c r="G72" s="5">
        <f>COUNTIF('14 buques 19.5 kn 25000 charter'!$B$4:$E$83,B72)</f>
        <v>4</v>
      </c>
      <c r="J72" s="6"/>
      <c r="L72" s="6"/>
      <c r="M72" s="14"/>
    </row>
    <row r="73" spans="1:13" ht="15" hidden="1" x14ac:dyDescent="0.25">
      <c r="A73" s="3">
        <v>72</v>
      </c>
      <c r="B73" t="s">
        <v>113</v>
      </c>
      <c r="C73">
        <v>253</v>
      </c>
      <c r="D73" s="3">
        <v>5958752</v>
      </c>
      <c r="E73" s="3">
        <v>52449552</v>
      </c>
      <c r="G73" s="5">
        <f>COUNTIF('14 buques 19.5 kn 25000 charter'!$B$4:$E$83,B73)</f>
        <v>4</v>
      </c>
      <c r="J73" s="6"/>
      <c r="L73" s="6"/>
      <c r="M73" s="14"/>
    </row>
    <row r="74" spans="1:13" ht="15" hidden="1" x14ac:dyDescent="0.25">
      <c r="A74" s="3">
        <v>73</v>
      </c>
      <c r="B74" t="s">
        <v>115</v>
      </c>
      <c r="C74">
        <v>220</v>
      </c>
      <c r="D74" s="3">
        <v>4308773</v>
      </c>
      <c r="E74" s="3">
        <v>52031749</v>
      </c>
      <c r="G74" s="5">
        <f>COUNTIF('14 buques 19.5 kn 25000 charter'!$B$4:$E$83,B74)</f>
        <v>4</v>
      </c>
      <c r="J74" s="6"/>
      <c r="L74" s="6"/>
      <c r="M74" s="14"/>
    </row>
    <row r="75" spans="1:13" ht="15" hidden="1" x14ac:dyDescent="0.25">
      <c r="A75" s="3">
        <v>74</v>
      </c>
      <c r="B75" t="s">
        <v>117</v>
      </c>
      <c r="C75">
        <v>218</v>
      </c>
      <c r="D75" s="3">
        <v>3806523</v>
      </c>
      <c r="E75" s="3">
        <v>51688411</v>
      </c>
      <c r="G75" s="5">
        <f>COUNTIF('14 buques 19.5 kn 25000 charter'!$B$4:$E$83,B75)</f>
        <v>4</v>
      </c>
      <c r="J75" s="6"/>
      <c r="L75" s="6"/>
      <c r="M75" s="14"/>
    </row>
    <row r="76" spans="1:13" ht="15" hidden="1" x14ac:dyDescent="0.25">
      <c r="A76" s="3">
        <v>75</v>
      </c>
      <c r="B76" t="s">
        <v>119</v>
      </c>
      <c r="C76">
        <v>218</v>
      </c>
      <c r="D76" s="3">
        <v>5365344</v>
      </c>
      <c r="E76" s="3">
        <v>51858701</v>
      </c>
      <c r="G76" s="5">
        <f>COUNTIF('14 buques 19.5 kn 25000 charter'!$B$4:$E$83,B76)</f>
        <v>4</v>
      </c>
      <c r="J76" s="6"/>
      <c r="L76" s="6"/>
      <c r="M76" s="14"/>
    </row>
    <row r="77" spans="1:13" ht="15" hidden="1" x14ac:dyDescent="0.25">
      <c r="A77" s="3">
        <v>76</v>
      </c>
      <c r="B77" t="s">
        <v>121</v>
      </c>
      <c r="C77">
        <v>288</v>
      </c>
      <c r="D77" s="3">
        <v>-7903712</v>
      </c>
      <c r="E77" s="3">
        <v>41645164</v>
      </c>
      <c r="G77" s="5">
        <f>COUNTIF('14 buques 19.5 kn 25000 charter'!$B$4:$E$83,B77)</f>
        <v>4</v>
      </c>
      <c r="J77" s="6"/>
      <c r="L77" s="6"/>
      <c r="M77" s="14"/>
    </row>
    <row r="78" spans="1:13" ht="15" hidden="1" x14ac:dyDescent="0.25">
      <c r="A78" s="3">
        <v>77</v>
      </c>
      <c r="B78" t="s">
        <v>123</v>
      </c>
      <c r="C78">
        <v>61</v>
      </c>
      <c r="D78" s="3">
        <v>-8060565</v>
      </c>
      <c r="E78" s="3">
        <v>37432045</v>
      </c>
      <c r="G78" s="5">
        <f>COUNTIF('14 buques 19.5 kn 25000 charter'!$B$4:$E$83,B78)</f>
        <v>4</v>
      </c>
      <c r="J78" s="6"/>
      <c r="L78" s="6"/>
      <c r="M78" s="14"/>
    </row>
    <row r="79" spans="1:13" ht="15" hidden="1" x14ac:dyDescent="0.25">
      <c r="A79" s="3">
        <v>78</v>
      </c>
      <c r="B79" t="s">
        <v>125</v>
      </c>
      <c r="C79">
        <v>294</v>
      </c>
      <c r="D79" s="3">
        <v>-7621893</v>
      </c>
      <c r="E79" s="3">
        <v>40004387</v>
      </c>
      <c r="G79" s="5">
        <f>COUNTIF('14 buques 19.5 kn 25000 charter'!$B$4:$E$83,B79)</f>
        <v>4</v>
      </c>
      <c r="J79" s="6"/>
      <c r="L79" s="6"/>
      <c r="M79" s="14"/>
    </row>
    <row r="80" spans="1:13" ht="15" hidden="1" x14ac:dyDescent="0.25">
      <c r="A80" s="3">
        <v>79</v>
      </c>
      <c r="B80" t="s">
        <v>127</v>
      </c>
      <c r="C80">
        <v>297</v>
      </c>
      <c r="D80" s="3">
        <v>-8731857</v>
      </c>
      <c r="E80" s="3">
        <v>38823270</v>
      </c>
      <c r="G80" s="5">
        <f>COUNTIF('14 buques 19.5 kn 25000 charter'!$B$4:$E$83,B80)</f>
        <v>4</v>
      </c>
      <c r="J80" s="6"/>
      <c r="L80" s="6"/>
      <c r="M80" s="14"/>
    </row>
    <row r="81" spans="1:13" ht="15" hidden="1" x14ac:dyDescent="0.25">
      <c r="A81" s="3">
        <v>80</v>
      </c>
      <c r="B81" t="s">
        <v>129</v>
      </c>
      <c r="C81">
        <v>61</v>
      </c>
      <c r="D81" s="3">
        <v>-7322763</v>
      </c>
      <c r="E81" s="3">
        <v>40723574</v>
      </c>
      <c r="G81" s="5">
        <f>COUNTIF('14 buques 19.5 kn 25000 charter'!$B$4:$E$83,B81)</f>
        <v>4</v>
      </c>
      <c r="J81" s="6"/>
      <c r="L81" s="6"/>
      <c r="M81" s="14"/>
    </row>
    <row r="82" spans="1:13" x14ac:dyDescent="0.2">
      <c r="C82" s="5"/>
    </row>
    <row r="83" spans="1:13" x14ac:dyDescent="0.2">
      <c r="C83" s="5"/>
    </row>
    <row r="84" spans="1:13" x14ac:dyDescent="0.2">
      <c r="C84" s="5"/>
    </row>
    <row r="85" spans="1:13" x14ac:dyDescent="0.2">
      <c r="C85" s="5"/>
    </row>
    <row r="86" spans="1:13" x14ac:dyDescent="0.2">
      <c r="C86" s="5"/>
    </row>
    <row r="87" spans="1:13" x14ac:dyDescent="0.2">
      <c r="C87" s="5"/>
    </row>
    <row r="88" spans="1:13" x14ac:dyDescent="0.2">
      <c r="C88" s="5"/>
    </row>
    <row r="89" spans="1:13" x14ac:dyDescent="0.2">
      <c r="C89" s="5"/>
    </row>
    <row r="90" spans="1:13" x14ac:dyDescent="0.2">
      <c r="C90" s="5"/>
    </row>
    <row r="91" spans="1:13" x14ac:dyDescent="0.2">
      <c r="C91" s="5"/>
    </row>
    <row r="92" spans="1:13" x14ac:dyDescent="0.2">
      <c r="C92" s="5"/>
    </row>
    <row r="93" spans="1:13" x14ac:dyDescent="0.2">
      <c r="C93" s="5"/>
    </row>
    <row r="94" spans="1:13" x14ac:dyDescent="0.2">
      <c r="C94" s="5"/>
    </row>
    <row r="95" spans="1:13" x14ac:dyDescent="0.2">
      <c r="C95" s="5"/>
    </row>
    <row r="96" spans="1:13" x14ac:dyDescent="0.2">
      <c r="C96" s="5"/>
    </row>
    <row r="97" spans="2:3" x14ac:dyDescent="0.2">
      <c r="C97" s="5"/>
    </row>
    <row r="98" spans="2:3" x14ac:dyDescent="0.2">
      <c r="B98" s="5"/>
    </row>
    <row r="100" spans="2:3" x14ac:dyDescent="0.2">
      <c r="B100" s="5"/>
    </row>
    <row r="101" spans="2:3" x14ac:dyDescent="0.2">
      <c r="B101" s="5"/>
    </row>
    <row r="102" spans="2:3" x14ac:dyDescent="0.2">
      <c r="B102" s="5"/>
    </row>
    <row r="103" spans="2:3" x14ac:dyDescent="0.2">
      <c r="B103" s="5"/>
    </row>
    <row r="104" spans="2:3" x14ac:dyDescent="0.2">
      <c r="B104" s="5"/>
    </row>
    <row r="105" spans="2:3" x14ac:dyDescent="0.2">
      <c r="B105" s="5"/>
    </row>
    <row r="106" spans="2:3" x14ac:dyDescent="0.2">
      <c r="B106" s="5"/>
    </row>
    <row r="108" spans="2:3" x14ac:dyDescent="0.2">
      <c r="B108" s="5"/>
    </row>
    <row r="109" spans="2:3" x14ac:dyDescent="0.2">
      <c r="B109" s="5"/>
    </row>
    <row r="110" spans="2:3" x14ac:dyDescent="0.2">
      <c r="B110" s="5"/>
    </row>
    <row r="111" spans="2:3" x14ac:dyDescent="0.2">
      <c r="B111" s="5"/>
    </row>
    <row r="112" spans="2:3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7" spans="2:2" x14ac:dyDescent="0.2">
      <c r="B117" s="5"/>
    </row>
  </sheetData>
  <autoFilter ref="B1:E81" xr:uid="{8A3B9898-58BD-41AB-8D16-51AA26D20444}">
    <filterColumn colId="0">
      <filters>
        <filter val="ES11"/>
        <filter val="ES12"/>
        <filter val="ES13"/>
        <filter val="ES21"/>
        <filter val="ES51"/>
        <filter val="ES52"/>
        <filter val="ES61"/>
        <filter val="ES62"/>
        <filter val="FRD1"/>
        <filter val="FRD2"/>
        <filter val="FRE1"/>
        <filter val="FRF2"/>
        <filter val="FRG0"/>
        <filter val="FRH0"/>
        <filter val="FRI1"/>
        <filter val="FRI2"/>
        <filter val="FRI3"/>
        <filter val="FRJ1"/>
        <filter val="FRJ2"/>
      </filters>
    </filterColumn>
  </autoFilter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5AB6-2D0C-4DDC-A81F-9977BE15F153}">
  <dimension ref="B1:AB162"/>
  <sheetViews>
    <sheetView topLeftCell="P77" workbookViewId="0">
      <selection activeCell="Z160" sqref="Z160"/>
    </sheetView>
  </sheetViews>
  <sheetFormatPr baseColWidth="10" defaultColWidth="9.140625" defaultRowHeight="15" x14ac:dyDescent="0.25"/>
  <cols>
    <col min="6" max="7" width="5" hidden="1" customWidth="1"/>
    <col min="8" max="10" width="14.7109375" customWidth="1"/>
    <col min="11" max="11" width="11.7109375" customWidth="1"/>
    <col min="12" max="13" width="11.7109375" bestFit="1" customWidth="1"/>
    <col min="14" max="14" width="13.7109375" customWidth="1"/>
    <col min="15" max="15" width="11.7109375" customWidth="1"/>
    <col min="16" max="16" width="12" customWidth="1"/>
    <col min="17" max="17" width="13.85546875" customWidth="1"/>
    <col min="18" max="18" width="10.42578125" bestFit="1" customWidth="1"/>
    <col min="19" max="19" width="13.85546875" customWidth="1"/>
    <col min="20" max="20" width="12.28515625" bestFit="1" customWidth="1"/>
    <col min="21" max="21" width="13.85546875" bestFit="1" customWidth="1"/>
  </cols>
  <sheetData>
    <row r="1" spans="2:20" x14ac:dyDescent="0.25">
      <c r="H1" t="s">
        <v>139</v>
      </c>
    </row>
    <row r="3" spans="2:20" x14ac:dyDescent="0.25">
      <c r="B3" s="24" t="s">
        <v>134</v>
      </c>
      <c r="C3" s="24" t="s">
        <v>135</v>
      </c>
      <c r="D3" s="24" t="s">
        <v>131</v>
      </c>
      <c r="E3" s="24" t="s">
        <v>136</v>
      </c>
      <c r="F3" t="s">
        <v>39</v>
      </c>
      <c r="G3" t="s">
        <v>40</v>
      </c>
      <c r="H3" t="s">
        <v>137</v>
      </c>
      <c r="I3" t="s">
        <v>133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</row>
    <row r="4" spans="2:20" s="17" customFormat="1" x14ac:dyDescent="0.25">
      <c r="B4" s="24" t="str">
        <f>VLOOKUP(F4,[1]NUTS_Europa!$A$2:$C$81,2,FALSE)</f>
        <v>BE21</v>
      </c>
      <c r="C4" s="24">
        <f>VLOOKUP(F4,[1]NUTS_Europa!$A$2:$C$81,3,FALSE)</f>
        <v>253</v>
      </c>
      <c r="D4" s="24" t="str">
        <f>VLOOKUP(G4,[1]NUTS_Europa!$A$2:$C$81,2,FALSE)</f>
        <v>BE25</v>
      </c>
      <c r="E4" s="24">
        <f>VLOOKUP(G4,[1]NUTS_Europa!$A$2:$C$81,3,FALSE)</f>
        <v>235</v>
      </c>
      <c r="F4" s="17">
        <v>1</v>
      </c>
      <c r="G4" s="17">
        <v>3</v>
      </c>
      <c r="H4" s="19">
        <v>332522.60866222891</v>
      </c>
      <c r="I4" s="19">
        <v>669812.2795158705</v>
      </c>
      <c r="J4" s="19"/>
      <c r="K4" s="17">
        <v>135416.16142478216</v>
      </c>
      <c r="L4" s="17">
        <v>6.4512820512820515</v>
      </c>
      <c r="M4" s="17">
        <v>12.884342300345084</v>
      </c>
      <c r="N4" s="17">
        <v>9.8362642499456925</v>
      </c>
      <c r="O4" s="17">
        <v>1766.2818805981751</v>
      </c>
      <c r="Q4" s="17" t="str">
        <f>B4</f>
        <v>BE21</v>
      </c>
      <c r="R4">
        <f>COUNTIF(B4:D83,"BE21")</f>
        <v>4</v>
      </c>
      <c r="S4" s="17">
        <f>C4</f>
        <v>253</v>
      </c>
      <c r="T4" s="17">
        <f>COUNTIF(B4:E83,253)</f>
        <v>10</v>
      </c>
    </row>
    <row r="5" spans="2:20" s="17" customFormat="1" x14ac:dyDescent="0.25">
      <c r="B5" s="24" t="str">
        <f>VLOOKUP(F5,[1]NUTS_Europa!$A$2:$C$81,2,FALSE)</f>
        <v>BE21</v>
      </c>
      <c r="C5" s="24">
        <f>VLOOKUP(F5,[1]NUTS_Europa!$A$2:$C$81,3,FALSE)</f>
        <v>253</v>
      </c>
      <c r="D5" s="24" t="str">
        <f>VLOOKUP(G5,[1]NUTS_Europa!$A$2:$C$81,2,FALSE)</f>
        <v>ES13</v>
      </c>
      <c r="E5" s="24">
        <f>VLOOKUP(G5,[1]NUTS_Europa!$A$2:$C$81,3,FALSE)</f>
        <v>163</v>
      </c>
      <c r="F5" s="17">
        <v>1</v>
      </c>
      <c r="G5" s="17">
        <v>13</v>
      </c>
      <c r="H5" s="17">
        <v>887369.07333491545</v>
      </c>
      <c r="I5" s="17">
        <v>1213670.0154798201</v>
      </c>
      <c r="K5" s="17">
        <v>117923.68175590989</v>
      </c>
      <c r="L5" s="17">
        <v>39.790256410256411</v>
      </c>
      <c r="M5" s="17">
        <v>11.502607262031209</v>
      </c>
      <c r="N5" s="17">
        <v>21.650586540194972</v>
      </c>
      <c r="O5" s="17">
        <v>3374.2629695885503</v>
      </c>
      <c r="Q5" s="17" t="str">
        <f>D5</f>
        <v>ES13</v>
      </c>
      <c r="R5" s="17">
        <f>COUNTIF(B4:D83,"ES13")</f>
        <v>4</v>
      </c>
      <c r="S5" s="17">
        <f>C47</f>
        <v>250</v>
      </c>
      <c r="T5" s="17">
        <f>COUNTIF(B4:E83,250)</f>
        <v>8</v>
      </c>
    </row>
    <row r="6" spans="2:20" s="17" customFormat="1" x14ac:dyDescent="0.25">
      <c r="B6" s="24" t="str">
        <f>VLOOKUP(F6,[1]NUTS_Europa!$A$2:$C$81,2,FALSE)</f>
        <v>BE23</v>
      </c>
      <c r="C6" s="24">
        <f>VLOOKUP(F6,[1]NUTS_Europa!$A$2:$C$81,3,FALSE)</f>
        <v>253</v>
      </c>
      <c r="D6" s="24" t="str">
        <f>VLOOKUP(G6,[1]NUTS_Europa!$A$2:$C$81,2,FALSE)</f>
        <v>BE25</v>
      </c>
      <c r="E6" s="24">
        <f>VLOOKUP(G6,[1]NUTS_Europa!$A$2:$C$81,3,FALSE)</f>
        <v>235</v>
      </c>
      <c r="F6" s="17">
        <v>2</v>
      </c>
      <c r="G6" s="17">
        <v>3</v>
      </c>
      <c r="H6" s="17">
        <v>411372.96437589265</v>
      </c>
      <c r="I6" s="17">
        <v>669812.2795158705</v>
      </c>
      <c r="K6" s="17">
        <v>135416.16142478216</v>
      </c>
      <c r="L6" s="17">
        <v>6.4512820512820515</v>
      </c>
      <c r="M6" s="17">
        <v>12.884342300345084</v>
      </c>
      <c r="N6" s="17">
        <v>9.8362642499456925</v>
      </c>
      <c r="O6" s="17">
        <v>1766.2818805981751</v>
      </c>
      <c r="Q6" s="17" t="str">
        <f>B6</f>
        <v>BE23</v>
      </c>
      <c r="R6" s="17">
        <f>COUNTIF(B4:D83,"BE23")</f>
        <v>4</v>
      </c>
      <c r="S6" s="17">
        <f>C6</f>
        <v>253</v>
      </c>
    </row>
    <row r="7" spans="2:20" s="17" customFormat="1" x14ac:dyDescent="0.25">
      <c r="B7" s="24" t="str">
        <f>VLOOKUP(F7,[1]NUTS_Europa!$A$2:$C$81,2,FALSE)</f>
        <v>BE23</v>
      </c>
      <c r="C7" s="24">
        <f>VLOOKUP(F7,[1]NUTS_Europa!$A$2:$C$81,3,FALSE)</f>
        <v>253</v>
      </c>
      <c r="D7" s="24" t="str">
        <f>VLOOKUP(G7,[1]NUTS_Europa!$A$2:$C$81,2,FALSE)</f>
        <v>ES21</v>
      </c>
      <c r="E7" s="24">
        <f>VLOOKUP(G7,[1]NUTS_Europa!$A$2:$C$81,3,FALSE)</f>
        <v>163</v>
      </c>
      <c r="F7" s="17">
        <v>2</v>
      </c>
      <c r="G7" s="17">
        <v>14</v>
      </c>
      <c r="H7" s="17">
        <v>839520.67472096195</v>
      </c>
      <c r="I7" s="17">
        <v>1213670.0154798201</v>
      </c>
      <c r="K7" s="17">
        <v>145277.79316174539</v>
      </c>
      <c r="L7" s="17">
        <v>39.790256410256411</v>
      </c>
      <c r="M7" s="17">
        <v>11.502607262031209</v>
      </c>
      <c r="N7" s="17">
        <v>21.650586540194972</v>
      </c>
      <c r="O7" s="17">
        <v>3374.2629695885503</v>
      </c>
      <c r="Q7" s="17" t="str">
        <f>D7</f>
        <v>ES21</v>
      </c>
      <c r="R7" s="17">
        <f>COUNTIF(B4:D83,"ES21")</f>
        <v>4</v>
      </c>
      <c r="S7" s="17">
        <f>C49</f>
        <v>220</v>
      </c>
      <c r="T7" s="17">
        <f>COUNTIF(B4:I83,220)</f>
        <v>8</v>
      </c>
    </row>
    <row r="8" spans="2:20" s="16" customFormat="1" x14ac:dyDescent="0.25">
      <c r="B8" s="24" t="str">
        <f>VLOOKUP(F8,[1]NUTS_Europa!$A$2:$C$81,2,FALSE)</f>
        <v>DE50</v>
      </c>
      <c r="C8" s="24">
        <f>VLOOKUP(F8,[1]NUTS_Europa!$A$2:$C$81,3,FALSE)</f>
        <v>245</v>
      </c>
      <c r="D8" s="24" t="str">
        <f>VLOOKUP(G8,[1]NUTS_Europa!$A$2:$C$81,2,FALSE)</f>
        <v>ES12</v>
      </c>
      <c r="E8" s="24">
        <f>VLOOKUP(G8,[1]NUTS_Europa!$A$2:$C$81,3,FALSE)</f>
        <v>285</v>
      </c>
      <c r="F8" s="16">
        <v>4</v>
      </c>
      <c r="G8" s="16">
        <v>12</v>
      </c>
      <c r="H8" s="16">
        <v>55467.590571060922</v>
      </c>
      <c r="I8" s="16">
        <v>7769829.2059486816</v>
      </c>
      <c r="K8" s="16">
        <v>114346.85142443764</v>
      </c>
      <c r="L8" s="16">
        <v>51.586666666666666</v>
      </c>
      <c r="M8" s="16">
        <v>11.778682523965301</v>
      </c>
      <c r="N8" s="16">
        <v>8.6798247044985843E-2</v>
      </c>
      <c r="O8" s="16">
        <v>15.60948133635801</v>
      </c>
      <c r="Q8" s="16" t="str">
        <f>B8</f>
        <v>DE50</v>
      </c>
      <c r="R8" s="16">
        <f>COUNTIF(B4:D83,"DE50")</f>
        <v>4</v>
      </c>
      <c r="S8" s="16">
        <f>C8</f>
        <v>245</v>
      </c>
      <c r="T8" s="16">
        <f>COUNTIF(B4:E83,245)</f>
        <v>16</v>
      </c>
    </row>
    <row r="9" spans="2:20" s="16" customFormat="1" x14ac:dyDescent="0.25">
      <c r="B9" s="24" t="str">
        <f>VLOOKUP(F9,[1]NUTS_Europa!$A$2:$C$81,2,FALSE)</f>
        <v>DE50</v>
      </c>
      <c r="C9" s="24">
        <f>VLOOKUP(F9,[1]NUTS_Europa!$A$2:$C$81,3,FALSE)</f>
        <v>245</v>
      </c>
      <c r="D9" s="24" t="str">
        <f>VLOOKUP(G9,[1]NUTS_Europa!$A$2:$C$81,2,FALSE)</f>
        <v>FRD1</v>
      </c>
      <c r="E9" s="24">
        <f>VLOOKUP(G9,[1]NUTS_Europa!$A$2:$C$81,3,FALSE)</f>
        <v>268</v>
      </c>
      <c r="F9" s="16">
        <v>4</v>
      </c>
      <c r="G9" s="16">
        <v>19</v>
      </c>
      <c r="H9" s="16">
        <v>412344.71550805948</v>
      </c>
      <c r="I9" s="16">
        <v>10070512.552313497</v>
      </c>
      <c r="K9" s="16">
        <v>163171.48832599766</v>
      </c>
      <c r="L9" s="16">
        <v>29.894358974358976</v>
      </c>
      <c r="M9" s="16">
        <v>16.385260449422606</v>
      </c>
      <c r="N9" s="16">
        <v>0.66574348672780248</v>
      </c>
      <c r="O9" s="16">
        <v>103.75670840787119</v>
      </c>
      <c r="Q9" s="16" t="str">
        <f>D8</f>
        <v>ES12</v>
      </c>
      <c r="R9" s="16">
        <f>COUNTIF(B4:D83,"ES12")</f>
        <v>4</v>
      </c>
      <c r="S9" s="16">
        <f>C53</f>
        <v>1069</v>
      </c>
      <c r="T9" s="16">
        <f>COUNTIF(B4:E83,1069)</f>
        <v>12</v>
      </c>
    </row>
    <row r="10" spans="2:20" s="17" customFormat="1" x14ac:dyDescent="0.25">
      <c r="B10" s="24" t="str">
        <f>VLOOKUP(F10,[1]NUTS_Europa!$A$2:$C$81,2,FALSE)</f>
        <v>DE60</v>
      </c>
      <c r="C10" s="24">
        <f>VLOOKUP(F10,[1]NUTS_Europa!$A$2:$C$81,3,FALSE)</f>
        <v>1069</v>
      </c>
      <c r="D10" s="24" t="str">
        <f>VLOOKUP(G10,[1]NUTS_Europa!$A$2:$C$81,2,FALSE)</f>
        <v>NL32</v>
      </c>
      <c r="E10" s="24">
        <f>VLOOKUP(G10,[1]NUTS_Europa!$A$2:$C$81,3,FALSE)</f>
        <v>218</v>
      </c>
      <c r="F10" s="17">
        <v>5</v>
      </c>
      <c r="G10" s="17">
        <v>32</v>
      </c>
      <c r="H10" s="17">
        <v>291521.05818257912</v>
      </c>
      <c r="I10" s="17">
        <v>849369.26806492324</v>
      </c>
      <c r="K10" s="17">
        <v>119215.96904421839</v>
      </c>
      <c r="L10" s="17">
        <v>13.844615384615386</v>
      </c>
      <c r="M10" s="17">
        <v>8.533427864963075</v>
      </c>
      <c r="N10" s="17">
        <v>21.149406761232438</v>
      </c>
      <c r="O10" s="17">
        <v>4803.0739774448748</v>
      </c>
      <c r="Q10" s="17" t="str">
        <f>B10</f>
        <v>DE60</v>
      </c>
      <c r="R10" s="17">
        <f>COUNTIF(B4:D83,"DE60")</f>
        <v>4</v>
      </c>
      <c r="S10" s="17">
        <f>C10</f>
        <v>1069</v>
      </c>
    </row>
    <row r="11" spans="2:20" s="17" customFormat="1" x14ac:dyDescent="0.25">
      <c r="B11" s="24" t="str">
        <f>VLOOKUP(F11,[1]NUTS_Europa!$A$2:$C$81,2,FALSE)</f>
        <v>DE60</v>
      </c>
      <c r="C11" s="24">
        <f>VLOOKUP(F11,[1]NUTS_Europa!$A$2:$C$81,3,FALSE)</f>
        <v>1069</v>
      </c>
      <c r="D11" s="24" t="str">
        <f>VLOOKUP(G11,[1]NUTS_Europa!$A$2:$C$81,2,FALSE)</f>
        <v>PT18</v>
      </c>
      <c r="E11" s="24">
        <f>VLOOKUP(G11,[1]NUTS_Europa!$A$2:$C$81,3,FALSE)</f>
        <v>61</v>
      </c>
      <c r="F11" s="17">
        <v>5</v>
      </c>
      <c r="G11" s="17">
        <v>80</v>
      </c>
      <c r="H11" s="17">
        <v>12667566.868798733</v>
      </c>
      <c r="I11" s="17">
        <v>1890517.6741464585</v>
      </c>
      <c r="K11" s="17">
        <v>118487.95435333898</v>
      </c>
      <c r="L11" s="17">
        <v>85.783589743589744</v>
      </c>
      <c r="M11" s="17">
        <v>11.321648822841263</v>
      </c>
      <c r="N11" s="17">
        <v>88.792091272356132</v>
      </c>
      <c r="O11" s="17">
        <v>20275.132014860137</v>
      </c>
      <c r="S11" s="17">
        <f>C55</f>
        <v>245</v>
      </c>
      <c r="T11" s="17">
        <f>COUNTIF(B4:E83,245)</f>
        <v>16</v>
      </c>
    </row>
    <row r="12" spans="2:20" s="17" customFormat="1" x14ac:dyDescent="0.25">
      <c r="B12" s="24" t="str">
        <f>VLOOKUP(F12,[1]NUTS_Europa!$A$2:$C$81,2,FALSE)</f>
        <v>DE80</v>
      </c>
      <c r="C12" s="24">
        <f>VLOOKUP(F12,[1]NUTS_Europa!$A$2:$C$81,3,FALSE)</f>
        <v>1069</v>
      </c>
      <c r="D12" s="24" t="str">
        <f>VLOOKUP(G12,[1]NUTS_Europa!$A$2:$C$81,2,FALSE)</f>
        <v>ES11</v>
      </c>
      <c r="E12" s="24">
        <f>VLOOKUP(G12,[1]NUTS_Europa!$A$2:$C$81,3,FALSE)</f>
        <v>288</v>
      </c>
      <c r="F12" s="17">
        <v>6</v>
      </c>
      <c r="G12" s="17">
        <v>11</v>
      </c>
      <c r="H12" s="17">
        <v>565702.00403954345</v>
      </c>
      <c r="I12" s="17">
        <v>1548580.1934055921</v>
      </c>
      <c r="K12" s="17">
        <v>142841.86171918266</v>
      </c>
      <c r="L12" s="17">
        <v>59.42307692307692</v>
      </c>
      <c r="M12" s="17">
        <v>10.787955027194489</v>
      </c>
      <c r="N12" s="17">
        <v>4.9425536572578173</v>
      </c>
      <c r="O12" s="17">
        <v>1050.5272759847392</v>
      </c>
      <c r="Q12" s="17" t="str">
        <f>B12</f>
        <v>DE80</v>
      </c>
      <c r="R12" s="17">
        <f>COUNTIF(B4:D83,"DE80")</f>
        <v>4</v>
      </c>
      <c r="S12" s="17">
        <f>C12</f>
        <v>1069</v>
      </c>
    </row>
    <row r="13" spans="2:20" s="17" customFormat="1" x14ac:dyDescent="0.25">
      <c r="B13" s="24" t="str">
        <f>VLOOKUP(F13,[1]NUTS_Europa!$A$2:$C$81,2,FALSE)</f>
        <v>DE80</v>
      </c>
      <c r="C13" s="24">
        <f>VLOOKUP(F13,[1]NUTS_Europa!$A$2:$C$81,3,FALSE)</f>
        <v>1069</v>
      </c>
      <c r="D13" s="24" t="str">
        <f>VLOOKUP(G13,[1]NUTS_Europa!$A$2:$C$81,2,FALSE)</f>
        <v>FRI1</v>
      </c>
      <c r="E13" s="24">
        <f>VLOOKUP(G13,[1]NUTS_Europa!$A$2:$C$81,3,FALSE)</f>
        <v>283</v>
      </c>
      <c r="F13" s="17">
        <v>6</v>
      </c>
      <c r="G13" s="17">
        <v>24</v>
      </c>
      <c r="H13" s="17">
        <v>1376636.7893436104</v>
      </c>
      <c r="I13" s="17">
        <v>1332936.0926264275</v>
      </c>
      <c r="K13" s="17">
        <v>145277.79316174539</v>
      </c>
      <c r="L13" s="17">
        <v>49.122051282051281</v>
      </c>
      <c r="M13" s="17">
        <v>13.528931999984996</v>
      </c>
      <c r="N13" s="17">
        <v>11.083450075239885</v>
      </c>
      <c r="O13" s="17">
        <v>2266.66818622449</v>
      </c>
      <c r="Q13" s="17" t="str">
        <f>D12</f>
        <v>ES11</v>
      </c>
      <c r="R13" s="17">
        <f>COUNTIF(B4:D83,"ES11")</f>
        <v>4</v>
      </c>
      <c r="S13" s="17">
        <f>C57</f>
        <v>245</v>
      </c>
    </row>
    <row r="14" spans="2:20" s="17" customFormat="1" x14ac:dyDescent="0.25">
      <c r="B14" s="24" t="str">
        <f>VLOOKUP(F14,[1]NUTS_Europa!$A$2:$C$81,2,FALSE)</f>
        <v>DE93</v>
      </c>
      <c r="C14" s="24">
        <f>VLOOKUP(F14,[1]NUTS_Europa!$A$2:$C$81,3,FALSE)</f>
        <v>1069</v>
      </c>
      <c r="D14" s="24" t="str">
        <f>VLOOKUP(G14,[1]NUTS_Europa!$A$2:$C$81,2,FALSE)</f>
        <v>NL12</v>
      </c>
      <c r="E14" s="24">
        <f>VLOOKUP(G14,[1]NUTS_Europa!$A$2:$C$81,3,FALSE)</f>
        <v>218</v>
      </c>
      <c r="F14" s="17">
        <v>7</v>
      </c>
      <c r="G14" s="17">
        <v>31</v>
      </c>
      <c r="H14" s="17">
        <v>1282892.81819352</v>
      </c>
      <c r="I14" s="17">
        <v>849369.26806492324</v>
      </c>
      <c r="K14" s="17">
        <v>163171.48832599766</v>
      </c>
      <c r="L14" s="17">
        <v>13.844615384615386</v>
      </c>
      <c r="M14" s="17">
        <v>8.533427864963075</v>
      </c>
      <c r="N14" s="17">
        <v>21.149406761232438</v>
      </c>
      <c r="O14" s="17">
        <v>4803.0739774448748</v>
      </c>
      <c r="Q14" s="17" t="str">
        <f>B14</f>
        <v>DE93</v>
      </c>
      <c r="R14" s="17">
        <f>COUNTIF(B4:D83,"DE93")</f>
        <v>4</v>
      </c>
      <c r="S14" s="17">
        <f>C14</f>
        <v>1069</v>
      </c>
    </row>
    <row r="15" spans="2:20" s="17" customFormat="1" x14ac:dyDescent="0.25">
      <c r="B15" s="24" t="str">
        <f>VLOOKUP(F15,[1]NUTS_Europa!$A$2:$C$81,2,FALSE)</f>
        <v>DE93</v>
      </c>
      <c r="C15" s="24">
        <f>VLOOKUP(F15,[1]NUTS_Europa!$A$2:$C$81,3,FALSE)</f>
        <v>1069</v>
      </c>
      <c r="D15" s="24" t="str">
        <f>VLOOKUP(G15,[1]NUTS_Europa!$A$2:$C$81,2,FALSE)</f>
        <v>NL32</v>
      </c>
      <c r="E15" s="24">
        <f>VLOOKUP(G15,[1]NUTS_Europa!$A$2:$C$81,3,FALSE)</f>
        <v>218</v>
      </c>
      <c r="F15" s="17">
        <v>7</v>
      </c>
      <c r="G15" s="17">
        <v>32</v>
      </c>
      <c r="H15" s="17">
        <v>540625.28541179141</v>
      </c>
      <c r="I15" s="17">
        <v>849369.26806492324</v>
      </c>
      <c r="K15" s="17">
        <v>199058.85825050285</v>
      </c>
      <c r="L15" s="17">
        <v>13.844615384615386</v>
      </c>
      <c r="M15" s="17">
        <v>8.533427864963075</v>
      </c>
      <c r="N15" s="17">
        <v>21.149406761232438</v>
      </c>
      <c r="O15" s="17">
        <v>4803.0739774448748</v>
      </c>
      <c r="S15" s="17">
        <f>C59</f>
        <v>245</v>
      </c>
    </row>
    <row r="16" spans="2:20" s="16" customFormat="1" x14ac:dyDescent="0.25">
      <c r="B16" s="24" t="str">
        <f>VLOOKUP(F16,[1]NUTS_Europa!$A$2:$C$81,2,FALSE)</f>
        <v>DE94</v>
      </c>
      <c r="C16" s="24">
        <f>VLOOKUP(F16,[1]NUTS_Europa!$A$2:$C$81,3,FALSE)</f>
        <v>245</v>
      </c>
      <c r="D16" s="24" t="str">
        <f>VLOOKUP(G16,[1]NUTS_Europa!$A$2:$C$81,2,FALSE)</f>
        <v>ES12</v>
      </c>
      <c r="E16" s="24">
        <f>VLOOKUP(G16,[1]NUTS_Europa!$A$2:$C$81,3,FALSE)</f>
        <v>285</v>
      </c>
      <c r="F16" s="16">
        <v>8</v>
      </c>
      <c r="G16" s="16">
        <v>12</v>
      </c>
      <c r="H16" s="16">
        <v>55750.425007186932</v>
      </c>
      <c r="I16" s="16">
        <v>7769829.2059486816</v>
      </c>
      <c r="K16" s="16">
        <v>117061.71481038857</v>
      </c>
      <c r="L16" s="16">
        <v>51.586666666666666</v>
      </c>
      <c r="M16" s="16">
        <v>11.778682523965301</v>
      </c>
      <c r="N16" s="16">
        <v>8.6798247044985843E-2</v>
      </c>
      <c r="O16" s="16">
        <v>15.60948133635801</v>
      </c>
      <c r="Q16" s="16" t="str">
        <f>B16</f>
        <v>DE94</v>
      </c>
      <c r="R16" s="16">
        <f>COUNTIF(B4:D83,"DE94")</f>
        <v>4</v>
      </c>
      <c r="S16" s="16">
        <f>C16</f>
        <v>245</v>
      </c>
    </row>
    <row r="17" spans="2:20" s="16" customFormat="1" x14ac:dyDescent="0.25">
      <c r="B17" s="24" t="str">
        <f>VLOOKUP(F17,[1]NUTS_Europa!$A$2:$C$81,2,FALSE)</f>
        <v>DE94</v>
      </c>
      <c r="C17" s="24">
        <f>VLOOKUP(F17,[1]NUTS_Europa!$A$2:$C$81,3,FALSE)</f>
        <v>245</v>
      </c>
      <c r="D17" s="24" t="str">
        <f>VLOOKUP(G17,[1]NUTS_Europa!$A$2:$C$81,2,FALSE)</f>
        <v>FRD1</v>
      </c>
      <c r="E17" s="24">
        <f>VLOOKUP(G17,[1]NUTS_Europa!$A$2:$C$81,3,FALSE)</f>
        <v>268</v>
      </c>
      <c r="F17" s="16">
        <v>8</v>
      </c>
      <c r="G17" s="16">
        <v>19</v>
      </c>
      <c r="H17" s="16">
        <v>414224.72481038503</v>
      </c>
      <c r="I17" s="16">
        <v>10070512.552313497</v>
      </c>
      <c r="K17" s="16">
        <v>113696.3812050019</v>
      </c>
      <c r="L17" s="16">
        <v>29.894358974358976</v>
      </c>
      <c r="M17" s="16">
        <v>16.385260449422606</v>
      </c>
      <c r="N17" s="16">
        <v>0.66574348672780248</v>
      </c>
      <c r="O17" s="16">
        <v>103.75670840787119</v>
      </c>
      <c r="S17" s="16">
        <f>C62</f>
        <v>1069</v>
      </c>
    </row>
    <row r="18" spans="2:20" s="17" customFormat="1" x14ac:dyDescent="0.25">
      <c r="B18" s="24" t="str">
        <f>VLOOKUP(F18,[1]NUTS_Europa!$A$2:$C$81,2,FALSE)</f>
        <v>DEA1</v>
      </c>
      <c r="C18" s="24">
        <f>VLOOKUP(F18,[1]NUTS_Europa!$A$2:$C$81,3,FALSE)</f>
        <v>253</v>
      </c>
      <c r="D18" s="24" t="str">
        <f>VLOOKUP(G18,[1]NUTS_Europa!$A$2:$C$81,2,FALSE)</f>
        <v>ES11</v>
      </c>
      <c r="E18" s="24">
        <f>VLOOKUP(G18,[1]NUTS_Europa!$A$2:$C$81,3,FALSE)</f>
        <v>288</v>
      </c>
      <c r="F18" s="17">
        <v>9</v>
      </c>
      <c r="G18" s="17">
        <v>11</v>
      </c>
      <c r="H18" s="17">
        <v>589052.64568621514</v>
      </c>
      <c r="I18" s="17">
        <v>1338823.6403692504</v>
      </c>
      <c r="K18" s="17">
        <v>142392.8717171422</v>
      </c>
      <c r="L18" s="17">
        <v>45.494871794871791</v>
      </c>
      <c r="M18" s="17">
        <v>10.844207812336943</v>
      </c>
      <c r="N18" s="17">
        <v>5.8415730839199274</v>
      </c>
      <c r="O18" s="17">
        <v>1050.5272759847392</v>
      </c>
      <c r="Q18" s="17" t="str">
        <f>B18</f>
        <v>DEA1</v>
      </c>
      <c r="R18" s="17">
        <f>COUNTIF(B4:D83,"DEA1")</f>
        <v>4</v>
      </c>
      <c r="S18" s="17">
        <f>C18</f>
        <v>253</v>
      </c>
    </row>
    <row r="19" spans="2:20" s="17" customFormat="1" x14ac:dyDescent="0.25">
      <c r="B19" s="24" t="str">
        <f>VLOOKUP(F19,[1]NUTS_Europa!$A$2:$C$81,2,FALSE)</f>
        <v>DEA1</v>
      </c>
      <c r="C19" s="24">
        <f>VLOOKUP(F19,[1]NUTS_Europa!$A$2:$C$81,3,FALSE)</f>
        <v>253</v>
      </c>
      <c r="D19" s="24" t="str">
        <f>VLOOKUP(G19,[1]NUTS_Europa!$A$2:$C$81,2,FALSE)</f>
        <v>FRH0</v>
      </c>
      <c r="E19" s="24">
        <f>VLOOKUP(G19,[1]NUTS_Europa!$A$2:$C$81,3,FALSE)</f>
        <v>283</v>
      </c>
      <c r="F19" s="17">
        <v>9</v>
      </c>
      <c r="G19" s="17">
        <v>23</v>
      </c>
      <c r="H19" s="17">
        <v>1611632.731946907</v>
      </c>
      <c r="I19" s="17">
        <v>1127331.7491310635</v>
      </c>
      <c r="K19" s="17">
        <v>144185.26102544673</v>
      </c>
      <c r="L19" s="17">
        <v>35.415384615384617</v>
      </c>
      <c r="M19" s="17">
        <v>13.585184785127449</v>
      </c>
      <c r="N19" s="17">
        <v>13.023217637488681</v>
      </c>
      <c r="O19" s="17">
        <v>2266.66818622449</v>
      </c>
      <c r="Q19" s="17" t="str">
        <f>D19</f>
        <v>FRH0</v>
      </c>
      <c r="R19" s="17">
        <f>COUNTIF(B4:D83,"FRH0")</f>
        <v>4</v>
      </c>
      <c r="S19" s="17">
        <f>C63</f>
        <v>245</v>
      </c>
    </row>
    <row r="20" spans="2:20" s="17" customFormat="1" x14ac:dyDescent="0.25">
      <c r="B20" s="24" t="str">
        <f>VLOOKUP(F20,[1]NUTS_Europa!$A$2:$C$81,2,FALSE)</f>
        <v>DEF0</v>
      </c>
      <c r="C20" s="24">
        <f>VLOOKUP(F20,[1]NUTS_Europa!$A$2:$C$81,3,FALSE)</f>
        <v>1069</v>
      </c>
      <c r="D20" s="24" t="str">
        <f>VLOOKUP(G20,[1]NUTS_Europa!$A$2:$C$81,2,FALSE)</f>
        <v>ES13</v>
      </c>
      <c r="E20" s="24">
        <f>VLOOKUP(G20,[1]NUTS_Europa!$A$2:$C$81,3,FALSE)</f>
        <v>163</v>
      </c>
      <c r="F20" s="17">
        <v>10</v>
      </c>
      <c r="G20" s="17">
        <v>13</v>
      </c>
      <c r="H20" s="17">
        <v>1181210.4955763307</v>
      </c>
      <c r="I20" s="17">
        <v>1423840.7584946458</v>
      </c>
      <c r="K20" s="17">
        <v>163171.48832599766</v>
      </c>
      <c r="L20" s="17">
        <v>53.746153846153845</v>
      </c>
      <c r="M20" s="17">
        <v>11.446354476888754</v>
      </c>
      <c r="N20" s="17">
        <v>18.762962363580304</v>
      </c>
      <c r="O20" s="17">
        <v>3374.2629695885503</v>
      </c>
      <c r="Q20" s="17" t="str">
        <f>B20</f>
        <v>DEF0</v>
      </c>
      <c r="R20" s="17">
        <f>COUNTIF(B4:D83,"DEF0")</f>
        <v>4</v>
      </c>
      <c r="S20" s="17">
        <f>C20</f>
        <v>1069</v>
      </c>
    </row>
    <row r="21" spans="2:20" s="17" customFormat="1" x14ac:dyDescent="0.25">
      <c r="B21" s="24" t="str">
        <f>VLOOKUP(F21,[1]NUTS_Europa!$A$2:$C$81,2,FALSE)</f>
        <v>DEF0</v>
      </c>
      <c r="C21" s="24">
        <f>VLOOKUP(F21,[1]NUTS_Europa!$A$2:$C$81,3,FALSE)</f>
        <v>1069</v>
      </c>
      <c r="D21" s="24" t="str">
        <f>VLOOKUP(G21,[1]NUTS_Europa!$A$2:$C$81,2,FALSE)</f>
        <v>ES21</v>
      </c>
      <c r="E21" s="24">
        <f>VLOOKUP(G21,[1]NUTS_Europa!$A$2:$C$81,3,FALSE)</f>
        <v>163</v>
      </c>
      <c r="F21" s="17">
        <v>10</v>
      </c>
      <c r="G21" s="17">
        <v>14</v>
      </c>
      <c r="H21" s="17">
        <v>982728.24947400531</v>
      </c>
      <c r="I21" s="17">
        <v>1423840.7584946458</v>
      </c>
      <c r="K21" s="17">
        <v>199058.85825050285</v>
      </c>
      <c r="L21" s="17">
        <v>53.746153846153845</v>
      </c>
      <c r="M21" s="17">
        <v>11.446354476888754</v>
      </c>
      <c r="N21" s="17">
        <v>18.762962363580304</v>
      </c>
      <c r="O21" s="17">
        <v>3374.2629695885503</v>
      </c>
      <c r="S21" s="17">
        <f>C65</f>
        <v>245</v>
      </c>
    </row>
    <row r="22" spans="2:20" s="17" customFormat="1" x14ac:dyDescent="0.25">
      <c r="B22" s="24" t="str">
        <f>VLOOKUP(F22,[1]NUTS_Europa!$A$2:$C$81,2,FALSE)</f>
        <v>ES51</v>
      </c>
      <c r="C22" s="24">
        <f>VLOOKUP(F22,[1]NUTS_Europa!$A$2:$C$81,3,FALSE)</f>
        <v>1063</v>
      </c>
      <c r="D22" s="24" t="str">
        <f>VLOOKUP(G22,[1]NUTS_Europa!$A$2:$C$81,2,FALSE)</f>
        <v>ES52</v>
      </c>
      <c r="E22" s="24">
        <f>VLOOKUP(G22,[1]NUTS_Europa!$A$2:$C$81,3,FALSE)</f>
        <v>1064</v>
      </c>
      <c r="F22" s="17">
        <v>15</v>
      </c>
      <c r="G22" s="17">
        <v>16</v>
      </c>
      <c r="H22" s="17">
        <v>3223049.8550334461</v>
      </c>
      <c r="I22" s="17">
        <v>4547705.6875182111</v>
      </c>
      <c r="K22" s="17">
        <v>135416.16142478216</v>
      </c>
      <c r="L22" s="17">
        <v>8.3076923076923084</v>
      </c>
      <c r="M22" s="17">
        <v>7.4124529119460512</v>
      </c>
      <c r="N22" s="17">
        <v>58.678476884415012</v>
      </c>
      <c r="O22" s="17">
        <v>12471.961814678283</v>
      </c>
      <c r="Q22" s="17" t="str">
        <f>B22</f>
        <v>ES51</v>
      </c>
      <c r="R22" s="17">
        <f>COUNTIF(B4:D83,"ES51")</f>
        <v>4</v>
      </c>
      <c r="S22" s="17">
        <f>C22</f>
        <v>1063</v>
      </c>
      <c r="T22" s="17">
        <f>COUNTIF(B4:E83,1063)</f>
        <v>8</v>
      </c>
    </row>
    <row r="23" spans="2:20" s="17" customFormat="1" x14ac:dyDescent="0.25">
      <c r="B23" s="24" t="str">
        <f>VLOOKUP(F23,[1]NUTS_Europa!$A$2:$C$81,2,FALSE)</f>
        <v>ES51</v>
      </c>
      <c r="C23" s="24">
        <f>VLOOKUP(F23,[1]NUTS_Europa!$A$2:$C$81,3,FALSE)</f>
        <v>1063</v>
      </c>
      <c r="D23" s="24" t="str">
        <f>VLOOKUP(G23,[1]NUTS_Europa!$A$2:$C$81,2,FALSE)</f>
        <v>PT18</v>
      </c>
      <c r="E23" s="24">
        <f>VLOOKUP(G23,[1]NUTS_Europa!$A$2:$C$81,3,FALSE)</f>
        <v>1065</v>
      </c>
      <c r="F23" s="17">
        <v>15</v>
      </c>
      <c r="G23" s="17">
        <v>40</v>
      </c>
      <c r="H23" s="17">
        <v>2518745.690610386</v>
      </c>
      <c r="I23" s="17">
        <v>5118491.5648937952</v>
      </c>
      <c r="K23" s="17">
        <v>192445.71807502842</v>
      </c>
      <c r="L23" s="17">
        <v>40.974358974358971</v>
      </c>
      <c r="M23" s="17">
        <v>9.3459831006848919</v>
      </c>
      <c r="N23" s="17">
        <v>33.325703883607865</v>
      </c>
      <c r="O23" s="17">
        <v>7083.2940517927127</v>
      </c>
      <c r="S23" s="17">
        <f>C69</f>
        <v>1064</v>
      </c>
      <c r="T23" s="17">
        <f>COUNTIF(B4:E83,1064)</f>
        <v>8</v>
      </c>
    </row>
    <row r="24" spans="2:20" s="17" customFormat="1" x14ac:dyDescent="0.25">
      <c r="B24" s="24" t="str">
        <f>VLOOKUP(F24,[1]NUTS_Europa!$A$2:$C$81,2,FALSE)</f>
        <v>ES52</v>
      </c>
      <c r="C24" s="24">
        <f>VLOOKUP(F24,[1]NUTS_Europa!$A$2:$C$81,3,FALSE)</f>
        <v>1064</v>
      </c>
      <c r="D24" s="24" t="str">
        <f>VLOOKUP(G24,[1]NUTS_Europa!$A$2:$C$81,2,FALSE)</f>
        <v>PT15</v>
      </c>
      <c r="E24" s="24">
        <f>VLOOKUP(G24,[1]NUTS_Europa!$A$2:$C$81,3,FALSE)</f>
        <v>1065</v>
      </c>
      <c r="F24" s="17">
        <v>16</v>
      </c>
      <c r="G24" s="17">
        <v>37</v>
      </c>
      <c r="H24" s="17">
        <v>2653023.4805260082</v>
      </c>
      <c r="I24" s="17">
        <v>1008115.2248672158</v>
      </c>
      <c r="K24" s="17">
        <v>141512.315270936</v>
      </c>
      <c r="L24" s="17">
        <v>29.545128205128204</v>
      </c>
      <c r="M24" s="17">
        <v>9.2458104735527833</v>
      </c>
      <c r="N24" s="17">
        <v>33.325703883607865</v>
      </c>
      <c r="O24" s="17">
        <v>7083.2940517927127</v>
      </c>
      <c r="Q24" s="17" t="str">
        <f>B24</f>
        <v>ES52</v>
      </c>
      <c r="R24" s="17">
        <f>COUNTIF(B4:D83,"ES52")</f>
        <v>4</v>
      </c>
      <c r="S24" s="17">
        <f>C24</f>
        <v>1064</v>
      </c>
    </row>
    <row r="25" spans="2:20" s="17" customFormat="1" x14ac:dyDescent="0.25">
      <c r="B25" s="24" t="str">
        <f>VLOOKUP(F25,[1]NUTS_Europa!$A$2:$C$81,2,FALSE)</f>
        <v>ES61</v>
      </c>
      <c r="C25" s="24">
        <f>VLOOKUP(F25,[1]NUTS_Europa!$A$2:$C$81,3,FALSE)</f>
        <v>61</v>
      </c>
      <c r="D25" s="24" t="str">
        <f>VLOOKUP(G25,[1]NUTS_Europa!$A$2:$C$81,2,FALSE)</f>
        <v>FRG0</v>
      </c>
      <c r="E25" s="24">
        <f>VLOOKUP(G25,[1]NUTS_Europa!$A$2:$C$81,3,FALSE)</f>
        <v>282</v>
      </c>
      <c r="F25" s="17">
        <v>17</v>
      </c>
      <c r="G25" s="17">
        <v>22</v>
      </c>
      <c r="H25" s="17">
        <v>535749.70551870822</v>
      </c>
      <c r="I25" s="17">
        <v>1388015.5155974196</v>
      </c>
      <c r="K25" s="17">
        <v>115262.59218235347</v>
      </c>
      <c r="L25" s="17">
        <v>53.940307692307691</v>
      </c>
      <c r="M25" s="17">
        <v>13.759148437364484</v>
      </c>
      <c r="N25" s="17">
        <v>4.2745881441341789</v>
      </c>
      <c r="O25" s="17">
        <v>816.51860465116272</v>
      </c>
      <c r="Q25" s="17" t="str">
        <f>D25</f>
        <v>FRG0</v>
      </c>
      <c r="R25" s="17">
        <f>COUNTIF(B4:D83,"FRG0")</f>
        <v>4</v>
      </c>
      <c r="S25" s="17">
        <f>C71</f>
        <v>1063</v>
      </c>
    </row>
    <row r="26" spans="2:20" s="17" customFormat="1" x14ac:dyDescent="0.25">
      <c r="B26" s="24" t="str">
        <f>VLOOKUP(F26,[1]NUTS_Europa!$A$2:$C$81,2,FALSE)</f>
        <v>ES61</v>
      </c>
      <c r="C26" s="24">
        <f>VLOOKUP(F26,[1]NUTS_Europa!$A$2:$C$81,3,FALSE)</f>
        <v>61</v>
      </c>
      <c r="D26" s="24" t="str">
        <f>VLOOKUP(G26,[1]NUTS_Europa!$A$2:$C$81,2,FALSE)</f>
        <v>PT11</v>
      </c>
      <c r="E26" s="24">
        <f>VLOOKUP(G26,[1]NUTS_Europa!$A$2:$C$81,3,FALSE)</f>
        <v>111</v>
      </c>
      <c r="F26" s="17">
        <v>17</v>
      </c>
      <c r="G26" s="17">
        <v>36</v>
      </c>
      <c r="H26" s="17">
        <v>1655177.2344208334</v>
      </c>
      <c r="I26" s="17">
        <v>749883.79721956258</v>
      </c>
      <c r="K26" s="17">
        <v>507158.32774652442</v>
      </c>
      <c r="L26" s="17">
        <v>16.419999999999998</v>
      </c>
      <c r="M26" s="17">
        <v>8.2081945005222394</v>
      </c>
      <c r="N26" s="17">
        <v>12.372856606107471</v>
      </c>
      <c r="O26" s="17">
        <v>2825.2662764782135</v>
      </c>
      <c r="Q26" s="17" t="str">
        <f>B25</f>
        <v>ES61</v>
      </c>
      <c r="R26" s="17">
        <f>COUNTIF(B4:D83,"ES61")</f>
        <v>4</v>
      </c>
      <c r="S26" s="17">
        <f>C25</f>
        <v>61</v>
      </c>
      <c r="T26" s="17">
        <f>COUNTIF(B4:E83,61)</f>
        <v>6</v>
      </c>
    </row>
    <row r="27" spans="2:20" s="17" customFormat="1" x14ac:dyDescent="0.25">
      <c r="B27" s="24" t="str">
        <f>VLOOKUP(F27,[1]NUTS_Europa!$A$2:$C$81,2,FALSE)</f>
        <v>ES62</v>
      </c>
      <c r="C27" s="24">
        <f>VLOOKUP(F27,[1]NUTS_Europa!$A$2:$C$81,3,FALSE)</f>
        <v>1064</v>
      </c>
      <c r="D27" s="24" t="str">
        <f>VLOOKUP(G27,[1]NUTS_Europa!$A$2:$C$81,2,FALSE)</f>
        <v>FRG0</v>
      </c>
      <c r="E27" s="24">
        <f>VLOOKUP(G27,[1]NUTS_Europa!$A$2:$C$81,3,FALSE)</f>
        <v>282</v>
      </c>
      <c r="F27" s="17">
        <v>18</v>
      </c>
      <c r="G27" s="17">
        <v>22</v>
      </c>
      <c r="H27" s="17">
        <v>513627.74161135673</v>
      </c>
      <c r="I27" s="17">
        <v>1562667.3304624369</v>
      </c>
      <c r="K27" s="17">
        <v>135416.16142478216</v>
      </c>
      <c r="L27" s="17">
        <v>64.462512820512828</v>
      </c>
      <c r="M27" s="17">
        <v>12.757492780623522</v>
      </c>
      <c r="N27" s="17">
        <v>4.540341990624694</v>
      </c>
      <c r="O27" s="17">
        <v>816.51860465116272</v>
      </c>
      <c r="Q27" s="17" t="str">
        <f>B27</f>
        <v>ES62</v>
      </c>
      <c r="R27" s="17">
        <f>COUNTIF(B4:D83,"ES62")</f>
        <v>4</v>
      </c>
      <c r="S27" s="17">
        <f>C27</f>
        <v>1064</v>
      </c>
    </row>
    <row r="28" spans="2:20" s="17" customFormat="1" x14ac:dyDescent="0.25">
      <c r="B28" s="24" t="str">
        <f>VLOOKUP(F28,[1]NUTS_Europa!$A$2:$C$81,2,FALSE)</f>
        <v>ES62</v>
      </c>
      <c r="C28" s="24">
        <f>VLOOKUP(F28,[1]NUTS_Europa!$A$2:$C$81,3,FALSE)</f>
        <v>1064</v>
      </c>
      <c r="D28" s="24" t="str">
        <f>VLOOKUP(G28,[1]NUTS_Europa!$A$2:$C$81,2,FALSE)</f>
        <v>PT17</v>
      </c>
      <c r="E28" s="24">
        <f>VLOOKUP(G28,[1]NUTS_Europa!$A$2:$C$81,3,FALSE)</f>
        <v>294</v>
      </c>
      <c r="F28" s="17">
        <v>18</v>
      </c>
      <c r="G28" s="17">
        <v>39</v>
      </c>
      <c r="H28" s="17">
        <v>1124742.302171458</v>
      </c>
      <c r="I28" s="17">
        <v>996568.84564869152</v>
      </c>
      <c r="K28" s="17">
        <v>191087.21980936834</v>
      </c>
      <c r="L28" s="17">
        <v>31.760512820512822</v>
      </c>
      <c r="M28" s="17">
        <v>6.8675133646886897</v>
      </c>
      <c r="N28" s="17">
        <v>13.292401336695443</v>
      </c>
      <c r="O28" s="17">
        <v>2825.2662764782135</v>
      </c>
    </row>
    <row r="29" spans="2:20" s="17" customFormat="1" x14ac:dyDescent="0.25">
      <c r="B29" s="24" t="str">
        <f>VLOOKUP(F29,[1]NUTS_Europa!$A$2:$C$81,2,FALSE)</f>
        <v>FRD2</v>
      </c>
      <c r="C29" s="24">
        <f>VLOOKUP(F29,[1]NUTS_Europa!$A$2:$C$81,3,FALSE)</f>
        <v>269</v>
      </c>
      <c r="D29" s="24" t="str">
        <f>VLOOKUP(G29,[1]NUTS_Europa!$A$2:$C$81,2,FALSE)</f>
        <v>FRH0</v>
      </c>
      <c r="E29" s="24">
        <f>VLOOKUP(G29,[1]NUTS_Europa!$A$2:$C$81,3,FALSE)</f>
        <v>283</v>
      </c>
      <c r="F29" s="17">
        <v>20</v>
      </c>
      <c r="G29" s="17">
        <v>23</v>
      </c>
      <c r="H29" s="17">
        <v>1090639.6783531783</v>
      </c>
      <c r="I29" s="17">
        <v>997977.48864301026</v>
      </c>
      <c r="K29" s="17">
        <v>159445.52860932166</v>
      </c>
      <c r="L29" s="17">
        <v>23.743589743589745</v>
      </c>
      <c r="M29" s="17">
        <v>13.502994331194085</v>
      </c>
      <c r="N29" s="17">
        <v>13.023217637488681</v>
      </c>
      <c r="O29" s="17">
        <v>2266.66818622449</v>
      </c>
      <c r="Q29" s="17" t="str">
        <f>B29</f>
        <v>FRD2</v>
      </c>
      <c r="R29" s="17">
        <f>COUNTIF(B4:D83,"FRD2")</f>
        <v>4</v>
      </c>
      <c r="S29" s="17">
        <f>C29</f>
        <v>269</v>
      </c>
      <c r="T29" s="17">
        <f>COUNTIF(B4:E83,269)</f>
        <v>8</v>
      </c>
    </row>
    <row r="30" spans="2:20" s="17" customFormat="1" x14ac:dyDescent="0.25">
      <c r="B30" s="24" t="str">
        <f>VLOOKUP(F30,[1]NUTS_Europa!$A$2:$C$81,2,FALSE)</f>
        <v>FRD2</v>
      </c>
      <c r="C30" s="24">
        <f>VLOOKUP(F30,[1]NUTS_Europa!$A$2:$C$81,3,FALSE)</f>
        <v>269</v>
      </c>
      <c r="D30" s="24" t="str">
        <f>VLOOKUP(G30,[1]NUTS_Europa!$A$2:$C$81,2,FALSE)</f>
        <v>FRI3</v>
      </c>
      <c r="E30" s="24">
        <f>VLOOKUP(G30,[1]NUTS_Europa!$A$2:$C$81,3,FALSE)</f>
        <v>283</v>
      </c>
      <c r="F30" s="17">
        <v>20</v>
      </c>
      <c r="G30" s="17">
        <v>25</v>
      </c>
      <c r="H30" s="17">
        <v>541542.71024257515</v>
      </c>
      <c r="I30" s="17">
        <v>997977.48864301026</v>
      </c>
      <c r="K30" s="17">
        <v>141512.315270936</v>
      </c>
      <c r="L30" s="17">
        <v>23.743589743589745</v>
      </c>
      <c r="M30" s="17">
        <v>13.502994331194085</v>
      </c>
      <c r="N30" s="17">
        <v>13.023217637488681</v>
      </c>
      <c r="O30" s="17">
        <v>2266.66818622449</v>
      </c>
    </row>
    <row r="31" spans="2:20" s="17" customFormat="1" x14ac:dyDescent="0.25">
      <c r="B31" s="24" t="str">
        <f>VLOOKUP(F31,[1]NUTS_Europa!$A$2:$C$81,2,FALSE)</f>
        <v>FRE1</v>
      </c>
      <c r="C31" s="24">
        <f>VLOOKUP(F31,[1]NUTS_Europa!$A$2:$C$81,3,FALSE)</f>
        <v>220</v>
      </c>
      <c r="D31" s="24" t="str">
        <f>VLOOKUP(G31,[1]NUTS_Europa!$A$2:$C$81,2,FALSE)</f>
        <v>FRI1</v>
      </c>
      <c r="E31" s="24">
        <f>VLOOKUP(G31,[1]NUTS_Europa!$A$2:$C$81,3,FALSE)</f>
        <v>283</v>
      </c>
      <c r="F31" s="17">
        <v>21</v>
      </c>
      <c r="G31" s="17">
        <v>24</v>
      </c>
      <c r="H31" s="17">
        <v>1033951.4005746094</v>
      </c>
      <c r="I31" s="17">
        <v>992575.54635168822</v>
      </c>
      <c r="K31" s="17">
        <v>123840.01515725654</v>
      </c>
      <c r="L31" s="17">
        <v>30.871282051282051</v>
      </c>
      <c r="M31" s="17">
        <v>11.585540436926552</v>
      </c>
      <c r="N31" s="17">
        <v>11.739386235251612</v>
      </c>
      <c r="O31" s="17">
        <v>2266.66818622449</v>
      </c>
      <c r="Q31" s="17" t="str">
        <f>B31</f>
        <v>FRE1</v>
      </c>
      <c r="R31" s="17">
        <f>COUNTIF(B4:D83,"FRE1")</f>
        <v>4</v>
      </c>
      <c r="S31" s="17">
        <f>C31</f>
        <v>220</v>
      </c>
    </row>
    <row r="32" spans="2:20" s="17" customFormat="1" x14ac:dyDescent="0.25">
      <c r="B32" s="24" t="str">
        <f>VLOOKUP(F32,[1]NUTS_Europa!$A$2:$C$81,2,FALSE)</f>
        <v>FRE1</v>
      </c>
      <c r="C32" s="24">
        <f>VLOOKUP(F32,[1]NUTS_Europa!$A$2:$C$81,3,FALSE)</f>
        <v>220</v>
      </c>
      <c r="D32" s="24" t="str">
        <f>VLOOKUP(G32,[1]NUTS_Europa!$A$2:$C$81,2,FALSE)</f>
        <v>FRI3</v>
      </c>
      <c r="E32" s="24">
        <f>VLOOKUP(G32,[1]NUTS_Europa!$A$2:$C$81,3,FALSE)</f>
        <v>283</v>
      </c>
      <c r="F32" s="17">
        <v>21</v>
      </c>
      <c r="G32" s="17">
        <v>25</v>
      </c>
      <c r="H32" s="17">
        <v>675327.09348882234</v>
      </c>
      <c r="I32" s="17">
        <v>992575.54635168822</v>
      </c>
      <c r="K32" s="17">
        <v>117061.71481038857</v>
      </c>
      <c r="L32" s="17">
        <v>30.871282051282051</v>
      </c>
      <c r="M32" s="17">
        <v>11.585540436926552</v>
      </c>
      <c r="N32" s="17">
        <v>11.739386235251612</v>
      </c>
      <c r="O32" s="17">
        <v>2266.66818622449</v>
      </c>
      <c r="Q32" s="17" t="str">
        <f>D32</f>
        <v>FRI3</v>
      </c>
      <c r="R32" s="17">
        <f>COUNTIF(B4:D83,"FRI3")</f>
        <v>4</v>
      </c>
    </row>
    <row r="33" spans="2:19" s="17" customFormat="1" x14ac:dyDescent="0.25">
      <c r="B33" s="24" t="str">
        <f>VLOOKUP(F33,[1]NUTS_Europa!$A$2:$C$81,2,FALSE)</f>
        <v>FRJ1</v>
      </c>
      <c r="C33" s="24">
        <f>VLOOKUP(F33,[1]NUTS_Europa!$A$2:$C$81,3,FALSE)</f>
        <v>1063</v>
      </c>
      <c r="D33" s="24" t="str">
        <f>VLOOKUP(G33,[1]NUTS_Europa!$A$2:$C$81,2,FALSE)</f>
        <v>FRJ2</v>
      </c>
      <c r="E33" s="24">
        <f>VLOOKUP(G33,[1]NUTS_Europa!$A$2:$C$81,3,FALSE)</f>
        <v>283</v>
      </c>
      <c r="F33" s="17">
        <v>26</v>
      </c>
      <c r="G33" s="17">
        <v>28</v>
      </c>
      <c r="H33" s="17">
        <v>2313210.4261628664</v>
      </c>
      <c r="I33" s="17">
        <v>5686200.3027620232</v>
      </c>
      <c r="K33" s="17">
        <v>142841.86171918266</v>
      </c>
      <c r="L33" s="17">
        <v>79.166000000000011</v>
      </c>
      <c r="M33" s="17">
        <v>10.621391745830747</v>
      </c>
      <c r="N33" s="17">
        <v>11.083450075239885</v>
      </c>
      <c r="O33" s="17">
        <v>2266.66818622449</v>
      </c>
      <c r="Q33" s="17" t="str">
        <f>B33</f>
        <v>FRJ1</v>
      </c>
      <c r="R33" s="17">
        <f>COUNTIF(B4:D83,"FRJ1")</f>
        <v>4</v>
      </c>
      <c r="S33" s="17">
        <f>C33</f>
        <v>1063</v>
      </c>
    </row>
    <row r="34" spans="2:19" s="17" customFormat="1" x14ac:dyDescent="0.25">
      <c r="B34" s="24" t="str">
        <f>VLOOKUP(F34,[1]NUTS_Europa!$A$2:$C$81,2,FALSE)</f>
        <v>FRJ1</v>
      </c>
      <c r="C34" s="24">
        <f>VLOOKUP(F34,[1]NUTS_Europa!$A$2:$C$81,3,FALSE)</f>
        <v>1063</v>
      </c>
      <c r="D34" s="24" t="str">
        <f>VLOOKUP(G34,[1]NUTS_Europa!$A$2:$C$81,2,FALSE)</f>
        <v>PT17</v>
      </c>
      <c r="E34" s="24">
        <f>VLOOKUP(G34,[1]NUTS_Europa!$A$2:$C$81,3,FALSE)</f>
        <v>294</v>
      </c>
      <c r="F34" s="17">
        <v>26</v>
      </c>
      <c r="G34" s="17">
        <v>39</v>
      </c>
      <c r="H34" s="17">
        <v>1491107.6623920791</v>
      </c>
      <c r="I34" s="17">
        <v>5077684.4935706602</v>
      </c>
      <c r="K34" s="17">
        <v>137713.62258431225</v>
      </c>
      <c r="L34" s="17">
        <v>41.743589743589745</v>
      </c>
      <c r="M34" s="17">
        <v>6.9676859918207992</v>
      </c>
      <c r="N34" s="17">
        <v>13.292401336695443</v>
      </c>
      <c r="O34" s="17">
        <v>2825.2662764782135</v>
      </c>
      <c r="S34" s="17">
        <f>C74</f>
        <v>1064</v>
      </c>
    </row>
    <row r="35" spans="2:19" s="17" customFormat="1" x14ac:dyDescent="0.25">
      <c r="B35" s="24" t="str">
        <f>VLOOKUP(F35,[1]NUTS_Europa!$A$2:$C$81,2,FALSE)</f>
        <v>FRF2</v>
      </c>
      <c r="C35" s="24">
        <f>VLOOKUP(F35,[1]NUTS_Europa!$A$2:$C$81,3,FALSE)</f>
        <v>269</v>
      </c>
      <c r="D35" s="24" t="str">
        <f>VLOOKUP(G35,[1]NUTS_Europa!$A$2:$C$81,2,FALSE)</f>
        <v>FRJ2</v>
      </c>
      <c r="E35" s="24">
        <f>VLOOKUP(G35,[1]NUTS_Europa!$A$2:$C$81,3,FALSE)</f>
        <v>283</v>
      </c>
      <c r="F35" s="17">
        <v>27</v>
      </c>
      <c r="G35" s="17">
        <v>28</v>
      </c>
      <c r="H35" s="17">
        <v>1882886.9028032741</v>
      </c>
      <c r="I35" s="17">
        <v>997977.48864301026</v>
      </c>
      <c r="K35" s="17">
        <v>176841.96373917855</v>
      </c>
      <c r="L35" s="17">
        <v>23.743589743589745</v>
      </c>
      <c r="M35" s="17">
        <v>13.502994331194085</v>
      </c>
      <c r="N35" s="17">
        <v>13.023217637488681</v>
      </c>
      <c r="O35" s="17">
        <v>2266.66818622449</v>
      </c>
      <c r="Q35" s="17" t="str">
        <f>B35</f>
        <v>FRF2</v>
      </c>
      <c r="R35" s="17">
        <f>COUNTIF(B4:D83,"FRF2")</f>
        <v>4</v>
      </c>
      <c r="S35" s="17">
        <f>C35</f>
        <v>269</v>
      </c>
    </row>
    <row r="36" spans="2:19" s="17" customFormat="1" x14ac:dyDescent="0.25">
      <c r="B36" s="24" t="str">
        <f>VLOOKUP(F36,[1]NUTS_Europa!$A$2:$C$81,2,FALSE)</f>
        <v>FRF2</v>
      </c>
      <c r="C36" s="24">
        <f>VLOOKUP(F36,[1]NUTS_Europa!$A$2:$C$81,3,FALSE)</f>
        <v>269</v>
      </c>
      <c r="D36" s="24" t="str">
        <f>VLOOKUP(G36,[1]NUTS_Europa!$A$2:$C$81,2,FALSE)</f>
        <v>NL12</v>
      </c>
      <c r="E36" s="24">
        <f>VLOOKUP(G36,[1]NUTS_Europa!$A$2:$C$81,3,FALSE)</f>
        <v>218</v>
      </c>
      <c r="F36" s="17">
        <v>27</v>
      </c>
      <c r="G36" s="17">
        <v>31</v>
      </c>
      <c r="H36" s="17">
        <v>2289698.258242155</v>
      </c>
      <c r="I36" s="17">
        <v>919598.95257442398</v>
      </c>
      <c r="K36" s="17">
        <v>145035.59769143321</v>
      </c>
      <c r="L36" s="17">
        <v>14.102564102564102</v>
      </c>
      <c r="M36" s="17">
        <v>8.5074901961721636</v>
      </c>
      <c r="N36" s="17">
        <v>25.259777726489432</v>
      </c>
      <c r="O36" s="17">
        <v>4803.0739774448748</v>
      </c>
      <c r="Q36" s="17" t="str">
        <f>D35</f>
        <v>FRJ2</v>
      </c>
      <c r="R36" s="17">
        <f>COUNTIF(B4:D83,"FRJ2")</f>
        <v>4</v>
      </c>
    </row>
    <row r="37" spans="2:19" s="17" customFormat="1" x14ac:dyDescent="0.25">
      <c r="B37" s="24" t="str">
        <f>VLOOKUP(F37,[1]NUTS_Europa!$A$2:$C$81,2,FALSE)</f>
        <v>FRI2</v>
      </c>
      <c r="C37" s="24">
        <f>VLOOKUP(F37,[1]NUTS_Europa!$A$2:$C$81,3,FALSE)</f>
        <v>269</v>
      </c>
      <c r="D37" s="24" t="str">
        <f>VLOOKUP(G37,[1]NUTS_Europa!$A$2:$C$81,2,FALSE)</f>
        <v>FRG0</v>
      </c>
      <c r="E37" s="24">
        <f>VLOOKUP(G37,[1]NUTS_Europa!$A$2:$C$81,3,FALSE)</f>
        <v>283</v>
      </c>
      <c r="F37" s="17">
        <v>29</v>
      </c>
      <c r="G37" s="17">
        <v>62</v>
      </c>
      <c r="H37" s="17">
        <v>1365039.3556420547</v>
      </c>
      <c r="I37" s="17">
        <v>997977.48864301026</v>
      </c>
      <c r="K37" s="17">
        <v>118487.95435333898</v>
      </c>
      <c r="L37" s="17">
        <v>23.743589743589745</v>
      </c>
      <c r="M37" s="17">
        <v>13.502994331194085</v>
      </c>
      <c r="N37" s="17">
        <v>13.023217637488681</v>
      </c>
      <c r="O37" s="17">
        <v>2266.66818622449</v>
      </c>
      <c r="Q37" s="17" t="str">
        <f>B37</f>
        <v>FRI2</v>
      </c>
      <c r="R37" s="17">
        <f>COUNTIF(B4:D83,"FRI2")</f>
        <v>4</v>
      </c>
      <c r="S37" s="17">
        <f>C37</f>
        <v>269</v>
      </c>
    </row>
    <row r="38" spans="2:19" s="17" customFormat="1" x14ac:dyDescent="0.25">
      <c r="B38" s="24" t="str">
        <f>VLOOKUP(F38,[1]NUTS_Europa!$A$2:$C$81,2,FALSE)</f>
        <v>FRI2</v>
      </c>
      <c r="C38" s="24">
        <f>VLOOKUP(F38,[1]NUTS_Europa!$A$2:$C$81,3,FALSE)</f>
        <v>269</v>
      </c>
      <c r="D38" s="24" t="str">
        <f>VLOOKUP(G38,[1]NUTS_Europa!$A$2:$C$81,2,FALSE)</f>
        <v>FRH0</v>
      </c>
      <c r="E38" s="24">
        <f>VLOOKUP(G38,[1]NUTS_Europa!$A$2:$C$81,3,FALSE)</f>
        <v>282</v>
      </c>
      <c r="F38" s="17">
        <v>29</v>
      </c>
      <c r="G38" s="17">
        <v>63</v>
      </c>
      <c r="H38" s="17">
        <v>425318.53452334501</v>
      </c>
      <c r="I38" s="17">
        <v>987345.63275158964</v>
      </c>
      <c r="K38" s="17">
        <v>127001.21695280854</v>
      </c>
      <c r="L38" s="17">
        <v>20.410256410256409</v>
      </c>
      <c r="M38" s="17">
        <v>15.739267993118968</v>
      </c>
      <c r="N38" s="17">
        <v>5.2391016559787786</v>
      </c>
      <c r="O38" s="17">
        <v>816.51860465116272</v>
      </c>
    </row>
    <row r="39" spans="2:19" s="16" customFormat="1" x14ac:dyDescent="0.25">
      <c r="B39" s="24" t="str">
        <f>VLOOKUP(F39,[1]NUTS_Europa!$A$2:$C$81,2,FALSE)</f>
        <v>NL11</v>
      </c>
      <c r="C39" s="24">
        <f>VLOOKUP(F39,[1]NUTS_Europa!$A$2:$C$81,3,FALSE)</f>
        <v>245</v>
      </c>
      <c r="D39" s="24" t="str">
        <f>VLOOKUP(G39,[1]NUTS_Europa!$A$2:$C$81,2,FALSE)</f>
        <v>FRI1</v>
      </c>
      <c r="E39" s="24">
        <f>VLOOKUP(G39,[1]NUTS_Europa!$A$2:$C$81,3,FALSE)</f>
        <v>275</v>
      </c>
      <c r="F39" s="16">
        <v>30</v>
      </c>
      <c r="G39" s="16">
        <v>64</v>
      </c>
      <c r="H39" s="16">
        <v>880223.15365674009</v>
      </c>
      <c r="I39" s="16">
        <v>9434862.8927389514</v>
      </c>
      <c r="K39" s="16">
        <v>114346.85142443764</v>
      </c>
      <c r="L39" s="16">
        <v>61.025641025641029</v>
      </c>
      <c r="M39" s="16">
        <v>14.546161332214101</v>
      </c>
      <c r="N39" s="16">
        <v>1.331486973455605</v>
      </c>
      <c r="O39" s="16">
        <v>207.51341681574237</v>
      </c>
      <c r="Q39" s="16" t="str">
        <f>B39</f>
        <v>NL11</v>
      </c>
      <c r="R39" s="16">
        <f>COUNTIF(B4:D83,"NL11")</f>
        <v>4</v>
      </c>
      <c r="S39" s="16">
        <f>C39</f>
        <v>245</v>
      </c>
    </row>
    <row r="40" spans="2:19" s="16" customFormat="1" x14ac:dyDescent="0.25">
      <c r="B40" s="24" t="str">
        <f>VLOOKUP(F40,[1]NUTS_Europa!$A$2:$C$81,2,FALSE)</f>
        <v>NL11</v>
      </c>
      <c r="C40" s="24">
        <f>VLOOKUP(F40,[1]NUTS_Europa!$A$2:$C$81,3,FALSE)</f>
        <v>245</v>
      </c>
      <c r="D40" s="24" t="str">
        <f>VLOOKUP(G40,[1]NUTS_Europa!$A$2:$C$81,2,FALSE)</f>
        <v>FRI2</v>
      </c>
      <c r="E40" s="24">
        <f>VLOOKUP(G40,[1]NUTS_Europa!$A$2:$C$81,3,FALSE)</f>
        <v>275</v>
      </c>
      <c r="F40" s="16">
        <v>30</v>
      </c>
      <c r="G40" s="16">
        <v>69</v>
      </c>
      <c r="H40" s="16">
        <v>844257.75830790272</v>
      </c>
      <c r="I40" s="16">
        <v>9434862.8927389514</v>
      </c>
      <c r="K40" s="16">
        <v>145277.79316174539</v>
      </c>
      <c r="L40" s="16">
        <v>61.025641025641029</v>
      </c>
      <c r="M40" s="16">
        <v>14.546161332214101</v>
      </c>
      <c r="N40" s="16">
        <v>1.331486973455605</v>
      </c>
      <c r="O40" s="16">
        <v>207.51341681574237</v>
      </c>
    </row>
    <row r="41" spans="2:19" s="17" customFormat="1" x14ac:dyDescent="0.25">
      <c r="B41" s="24" t="str">
        <f>VLOOKUP(F41,[1]NUTS_Europa!$A$2:$C$81,2,FALSE)</f>
        <v>NL33</v>
      </c>
      <c r="C41" s="24">
        <f>VLOOKUP(F41,[1]NUTS_Europa!$A$2:$C$81,3,FALSE)</f>
        <v>250</v>
      </c>
      <c r="D41" s="24" t="str">
        <f>VLOOKUP(G41,[1]NUTS_Europa!$A$2:$C$81,2,FALSE)</f>
        <v>PT18</v>
      </c>
      <c r="E41" s="24">
        <f>VLOOKUP(G41,[1]NUTS_Europa!$A$2:$C$81,3,FALSE)</f>
        <v>1065</v>
      </c>
      <c r="F41" s="17">
        <v>33</v>
      </c>
      <c r="G41" s="17">
        <v>40</v>
      </c>
      <c r="H41" s="17">
        <v>2242426.5747880437</v>
      </c>
      <c r="I41" s="17">
        <v>1638091.3630412568</v>
      </c>
      <c r="K41" s="17">
        <v>137713.62258431225</v>
      </c>
      <c r="L41" s="17">
        <v>59.782564102564102</v>
      </c>
      <c r="M41" s="17">
        <v>10.937698334314543</v>
      </c>
      <c r="N41" s="17">
        <v>39.387439835539801</v>
      </c>
      <c r="O41" s="17">
        <v>7083.2940517927127</v>
      </c>
      <c r="Q41" s="17" t="str">
        <f>B41</f>
        <v>NL33</v>
      </c>
      <c r="R41" s="17">
        <f>COUNTIF(B4:D83,"NL33")</f>
        <v>4</v>
      </c>
      <c r="S41" s="17">
        <f>C41</f>
        <v>250</v>
      </c>
    </row>
    <row r="42" spans="2:19" s="17" customFormat="1" x14ac:dyDescent="0.25">
      <c r="B42" s="24" t="str">
        <f>VLOOKUP(F42,[1]NUTS_Europa!$A$2:$C$81,2,FALSE)</f>
        <v>NL33</v>
      </c>
      <c r="C42" s="24">
        <f>VLOOKUP(F42,[1]NUTS_Europa!$A$2:$C$81,3,FALSE)</f>
        <v>250</v>
      </c>
      <c r="D42" s="24" t="str">
        <f>VLOOKUP(G42,[1]NUTS_Europa!$A$2:$C$81,2,FALSE)</f>
        <v>NL11</v>
      </c>
      <c r="E42" s="24">
        <f>VLOOKUP(G42,[1]NUTS_Europa!$A$2:$C$81,3,FALSE)</f>
        <v>218</v>
      </c>
      <c r="F42" s="17">
        <v>33</v>
      </c>
      <c r="G42" s="17">
        <v>70</v>
      </c>
      <c r="H42" s="17">
        <v>1722454.4825205922</v>
      </c>
      <c r="I42" s="17">
        <v>753610.54965193151</v>
      </c>
      <c r="K42" s="17">
        <v>135416.16142478216</v>
      </c>
      <c r="L42" s="17">
        <v>3.4871794871794872</v>
      </c>
      <c r="M42" s="17">
        <v>7.2176028444384759</v>
      </c>
      <c r="N42" s="17">
        <v>25.259777726489432</v>
      </c>
      <c r="O42" s="17">
        <v>4803.0739774448748</v>
      </c>
      <c r="S42" s="17">
        <f>C80</f>
        <v>220</v>
      </c>
    </row>
    <row r="43" spans="2:19" s="17" customFormat="1" x14ac:dyDescent="0.25">
      <c r="B43" s="24" t="str">
        <f>VLOOKUP(F43,[1]NUTS_Europa!$A$2:$C$81,2,FALSE)</f>
        <v>NL34</v>
      </c>
      <c r="C43" s="24">
        <f>VLOOKUP(F43,[1]NUTS_Europa!$A$2:$C$81,3,FALSE)</f>
        <v>250</v>
      </c>
      <c r="D43" s="24" t="str">
        <f>VLOOKUP(G43,[1]NUTS_Europa!$A$2:$C$81,2,FALSE)</f>
        <v>PT11</v>
      </c>
      <c r="E43" s="24">
        <f>VLOOKUP(G43,[1]NUTS_Europa!$A$2:$C$81,3,FALSE)</f>
        <v>111</v>
      </c>
      <c r="F43" s="17">
        <v>34</v>
      </c>
      <c r="G43" s="17">
        <v>36</v>
      </c>
      <c r="H43" s="17">
        <v>1235100.4424132071</v>
      </c>
      <c r="I43" s="17">
        <v>1412146.7367878542</v>
      </c>
      <c r="K43" s="17">
        <v>176841.96373917855</v>
      </c>
      <c r="L43" s="17">
        <v>49.426666666666669</v>
      </c>
      <c r="M43" s="17">
        <v>8.8984267045430343</v>
      </c>
      <c r="N43" s="17">
        <v>15.710205544269522</v>
      </c>
      <c r="O43" s="17">
        <v>2825.2662764782135</v>
      </c>
      <c r="Q43" s="17" t="str">
        <f>B43</f>
        <v>NL34</v>
      </c>
      <c r="R43" s="17">
        <f>COUNTIF(B4:D83,"NL34")</f>
        <v>4</v>
      </c>
      <c r="S43" s="17">
        <f>C43</f>
        <v>250</v>
      </c>
    </row>
    <row r="44" spans="2:19" s="17" customFormat="1" x14ac:dyDescent="0.25">
      <c r="B44" s="24" t="str">
        <f>VLOOKUP(F44,[1]NUTS_Europa!$A$2:$C$81,2,FALSE)</f>
        <v>NL34</v>
      </c>
      <c r="C44" s="24">
        <f>VLOOKUP(F44,[1]NUTS_Europa!$A$2:$C$81,3,FALSE)</f>
        <v>250</v>
      </c>
      <c r="D44" s="24" t="str">
        <f>VLOOKUP(G44,[1]NUTS_Europa!$A$2:$C$81,2,FALSE)</f>
        <v>PT16</v>
      </c>
      <c r="E44" s="24">
        <f>VLOOKUP(G44,[1]NUTS_Europa!$A$2:$C$81,3,FALSE)</f>
        <v>111</v>
      </c>
      <c r="F44" s="17">
        <v>34</v>
      </c>
      <c r="G44" s="17">
        <v>38</v>
      </c>
      <c r="H44" s="17">
        <v>1142361.0768878097</v>
      </c>
      <c r="I44" s="17">
        <v>1412146.7367878542</v>
      </c>
      <c r="K44" s="17">
        <v>199058.85825050285</v>
      </c>
      <c r="L44" s="17">
        <v>49.426666666666669</v>
      </c>
      <c r="M44" s="17">
        <v>8.8984267045430343</v>
      </c>
      <c r="N44" s="17">
        <v>15.710205544269522</v>
      </c>
      <c r="O44" s="17">
        <v>2825.2662764782135</v>
      </c>
    </row>
    <row r="45" spans="2:19" s="17" customFormat="1" x14ac:dyDescent="0.25">
      <c r="B45" s="24" t="str">
        <f>VLOOKUP(F45,[1]NUTS_Europa!$A$2:$C$81,2,FALSE)</f>
        <v>NL41</v>
      </c>
      <c r="C45" s="24">
        <f>VLOOKUP(F45,[1]NUTS_Europa!$A$2:$C$81,3,FALSE)</f>
        <v>253</v>
      </c>
      <c r="D45" s="24" t="str">
        <f>VLOOKUP(G45,[1]NUTS_Europa!$A$2:$C$81,2,FALSE)</f>
        <v>PT15</v>
      </c>
      <c r="E45" s="24">
        <f>VLOOKUP(G45,[1]NUTS_Europa!$A$2:$C$81,3,FALSE)</f>
        <v>1065</v>
      </c>
      <c r="F45" s="17">
        <v>35</v>
      </c>
      <c r="G45" s="17">
        <v>37</v>
      </c>
      <c r="H45" s="17">
        <v>2831594.1963394866</v>
      </c>
      <c r="I45" s="17">
        <v>1557818.5071476905</v>
      </c>
      <c r="K45" s="17">
        <v>142392.8717171422</v>
      </c>
      <c r="L45" s="17">
        <v>59.782923076923076</v>
      </c>
      <c r="M45" s="17">
        <v>12.309776139981594</v>
      </c>
      <c r="N45" s="17">
        <v>39.387439835539801</v>
      </c>
      <c r="O45" s="17">
        <v>7083.2940517927127</v>
      </c>
      <c r="Q45" s="17" t="str">
        <f>B45</f>
        <v>NL41</v>
      </c>
      <c r="R45" s="17">
        <f>COUNTIF(B4:D83,"NL41")</f>
        <v>4</v>
      </c>
      <c r="S45" s="17">
        <f>C45</f>
        <v>253</v>
      </c>
    </row>
    <row r="46" spans="2:19" s="17" customFormat="1" x14ac:dyDescent="0.25">
      <c r="B46" s="24" t="str">
        <f>VLOOKUP(F46,[1]NUTS_Europa!$A$2:$C$81,2,FALSE)</f>
        <v>NL41</v>
      </c>
      <c r="C46" s="24">
        <f>VLOOKUP(F46,[1]NUTS_Europa!$A$2:$C$81,3,FALSE)</f>
        <v>253</v>
      </c>
      <c r="D46" s="24" t="str">
        <f>VLOOKUP(G46,[1]NUTS_Europa!$A$2:$C$81,2,FALSE)</f>
        <v>PT16</v>
      </c>
      <c r="E46" s="24">
        <f>VLOOKUP(G46,[1]NUTS_Europa!$A$2:$C$81,3,FALSE)</f>
        <v>111</v>
      </c>
      <c r="F46" s="17">
        <v>35</v>
      </c>
      <c r="G46" s="17">
        <v>38</v>
      </c>
      <c r="H46" s="17">
        <v>868404.80030850926</v>
      </c>
      <c r="I46" s="17">
        <v>1342985.9065359677</v>
      </c>
      <c r="K46" s="17">
        <v>122072.63094995193</v>
      </c>
      <c r="L46" s="17">
        <v>49.48205128205128</v>
      </c>
      <c r="M46" s="17">
        <v>10.270504510210086</v>
      </c>
      <c r="N46" s="17">
        <v>15.710205544269522</v>
      </c>
      <c r="O46" s="17">
        <v>2825.2662764782135</v>
      </c>
    </row>
    <row r="47" spans="2:19" s="18" customFormat="1" x14ac:dyDescent="0.25">
      <c r="B47" s="24" t="str">
        <f>VLOOKUP(F47,[1]NUTS_Europa!$A$2:$C$81,2,FALSE)</f>
        <v>BE21</v>
      </c>
      <c r="C47" s="24">
        <f>VLOOKUP(F47,[1]NUTS_Europa!$A$2:$C$81,3,FALSE)</f>
        <v>250</v>
      </c>
      <c r="D47" s="24" t="str">
        <f>VLOOKUP(G47,[1]NUTS_Europa!$A$2:$C$81,2,FALSE)</f>
        <v>FRE1</v>
      </c>
      <c r="E47" s="24">
        <f>VLOOKUP(G47,[1]NUTS_Europa!$A$2:$C$81,3,FALSE)</f>
        <v>235</v>
      </c>
      <c r="F47" s="18">
        <v>41</v>
      </c>
      <c r="G47" s="18">
        <v>61</v>
      </c>
      <c r="H47" s="18">
        <v>636084.34870634775</v>
      </c>
      <c r="I47" s="18">
        <v>769869.97455265536</v>
      </c>
      <c r="K47" s="18">
        <v>142392.8717171422</v>
      </c>
      <c r="L47" s="18">
        <v>7.2307692307692308</v>
      </c>
      <c r="M47" s="18">
        <v>11.512264494678032</v>
      </c>
      <c r="N47" s="18">
        <v>9.8362642499456925</v>
      </c>
      <c r="O47" s="18">
        <v>1766.2818805981751</v>
      </c>
    </row>
    <row r="48" spans="2:19" s="18" customFormat="1" x14ac:dyDescent="0.25">
      <c r="B48" s="24" t="str">
        <f>VLOOKUP(F48,[1]NUTS_Europa!$A$2:$C$81,2,FALSE)</f>
        <v>BE21</v>
      </c>
      <c r="C48" s="24">
        <f>VLOOKUP(F48,[1]NUTS_Europa!$A$2:$C$81,3,FALSE)</f>
        <v>250</v>
      </c>
      <c r="D48" s="24" t="str">
        <f>VLOOKUP(G48,[1]NUTS_Europa!$A$2:$C$81,2,FALSE)</f>
        <v>FRF2</v>
      </c>
      <c r="E48" s="24">
        <f>VLOOKUP(G48,[1]NUTS_Europa!$A$2:$C$81,3,FALSE)</f>
        <v>235</v>
      </c>
      <c r="F48" s="18">
        <v>41</v>
      </c>
      <c r="G48" s="18">
        <v>67</v>
      </c>
      <c r="H48" s="18">
        <v>1212155.7710379381</v>
      </c>
      <c r="I48" s="18">
        <v>769869.97455265536</v>
      </c>
      <c r="K48" s="18">
        <v>156784.57749147405</v>
      </c>
      <c r="L48" s="18">
        <v>7.2307692307692308</v>
      </c>
      <c r="M48" s="18">
        <v>11.512264494678032</v>
      </c>
      <c r="N48" s="18">
        <v>9.8362642499456925</v>
      </c>
      <c r="O48" s="18">
        <v>1766.2818805981751</v>
      </c>
    </row>
    <row r="49" spans="2:20" s="17" customFormat="1" x14ac:dyDescent="0.25">
      <c r="B49" s="24" t="str">
        <f>VLOOKUP(F49,[1]NUTS_Europa!$A$2:$C$81,2,FALSE)</f>
        <v>BE23</v>
      </c>
      <c r="C49" s="24">
        <f>VLOOKUP(F49,[1]NUTS_Europa!$A$2:$C$81,3,FALSE)</f>
        <v>220</v>
      </c>
      <c r="D49" s="24" t="str">
        <f>VLOOKUP(G49,[1]NUTS_Europa!$A$2:$C$81,2,FALSE)</f>
        <v>ES12</v>
      </c>
      <c r="E49" s="24">
        <f>VLOOKUP(G49,[1]NUTS_Europa!$A$2:$C$81,3,FALSE)</f>
        <v>163</v>
      </c>
      <c r="F49" s="17">
        <v>42</v>
      </c>
      <c r="G49" s="17">
        <v>52</v>
      </c>
      <c r="H49" s="17">
        <v>1698976.8070557942</v>
      </c>
      <c r="I49" s="17">
        <v>1113294.5554171694</v>
      </c>
      <c r="K49" s="17">
        <v>137713.62258431225</v>
      </c>
      <c r="L49" s="17">
        <v>37.435897435897438</v>
      </c>
      <c r="M49" s="17">
        <v>9.5029629138303093</v>
      </c>
      <c r="N49" s="17">
        <v>19.739418074474756</v>
      </c>
      <c r="O49" s="17">
        <v>3374.2629695885503</v>
      </c>
    </row>
    <row r="50" spans="2:20" s="17" customFormat="1" x14ac:dyDescent="0.25">
      <c r="B50" s="24" t="str">
        <f>VLOOKUP(F50,[1]NUTS_Europa!$A$2:$C$81,2,FALSE)</f>
        <v>BE23</v>
      </c>
      <c r="C50" s="24">
        <f>VLOOKUP(F50,[1]NUTS_Europa!$A$2:$C$81,3,FALSE)</f>
        <v>220</v>
      </c>
      <c r="D50" s="24" t="str">
        <f>VLOOKUP(G50,[1]NUTS_Europa!$A$2:$C$81,2,FALSE)</f>
        <v>FRJ2</v>
      </c>
      <c r="E50" s="24">
        <f>VLOOKUP(G50,[1]NUTS_Europa!$A$2:$C$81,3,FALSE)</f>
        <v>163</v>
      </c>
      <c r="F50" s="17">
        <v>42</v>
      </c>
      <c r="G50" s="17">
        <v>68</v>
      </c>
      <c r="H50" s="17">
        <v>2819869.8486604448</v>
      </c>
      <c r="I50" s="17">
        <v>1113294.5554171694</v>
      </c>
      <c r="K50" s="17">
        <v>156784.57749147405</v>
      </c>
      <c r="L50" s="17">
        <v>37.435897435897438</v>
      </c>
      <c r="M50" s="17">
        <v>9.5029629138303093</v>
      </c>
      <c r="N50" s="17">
        <v>19.739418074474756</v>
      </c>
      <c r="O50" s="17">
        <v>3374.2629695885503</v>
      </c>
    </row>
    <row r="51" spans="2:20" s="17" customFormat="1" x14ac:dyDescent="0.25">
      <c r="B51" s="24" t="str">
        <f>VLOOKUP(F51,[1]NUTS_Europa!$A$2:$C$81,2,FALSE)</f>
        <v>BE25</v>
      </c>
      <c r="C51" s="24">
        <f>VLOOKUP(F51,[1]NUTS_Europa!$A$2:$C$81,3,FALSE)</f>
        <v>220</v>
      </c>
      <c r="D51" s="24" t="str">
        <f>VLOOKUP(G51,[1]NUTS_Europa!$A$2:$C$81,2,FALSE)</f>
        <v>FRD1</v>
      </c>
      <c r="E51" s="24">
        <f>VLOOKUP(G51,[1]NUTS_Europa!$A$2:$C$81,3,FALSE)</f>
        <v>269</v>
      </c>
      <c r="F51" s="17">
        <v>43</v>
      </c>
      <c r="G51" s="17">
        <v>59</v>
      </c>
      <c r="H51" s="17">
        <v>4091742.8962037307</v>
      </c>
      <c r="I51" s="17">
        <v>759198.79170450056</v>
      </c>
      <c r="K51" s="17">
        <v>199058.85825050285</v>
      </c>
      <c r="L51" s="17">
        <v>9.281538461538462</v>
      </c>
      <c r="M51" s="17">
        <v>11.358376815537301</v>
      </c>
      <c r="N51" s="17">
        <v>93.17083442699672</v>
      </c>
      <c r="O51" s="17">
        <v>15926.654740608226</v>
      </c>
      <c r="Q51" s="17" t="str">
        <f>B51</f>
        <v>BE25</v>
      </c>
      <c r="R51" s="17">
        <f>COUNTIF(B4:D83,"BE25")</f>
        <v>4</v>
      </c>
      <c r="S51" s="17">
        <f>C51</f>
        <v>220</v>
      </c>
    </row>
    <row r="52" spans="2:20" s="17" customFormat="1" x14ac:dyDescent="0.25">
      <c r="B52" s="24" t="str">
        <f>VLOOKUP(F52,[1]NUTS_Europa!$A$2:$C$81,2,FALSE)</f>
        <v>BE25</v>
      </c>
      <c r="C52" s="24">
        <f>VLOOKUP(F52,[1]NUTS_Europa!$A$2:$C$81,3,FALSE)</f>
        <v>220</v>
      </c>
      <c r="D52" s="24" t="str">
        <f>VLOOKUP(G52,[1]NUTS_Europa!$A$2:$C$81,2,FALSE)</f>
        <v>PT18</v>
      </c>
      <c r="E52" s="24">
        <f>VLOOKUP(G52,[1]NUTS_Europa!$A$2:$C$81,3,FALSE)</f>
        <v>61</v>
      </c>
      <c r="F52" s="17">
        <v>43</v>
      </c>
      <c r="G52" s="17">
        <v>80</v>
      </c>
      <c r="H52" s="17">
        <v>13641093.316340309</v>
      </c>
      <c r="I52" s="17">
        <v>1579080.9040809465</v>
      </c>
      <c r="K52" s="17">
        <v>117768.50934211678</v>
      </c>
      <c r="L52" s="17">
        <v>69.418974358974367</v>
      </c>
      <c r="M52" s="17">
        <v>9.3782572597828189</v>
      </c>
      <c r="N52" s="17">
        <v>94.659378032007623</v>
      </c>
      <c r="O52" s="17">
        <v>20275.132014860137</v>
      </c>
      <c r="Q52" s="17" t="str">
        <f>D52</f>
        <v>PT18</v>
      </c>
      <c r="R52" s="17">
        <f>COUNTIF(B4:D83,"PT18")</f>
        <v>4</v>
      </c>
      <c r="S52" s="17">
        <f>E52</f>
        <v>61</v>
      </c>
      <c r="T52" s="17">
        <f>E23</f>
        <v>1065</v>
      </c>
    </row>
    <row r="53" spans="2:20" s="17" customFormat="1" x14ac:dyDescent="0.25">
      <c r="B53" s="24" t="str">
        <f>VLOOKUP(F53,[1]NUTS_Europa!$A$2:$C$81,2,FALSE)</f>
        <v>DE50</v>
      </c>
      <c r="C53" s="24">
        <f>VLOOKUP(F53,[1]NUTS_Europa!$A$2:$C$81,3,FALSE)</f>
        <v>1069</v>
      </c>
      <c r="D53" s="24" t="str">
        <f>VLOOKUP(G53,[1]NUTS_Europa!$A$2:$C$81,2,FALSE)</f>
        <v>ES12</v>
      </c>
      <c r="E53" s="24">
        <f>VLOOKUP(G53,[1]NUTS_Europa!$A$2:$C$81,3,FALSE)</f>
        <v>163</v>
      </c>
      <c r="F53" s="17">
        <v>44</v>
      </c>
      <c r="G53" s="17">
        <v>52</v>
      </c>
      <c r="H53" s="17">
        <v>1859505.8500019119</v>
      </c>
      <c r="I53" s="17">
        <v>1423840.7584946458</v>
      </c>
      <c r="K53" s="17">
        <v>120125.80522925351</v>
      </c>
      <c r="L53" s="17">
        <v>53.746153846153845</v>
      </c>
      <c r="M53" s="17">
        <v>11.446354476888754</v>
      </c>
      <c r="N53" s="17">
        <v>18.762962363580304</v>
      </c>
      <c r="O53" s="17">
        <v>3374.2629695885503</v>
      </c>
    </row>
    <row r="54" spans="2:20" s="17" customFormat="1" x14ac:dyDescent="0.25">
      <c r="B54" s="24" t="str">
        <f>VLOOKUP(F54,[1]NUTS_Europa!$A$2:$C$81,2,FALSE)</f>
        <v>DE50</v>
      </c>
      <c r="C54" s="24">
        <f>VLOOKUP(F54,[1]NUTS_Europa!$A$2:$C$81,3,FALSE)</f>
        <v>1069</v>
      </c>
      <c r="D54" s="24" t="str">
        <f>VLOOKUP(G54,[1]NUTS_Europa!$A$2:$C$81,2,FALSE)</f>
        <v>NL11</v>
      </c>
      <c r="E54" s="24">
        <f>VLOOKUP(G54,[1]NUTS_Europa!$A$2:$C$81,3,FALSE)</f>
        <v>218</v>
      </c>
      <c r="F54" s="17">
        <v>44</v>
      </c>
      <c r="G54" s="17">
        <v>70</v>
      </c>
      <c r="H54" s="17">
        <v>1941915.3940277651</v>
      </c>
      <c r="I54" s="17">
        <v>849369.26806492324</v>
      </c>
      <c r="K54" s="17">
        <v>120437.35243536306</v>
      </c>
      <c r="L54" s="17">
        <v>13.844615384615386</v>
      </c>
      <c r="M54" s="17">
        <v>8.533427864963075</v>
      </c>
      <c r="N54" s="17">
        <v>21.149406761232438</v>
      </c>
      <c r="O54" s="17">
        <v>4803.0739774448748</v>
      </c>
    </row>
    <row r="55" spans="2:20" s="17" customFormat="1" x14ac:dyDescent="0.25">
      <c r="B55" s="24" t="str">
        <f>VLOOKUP(F55,[1]NUTS_Europa!$A$2:$C$81,2,FALSE)</f>
        <v>DE60</v>
      </c>
      <c r="C55" s="24">
        <f>VLOOKUP(F55,[1]NUTS_Europa!$A$2:$C$81,3,FALSE)</f>
        <v>245</v>
      </c>
      <c r="D55" s="24" t="str">
        <f>VLOOKUP(G55,[1]NUTS_Europa!$A$2:$C$81,2,FALSE)</f>
        <v>ES61</v>
      </c>
      <c r="E55" s="24">
        <f>VLOOKUP(G55,[1]NUTS_Europa!$A$2:$C$81,3,FALSE)</f>
        <v>297</v>
      </c>
      <c r="F55" s="17">
        <v>45</v>
      </c>
      <c r="G55" s="17">
        <v>57</v>
      </c>
      <c r="H55" s="17">
        <v>3587894.5155478315</v>
      </c>
      <c r="I55" s="17">
        <v>8530750.2336313576</v>
      </c>
      <c r="K55" s="17">
        <v>159445.52860932166</v>
      </c>
      <c r="L55" s="17">
        <v>80.134871794871799</v>
      </c>
      <c r="M55" s="17">
        <v>12.38706789893226</v>
      </c>
      <c r="N55" s="17">
        <v>5.4852918086964495</v>
      </c>
      <c r="O55" s="17">
        <v>986.45494612291202</v>
      </c>
    </row>
    <row r="56" spans="2:20" s="17" customFormat="1" x14ac:dyDescent="0.25">
      <c r="B56" s="24" t="str">
        <f>VLOOKUP(F56,[1]NUTS_Europa!$A$2:$C$81,2,FALSE)</f>
        <v>DE60</v>
      </c>
      <c r="C56" s="24">
        <f>VLOOKUP(F56,[1]NUTS_Europa!$A$2:$C$81,3,FALSE)</f>
        <v>245</v>
      </c>
      <c r="D56" s="24" t="str">
        <f>VLOOKUP(G56,[1]NUTS_Europa!$A$2:$C$81,2,FALSE)</f>
        <v>FRD2</v>
      </c>
      <c r="E56" s="24">
        <f>VLOOKUP(G56,[1]NUTS_Europa!$A$2:$C$81,3,FALSE)</f>
        <v>271</v>
      </c>
      <c r="F56" s="17">
        <v>45</v>
      </c>
      <c r="G56" s="17">
        <v>60</v>
      </c>
      <c r="H56" s="17">
        <v>1318905.9323898884</v>
      </c>
      <c r="I56" s="17">
        <v>11117928.7143257</v>
      </c>
      <c r="K56" s="17">
        <v>141734.02658349604</v>
      </c>
      <c r="L56" s="17">
        <v>143.43589743589743</v>
      </c>
      <c r="M56" s="17">
        <v>15.197477867687898</v>
      </c>
      <c r="N56" s="17">
        <v>2.2298745216204381</v>
      </c>
      <c r="O56" s="17">
        <v>347.52790697674413</v>
      </c>
    </row>
    <row r="57" spans="2:20" s="16" customFormat="1" x14ac:dyDescent="0.25">
      <c r="B57" s="24" t="str">
        <f>VLOOKUP(F57,[1]NUTS_Europa!$A$2:$C$81,2,FALSE)</f>
        <v>DE80</v>
      </c>
      <c r="C57" s="24">
        <f>VLOOKUP(F57,[1]NUTS_Europa!$A$2:$C$81,3,FALSE)</f>
        <v>245</v>
      </c>
      <c r="D57" s="24" t="str">
        <f>VLOOKUP(G57,[1]NUTS_Europa!$A$2:$C$81,2,FALSE)</f>
        <v>ES11</v>
      </c>
      <c r="E57" s="24">
        <f>VLOOKUP(G57,[1]NUTS_Europa!$A$2:$C$81,3,FALSE)</f>
        <v>285</v>
      </c>
      <c r="F57" s="16">
        <v>46</v>
      </c>
      <c r="G57" s="16">
        <v>51</v>
      </c>
      <c r="H57" s="16">
        <v>59259.211635068961</v>
      </c>
      <c r="I57" s="16">
        <v>7769829.2059486816</v>
      </c>
      <c r="K57" s="16">
        <v>127001.21695280854</v>
      </c>
      <c r="L57" s="16">
        <v>51.586666666666666</v>
      </c>
      <c r="M57" s="16">
        <v>11.778682523965301</v>
      </c>
      <c r="N57" s="16">
        <v>8.6798247044985843E-2</v>
      </c>
      <c r="O57" s="16">
        <v>15.60948133635801</v>
      </c>
    </row>
    <row r="58" spans="2:20" s="16" customFormat="1" x14ac:dyDescent="0.25">
      <c r="B58" s="24" t="str">
        <f>VLOOKUP(F58,[1]NUTS_Europa!$A$2:$C$81,2,FALSE)</f>
        <v>DE80</v>
      </c>
      <c r="C58" s="24">
        <f>VLOOKUP(F58,[1]NUTS_Europa!$A$2:$C$81,3,FALSE)</f>
        <v>245</v>
      </c>
      <c r="D58" s="24" t="str">
        <f>VLOOKUP(G58,[1]NUTS_Europa!$A$2:$C$81,2,FALSE)</f>
        <v>ES13</v>
      </c>
      <c r="E58" s="24">
        <f>VLOOKUP(G58,[1]NUTS_Europa!$A$2:$C$81,3,FALSE)</f>
        <v>285</v>
      </c>
      <c r="F58" s="16">
        <v>46</v>
      </c>
      <c r="G58" s="16">
        <v>53</v>
      </c>
      <c r="H58" s="16">
        <v>66002.148554304891</v>
      </c>
      <c r="I58" s="16">
        <v>7769829.2059486816</v>
      </c>
      <c r="K58" s="16">
        <v>117768.50934211678</v>
      </c>
      <c r="L58" s="16">
        <v>51.586666666666666</v>
      </c>
      <c r="M58" s="16">
        <v>11.778682523965301</v>
      </c>
      <c r="N58" s="16">
        <v>8.6798247044985843E-2</v>
      </c>
      <c r="O58" s="16">
        <v>15.60948133635801</v>
      </c>
    </row>
    <row r="59" spans="2:20" s="16" customFormat="1" x14ac:dyDescent="0.25">
      <c r="B59" s="24" t="str">
        <f>VLOOKUP(F59,[1]NUTS_Europa!$A$2:$C$81,2,FALSE)</f>
        <v>DE93</v>
      </c>
      <c r="C59" s="24">
        <f>VLOOKUP(F59,[1]NUTS_Europa!$A$2:$C$81,3,FALSE)</f>
        <v>245</v>
      </c>
      <c r="D59" s="24" t="str">
        <f>VLOOKUP(G59,[1]NUTS_Europa!$A$2:$C$81,2,FALSE)</f>
        <v>FRI1</v>
      </c>
      <c r="E59" s="24">
        <f>VLOOKUP(G59,[1]NUTS_Europa!$A$2:$C$81,3,FALSE)</f>
        <v>275</v>
      </c>
      <c r="F59" s="16">
        <v>47</v>
      </c>
      <c r="G59" s="16">
        <v>64</v>
      </c>
      <c r="H59" s="16">
        <v>882402.87458697241</v>
      </c>
      <c r="I59" s="16">
        <v>9434862.8927389514</v>
      </c>
      <c r="K59" s="16">
        <v>154854.30087154222</v>
      </c>
      <c r="L59" s="16">
        <v>61.025641025641029</v>
      </c>
      <c r="M59" s="16">
        <v>14.546161332214101</v>
      </c>
      <c r="N59" s="16">
        <v>1.331486973455605</v>
      </c>
      <c r="O59" s="16">
        <v>207.51341681574237</v>
      </c>
    </row>
    <row r="60" spans="2:20" s="16" customFormat="1" x14ac:dyDescent="0.25">
      <c r="B60" s="24" t="str">
        <f>VLOOKUP(F60,[1]NUTS_Europa!$A$2:$C$81,2,FALSE)</f>
        <v>DE93</v>
      </c>
      <c r="C60" s="24">
        <f>VLOOKUP(F60,[1]NUTS_Europa!$A$2:$C$81,3,FALSE)</f>
        <v>245</v>
      </c>
      <c r="D60" s="24" t="str">
        <f>VLOOKUP(G60,[1]NUTS_Europa!$A$2:$C$81,2,FALSE)</f>
        <v>FRI2</v>
      </c>
      <c r="E60" s="24">
        <f>VLOOKUP(G60,[1]NUTS_Europa!$A$2:$C$81,3,FALSE)</f>
        <v>275</v>
      </c>
      <c r="F60" s="16">
        <v>47</v>
      </c>
      <c r="G60" s="16">
        <v>69</v>
      </c>
      <c r="H60" s="16">
        <v>846437.47923813527</v>
      </c>
      <c r="I60" s="16">
        <v>9434862.8927389514</v>
      </c>
      <c r="K60" s="16">
        <v>114346.85142443764</v>
      </c>
      <c r="L60" s="16">
        <v>61.025641025641029</v>
      </c>
      <c r="M60" s="16">
        <v>14.546161332214101</v>
      </c>
      <c r="N60" s="16">
        <v>1.331486973455605</v>
      </c>
      <c r="O60" s="16">
        <v>207.51341681574237</v>
      </c>
    </row>
    <row r="61" spans="2:20" s="18" customFormat="1" x14ac:dyDescent="0.25">
      <c r="B61" s="24" t="str">
        <f>VLOOKUP(F61,[1]NUTS_Europa!$A$2:$C$81,2,FALSE)</f>
        <v>DE94</v>
      </c>
      <c r="C61" s="24">
        <f>VLOOKUP(F61,[1]NUTS_Europa!$A$2:$C$81,3,FALSE)</f>
        <v>1069</v>
      </c>
      <c r="D61" s="24" t="str">
        <f>VLOOKUP(G61,[1]NUTS_Europa!$A$2:$C$81,2,FALSE)</f>
        <v>FRE1</v>
      </c>
      <c r="E61" s="24">
        <f>VLOOKUP(G61,[1]NUTS_Europa!$A$2:$C$81,3,FALSE)</f>
        <v>235</v>
      </c>
      <c r="F61" s="18">
        <v>48</v>
      </c>
      <c r="G61" s="18">
        <v>61</v>
      </c>
      <c r="H61" s="18">
        <v>663219.81624221196</v>
      </c>
      <c r="I61" s="18">
        <v>887408.11320577643</v>
      </c>
      <c r="K61" s="18">
        <v>507158.32774652442</v>
      </c>
      <c r="L61" s="18">
        <v>20.905641025641028</v>
      </c>
      <c r="M61" s="18">
        <v>12.828089515202631</v>
      </c>
      <c r="N61" s="18">
        <v>8.3247168966125162</v>
      </c>
      <c r="O61" s="18">
        <v>1766.2818805981751</v>
      </c>
    </row>
    <row r="62" spans="2:20" s="18" customFormat="1" x14ac:dyDescent="0.25">
      <c r="B62" s="24" t="str">
        <f>VLOOKUP(F62,[1]NUTS_Europa!$A$2:$C$81,2,FALSE)</f>
        <v>DE94</v>
      </c>
      <c r="C62" s="24">
        <f>VLOOKUP(F62,[1]NUTS_Europa!$A$2:$C$81,3,FALSE)</f>
        <v>1069</v>
      </c>
      <c r="D62" s="24" t="str">
        <f>VLOOKUP(G62,[1]NUTS_Europa!$A$2:$C$81,2,FALSE)</f>
        <v>FRF2</v>
      </c>
      <c r="E62" s="24">
        <f>VLOOKUP(G62,[1]NUTS_Europa!$A$2:$C$81,3,FALSE)</f>
        <v>235</v>
      </c>
      <c r="F62" s="18">
        <v>48</v>
      </c>
      <c r="G62" s="18">
        <v>67</v>
      </c>
      <c r="H62" s="18">
        <v>1239291.2385738024</v>
      </c>
      <c r="I62" s="18">
        <v>887408.11320577643</v>
      </c>
      <c r="K62" s="18">
        <v>126450.71705482846</v>
      </c>
      <c r="L62" s="18">
        <v>20.905641025641028</v>
      </c>
      <c r="M62" s="18">
        <v>12.828089515202631</v>
      </c>
      <c r="N62" s="18">
        <v>8.3247168966125162</v>
      </c>
      <c r="O62" s="18">
        <v>1766.2818805981751</v>
      </c>
    </row>
    <row r="63" spans="2:20" s="16" customFormat="1" x14ac:dyDescent="0.25">
      <c r="B63" s="24" t="str">
        <f>VLOOKUP(F63,[1]NUTS_Europa!$A$2:$C$81,2,FALSE)</f>
        <v>DEA1</v>
      </c>
      <c r="C63" s="24">
        <f>VLOOKUP(F63,[1]NUTS_Europa!$A$2:$C$81,3,FALSE)</f>
        <v>245</v>
      </c>
      <c r="D63" s="24" t="str">
        <f>VLOOKUP(G63,[1]NUTS_Europa!$A$2:$C$81,2,FALSE)</f>
        <v>ES11</v>
      </c>
      <c r="E63" s="24">
        <f>VLOOKUP(G63,[1]NUTS_Europa!$A$2:$C$81,3,FALSE)</f>
        <v>285</v>
      </c>
      <c r="F63" s="16">
        <v>49</v>
      </c>
      <c r="G63" s="16">
        <v>51</v>
      </c>
      <c r="H63" s="16">
        <v>58049.991944385321</v>
      </c>
      <c r="I63" s="16">
        <v>7769829.2059486816</v>
      </c>
      <c r="K63" s="16">
        <v>176841.96373917855</v>
      </c>
      <c r="L63" s="16">
        <v>51.586666666666666</v>
      </c>
      <c r="M63" s="16">
        <v>11.778682523965301</v>
      </c>
      <c r="N63" s="16">
        <v>8.6798247044985843E-2</v>
      </c>
      <c r="O63" s="16">
        <v>15.60948133635801</v>
      </c>
    </row>
    <row r="64" spans="2:20" s="16" customFormat="1" x14ac:dyDescent="0.25">
      <c r="B64" s="24" t="str">
        <f>VLOOKUP(F64,[1]NUTS_Europa!$A$2:$C$81,2,FALSE)</f>
        <v>DEA1</v>
      </c>
      <c r="C64" s="24">
        <f>VLOOKUP(F64,[1]NUTS_Europa!$A$2:$C$81,3,FALSE)</f>
        <v>245</v>
      </c>
      <c r="D64" s="24" t="str">
        <f>VLOOKUP(G64,[1]NUTS_Europa!$A$2:$C$81,2,FALSE)</f>
        <v>ES13</v>
      </c>
      <c r="E64" s="24">
        <f>VLOOKUP(G64,[1]NUTS_Europa!$A$2:$C$81,3,FALSE)</f>
        <v>285</v>
      </c>
      <c r="F64" s="16">
        <v>49</v>
      </c>
      <c r="G64" s="16">
        <v>53</v>
      </c>
      <c r="H64" s="16">
        <v>64792.928863621244</v>
      </c>
      <c r="I64" s="16">
        <v>7769829.2059486816</v>
      </c>
      <c r="K64" s="16">
        <v>199058.85825050285</v>
      </c>
      <c r="L64" s="16">
        <v>51.586666666666666</v>
      </c>
      <c r="M64" s="16">
        <v>11.778682523965301</v>
      </c>
      <c r="N64" s="16">
        <v>8.6798247044985843E-2</v>
      </c>
      <c r="O64" s="16">
        <v>15.60948133635801</v>
      </c>
    </row>
    <row r="65" spans="2:20" s="17" customFormat="1" x14ac:dyDescent="0.25">
      <c r="B65" s="24" t="str">
        <f>VLOOKUP(F65,[1]NUTS_Europa!$A$2:$C$81,2,FALSE)</f>
        <v>DEF0</v>
      </c>
      <c r="C65" s="24">
        <f>VLOOKUP(F65,[1]NUTS_Europa!$A$2:$C$81,3,FALSE)</f>
        <v>245</v>
      </c>
      <c r="D65" s="24" t="str">
        <f>VLOOKUP(G65,[1]NUTS_Europa!$A$2:$C$81,2,FALSE)</f>
        <v>ES61</v>
      </c>
      <c r="E65" s="24">
        <f>VLOOKUP(G65,[1]NUTS_Europa!$A$2:$C$81,3,FALSE)</f>
        <v>297</v>
      </c>
      <c r="F65" s="17">
        <v>50</v>
      </c>
      <c r="G65" s="17">
        <v>57</v>
      </c>
      <c r="H65" s="17">
        <v>3537381.1171217156</v>
      </c>
      <c r="I65" s="17">
        <v>8530750.2336313576</v>
      </c>
      <c r="K65" s="17">
        <v>137713.62258431225</v>
      </c>
      <c r="L65" s="17">
        <v>80.134871794871799</v>
      </c>
      <c r="M65" s="17">
        <v>12.38706789893226</v>
      </c>
      <c r="N65" s="17">
        <v>5.4852918086964495</v>
      </c>
      <c r="O65" s="17">
        <v>986.45494612291202</v>
      </c>
    </row>
    <row r="66" spans="2:20" s="17" customFormat="1" x14ac:dyDescent="0.25">
      <c r="B66" s="24" t="str">
        <f>VLOOKUP(F66,[1]NUTS_Europa!$A$2:$C$81,2,FALSE)</f>
        <v>DEF0</v>
      </c>
      <c r="C66" s="24">
        <f>VLOOKUP(F66,[1]NUTS_Europa!$A$2:$C$81,3,FALSE)</f>
        <v>245</v>
      </c>
      <c r="D66" s="24" t="str">
        <f>VLOOKUP(G66,[1]NUTS_Europa!$A$2:$C$81,2,FALSE)</f>
        <v>PT11</v>
      </c>
      <c r="E66" s="24">
        <f>VLOOKUP(G66,[1]NUTS_Europa!$A$2:$C$81,3,FALSE)</f>
        <v>288</v>
      </c>
      <c r="F66" s="17">
        <v>50</v>
      </c>
      <c r="G66" s="17">
        <v>76</v>
      </c>
      <c r="H66" s="17">
        <v>3772973.9003590746</v>
      </c>
      <c r="I66" s="17">
        <v>8074253.5088200849</v>
      </c>
      <c r="K66" s="17">
        <v>114203.52260471623</v>
      </c>
      <c r="L66" s="17">
        <v>56.958974358974359</v>
      </c>
      <c r="M66" s="17">
        <v>12.054077842180787</v>
      </c>
      <c r="N66" s="17">
        <v>5.8415730839199274</v>
      </c>
      <c r="O66" s="17">
        <v>1050.5272759847392</v>
      </c>
      <c r="Q66" s="17" t="str">
        <f>D66</f>
        <v>PT11</v>
      </c>
      <c r="R66" s="17">
        <f>COUNTIF(B4:D83,"PT11")</f>
        <v>4</v>
      </c>
      <c r="S66" s="17">
        <f>E66</f>
        <v>288</v>
      </c>
      <c r="T66" s="17">
        <f>COUNTIF(B4:E83,288)</f>
        <v>4</v>
      </c>
    </row>
    <row r="67" spans="2:20" s="17" customFormat="1" x14ac:dyDescent="0.25">
      <c r="B67" s="24" t="str">
        <f>VLOOKUP(F67,[1]NUTS_Europa!$A$2:$C$81,2,FALSE)</f>
        <v>ES21</v>
      </c>
      <c r="C67" s="24">
        <f>VLOOKUP(F67,[1]NUTS_Europa!$A$2:$C$81,3,FALSE)</f>
        <v>1063</v>
      </c>
      <c r="D67" s="24" t="str">
        <f>VLOOKUP(G67,[1]NUTS_Europa!$A$2:$C$81,2,FALSE)</f>
        <v>FRD2</v>
      </c>
      <c r="E67" s="24">
        <f>VLOOKUP(G67,[1]NUTS_Europa!$A$2:$C$81,3,FALSE)</f>
        <v>271</v>
      </c>
      <c r="F67" s="17">
        <v>54</v>
      </c>
      <c r="G67" s="17">
        <v>60</v>
      </c>
      <c r="H67" s="17">
        <v>303484.67842444341</v>
      </c>
      <c r="I67" s="17">
        <v>5812122.2747895317</v>
      </c>
      <c r="K67" s="17">
        <v>159445.52860932166</v>
      </c>
      <c r="L67" s="17">
        <v>85.589743589743591</v>
      </c>
      <c r="M67" s="17">
        <v>11.023814798547351</v>
      </c>
      <c r="N67" s="17">
        <v>1.9324673558841208</v>
      </c>
      <c r="O67" s="17">
        <v>347.52790697674413</v>
      </c>
    </row>
    <row r="68" spans="2:20" s="17" customFormat="1" x14ac:dyDescent="0.25">
      <c r="B68" s="24" t="str">
        <f>VLOOKUP(F68,[1]NUTS_Europa!$A$2:$C$81,2,FALSE)</f>
        <v>ES21</v>
      </c>
      <c r="C68" s="24">
        <f>VLOOKUP(F68,[1]NUTS_Europa!$A$2:$C$81,3,FALSE)</f>
        <v>1063</v>
      </c>
      <c r="D68" s="24" t="str">
        <f>VLOOKUP(G68,[1]NUTS_Europa!$A$2:$C$81,2,FALSE)</f>
        <v>FRH0</v>
      </c>
      <c r="E68" s="24">
        <f>VLOOKUP(G68,[1]NUTS_Europa!$A$2:$C$81,3,FALSE)</f>
        <v>282</v>
      </c>
      <c r="F68" s="17">
        <v>54</v>
      </c>
      <c r="G68" s="17">
        <v>63</v>
      </c>
      <c r="H68" s="17">
        <v>856105.62959319435</v>
      </c>
      <c r="I68" s="17">
        <v>5673872.1721301721</v>
      </c>
      <c r="K68" s="17">
        <v>141734.02658349604</v>
      </c>
      <c r="L68" s="17">
        <v>75.384615384615387</v>
      </c>
      <c r="M68" s="17">
        <v>12.857665407755631</v>
      </c>
      <c r="N68" s="17">
        <v>4.540341990624694</v>
      </c>
      <c r="O68" s="17">
        <v>816.51860465116272</v>
      </c>
    </row>
    <row r="69" spans="2:20" s="17" customFormat="1" x14ac:dyDescent="0.25">
      <c r="B69" s="24" t="str">
        <f>VLOOKUP(F69,[1]NUTS_Europa!$A$2:$C$81,2,FALSE)</f>
        <v>ES51</v>
      </c>
      <c r="C69" s="24">
        <f>VLOOKUP(F69,[1]NUTS_Europa!$A$2:$C$81,3,FALSE)</f>
        <v>1064</v>
      </c>
      <c r="D69" s="24" t="str">
        <f>VLOOKUP(G69,[1]NUTS_Europa!$A$2:$C$81,2,FALSE)</f>
        <v>ES62</v>
      </c>
      <c r="E69" s="24">
        <f>VLOOKUP(G69,[1]NUTS_Europa!$A$2:$C$81,3,FALSE)</f>
        <v>462</v>
      </c>
      <c r="F69" s="17">
        <v>55</v>
      </c>
      <c r="G69" s="17">
        <v>58</v>
      </c>
      <c r="H69" s="17">
        <v>1151714.0266739572</v>
      </c>
      <c r="I69" s="17">
        <v>769448.84127728827</v>
      </c>
      <c r="K69" s="17">
        <v>114203.52260471623</v>
      </c>
      <c r="L69" s="17">
        <v>17.076923076923077</v>
      </c>
      <c r="M69" s="17">
        <v>7.9407652219672231</v>
      </c>
      <c r="N69" s="17">
        <v>5.0179808337143825</v>
      </c>
      <c r="O69" s="17">
        <v>1066.5591315219633</v>
      </c>
    </row>
    <row r="70" spans="2:20" s="17" customFormat="1" x14ac:dyDescent="0.25">
      <c r="B70" s="24" t="str">
        <f>VLOOKUP(F70,[1]NUTS_Europa!$A$2:$C$81,2,FALSE)</f>
        <v>ES51</v>
      </c>
      <c r="C70" s="24">
        <f>VLOOKUP(F70,[1]NUTS_Europa!$A$2:$C$81,3,FALSE)</f>
        <v>1064</v>
      </c>
      <c r="D70" s="24" t="str">
        <f>VLOOKUP(G70,[1]NUTS_Europa!$A$2:$C$81,2,FALSE)</f>
        <v>FRI3</v>
      </c>
      <c r="E70" s="24">
        <f>VLOOKUP(G70,[1]NUTS_Europa!$A$2:$C$81,3,FALSE)</f>
        <v>282</v>
      </c>
      <c r="F70" s="17">
        <v>55</v>
      </c>
      <c r="G70" s="17">
        <v>65</v>
      </c>
      <c r="H70" s="17">
        <v>729117.61612065905</v>
      </c>
      <c r="I70" s="17">
        <v>1562667.3304624369</v>
      </c>
      <c r="K70" s="17">
        <v>117768.50934211678</v>
      </c>
      <c r="L70" s="17">
        <v>64.462512820512828</v>
      </c>
      <c r="M70" s="17">
        <v>12.757492780623522</v>
      </c>
      <c r="N70" s="17">
        <v>4.540341990624694</v>
      </c>
      <c r="O70" s="17">
        <v>816.51860465116272</v>
      </c>
    </row>
    <row r="71" spans="2:20" s="17" customFormat="1" x14ac:dyDescent="0.25">
      <c r="B71" s="24" t="str">
        <f>VLOOKUP(F71,[1]NUTS_Europa!$A$2:$C$81,2,FALSE)</f>
        <v>ES52</v>
      </c>
      <c r="C71" s="24">
        <f>VLOOKUP(F71,[1]NUTS_Europa!$A$2:$C$81,3,FALSE)</f>
        <v>1063</v>
      </c>
      <c r="D71" s="24" t="str">
        <f>VLOOKUP(G71,[1]NUTS_Europa!$A$2:$C$81,2,FALSE)</f>
        <v>ES62</v>
      </c>
      <c r="E71" s="24">
        <f>VLOOKUP(G71,[1]NUTS_Europa!$A$2:$C$81,3,FALSE)</f>
        <v>462</v>
      </c>
      <c r="F71" s="17">
        <v>56</v>
      </c>
      <c r="G71" s="17">
        <v>58</v>
      </c>
      <c r="H71" s="17">
        <v>1170986.355994168</v>
      </c>
      <c r="I71" s="17">
        <v>4798791.4045989886</v>
      </c>
      <c r="K71" s="17">
        <v>163171.48832599766</v>
      </c>
      <c r="L71" s="17">
        <v>23.589743589743591</v>
      </c>
      <c r="M71" s="17">
        <v>8.0409378490993326</v>
      </c>
      <c r="N71" s="17">
        <v>5.0179808337143825</v>
      </c>
      <c r="O71" s="17">
        <v>1066.5591315219633</v>
      </c>
    </row>
    <row r="72" spans="2:20" s="17" customFormat="1" x14ac:dyDescent="0.25">
      <c r="B72" s="24" t="str">
        <f>VLOOKUP(F72,[1]NUTS_Europa!$A$2:$C$81,2,FALSE)</f>
        <v>ES52</v>
      </c>
      <c r="C72" s="24">
        <f>VLOOKUP(F72,[1]NUTS_Europa!$A$2:$C$81,3,FALSE)</f>
        <v>1063</v>
      </c>
      <c r="D72" s="24" t="str">
        <f>VLOOKUP(G72,[1]NUTS_Europa!$A$2:$C$81,2,FALSE)</f>
        <v>FRI3</v>
      </c>
      <c r="E72" s="24">
        <f>VLOOKUP(G72,[1]NUTS_Europa!$A$2:$C$81,3,FALSE)</f>
        <v>282</v>
      </c>
      <c r="F72" s="17">
        <v>56</v>
      </c>
      <c r="G72" s="17">
        <v>65</v>
      </c>
      <c r="H72" s="17">
        <v>745680.47001877578</v>
      </c>
      <c r="I72" s="17">
        <v>5673872.1721301721</v>
      </c>
      <c r="K72" s="17">
        <v>122072.63094995193</v>
      </c>
      <c r="L72" s="17">
        <v>75.384615384615387</v>
      </c>
      <c r="M72" s="17">
        <v>12.857665407755631</v>
      </c>
      <c r="N72" s="17">
        <v>4.540341990624694</v>
      </c>
      <c r="O72" s="17">
        <v>816.51860465116272</v>
      </c>
    </row>
    <row r="73" spans="2:20" s="17" customFormat="1" x14ac:dyDescent="0.25">
      <c r="B73" s="24" t="str">
        <f>VLOOKUP(F73,[1]NUTS_Europa!$A$2:$C$81,2,FALSE)</f>
        <v>FRD1</v>
      </c>
      <c r="C73" s="24">
        <f>VLOOKUP(F73,[1]NUTS_Europa!$A$2:$C$81,3,FALSE)</f>
        <v>269</v>
      </c>
      <c r="D73" s="24" t="str">
        <f>VLOOKUP(G73,[1]NUTS_Europa!$A$2:$C$81,2,FALSE)</f>
        <v>FRG0</v>
      </c>
      <c r="E73" s="24">
        <f>VLOOKUP(G73,[1]NUTS_Europa!$A$2:$C$81,3,FALSE)</f>
        <v>283</v>
      </c>
      <c r="F73" s="17">
        <v>59</v>
      </c>
      <c r="G73" s="17">
        <v>62</v>
      </c>
      <c r="H73" s="17">
        <v>1126948.529361034</v>
      </c>
      <c r="I73" s="17">
        <v>997977.48864301026</v>
      </c>
      <c r="K73" s="17">
        <v>159445.52860932166</v>
      </c>
      <c r="L73" s="17">
        <v>23.743589743589745</v>
      </c>
      <c r="M73" s="17">
        <v>13.502994331194085</v>
      </c>
      <c r="N73" s="17">
        <v>13.023217637488681</v>
      </c>
      <c r="O73" s="17">
        <v>2266.66818622449</v>
      </c>
    </row>
    <row r="74" spans="2:20" s="17" customFormat="1" x14ac:dyDescent="0.25">
      <c r="B74" s="24" t="str">
        <f>VLOOKUP(F74,[1]NUTS_Europa!$A$2:$C$81,2,FALSE)</f>
        <v>FRJ1</v>
      </c>
      <c r="C74" s="24">
        <f>VLOOKUP(F74,[1]NUTS_Europa!$A$2:$C$81,3,FALSE)</f>
        <v>1064</v>
      </c>
      <c r="D74" s="24" t="str">
        <f>VLOOKUP(G74,[1]NUTS_Europa!$A$2:$C$81,2,FALSE)</f>
        <v>FRJ2</v>
      </c>
      <c r="E74" s="24">
        <f>VLOOKUP(G74,[1]NUTS_Europa!$A$2:$C$81,3,FALSE)</f>
        <v>163</v>
      </c>
      <c r="F74" s="17">
        <v>66</v>
      </c>
      <c r="G74" s="17">
        <v>68</v>
      </c>
      <c r="H74" s="17">
        <v>4050574.304740726</v>
      </c>
      <c r="I74" s="17">
        <v>1530442.5312729627</v>
      </c>
      <c r="K74" s="17">
        <v>163171.48832599766</v>
      </c>
      <c r="L74" s="17">
        <v>63.897435897435898</v>
      </c>
      <c r="M74" s="17">
        <v>8.4386415956023981</v>
      </c>
      <c r="N74" s="17">
        <v>18.762962363580304</v>
      </c>
      <c r="O74" s="17">
        <v>3374.2629695885503</v>
      </c>
    </row>
    <row r="75" spans="2:20" s="17" customFormat="1" x14ac:dyDescent="0.25">
      <c r="B75" s="24" t="str">
        <f>VLOOKUP(F75,[1]NUTS_Europa!$A$2:$C$81,2,FALSE)</f>
        <v>FRJ1</v>
      </c>
      <c r="C75" s="24">
        <f>VLOOKUP(F75,[1]NUTS_Europa!$A$2:$C$81,3,FALSE)</f>
        <v>1064</v>
      </c>
      <c r="D75" s="24" t="str">
        <f>VLOOKUP(G75,[1]NUTS_Europa!$A$2:$C$81,2,FALSE)</f>
        <v>PT17</v>
      </c>
      <c r="E75" s="24">
        <f>VLOOKUP(G75,[1]NUTS_Europa!$A$2:$C$81,3,FALSE)</f>
        <v>297</v>
      </c>
      <c r="F75" s="17">
        <v>66</v>
      </c>
      <c r="G75" s="17">
        <v>79</v>
      </c>
      <c r="H75" s="17">
        <v>918977.3499350911</v>
      </c>
      <c r="I75" s="17">
        <v>845749.89728912734</v>
      </c>
      <c r="K75" s="17">
        <v>192445.71807502842</v>
      </c>
      <c r="L75" s="17">
        <v>23.743589743589745</v>
      </c>
      <c r="M75" s="17">
        <v>8.1132322026596064</v>
      </c>
      <c r="N75" s="17">
        <v>4.6411041513506479</v>
      </c>
      <c r="O75" s="17">
        <v>986.45494612291202</v>
      </c>
    </row>
    <row r="76" spans="2:20" s="17" customFormat="1" x14ac:dyDescent="0.25">
      <c r="B76" s="24" t="str">
        <f>VLOOKUP(F76,[1]NUTS_Europa!$A$2:$C$81,2,FALSE)</f>
        <v>NL12</v>
      </c>
      <c r="C76" s="24">
        <f>VLOOKUP(F76,[1]NUTS_Europa!$A$2:$C$81,3,FALSE)</f>
        <v>250</v>
      </c>
      <c r="D76" s="24" t="str">
        <f>VLOOKUP(G76,[1]NUTS_Europa!$A$2:$C$81,2,FALSE)</f>
        <v>PT11</v>
      </c>
      <c r="E76" s="24">
        <f>VLOOKUP(G76,[1]NUTS_Europa!$A$2:$C$81,3,FALSE)</f>
        <v>288</v>
      </c>
      <c r="F76" s="17">
        <v>71</v>
      </c>
      <c r="G76" s="17">
        <v>76</v>
      </c>
      <c r="H76" s="17">
        <v>769954.94836864411</v>
      </c>
      <c r="I76" s="17">
        <v>1426994.2759535376</v>
      </c>
      <c r="K76" s="17">
        <v>142841.86171918266</v>
      </c>
      <c r="L76" s="17">
        <v>46.657435897435903</v>
      </c>
      <c r="M76" s="17">
        <v>9.4721300066698912</v>
      </c>
      <c r="N76" s="17">
        <v>5.8415730839199274</v>
      </c>
      <c r="O76" s="17">
        <v>1050.5272759847392</v>
      </c>
    </row>
    <row r="77" spans="2:20" s="17" customFormat="1" x14ac:dyDescent="0.25">
      <c r="B77" s="24" t="str">
        <f>VLOOKUP(F77,[1]NUTS_Europa!$A$2:$C$81,2,FALSE)</f>
        <v>NL12</v>
      </c>
      <c r="C77" s="24">
        <f>VLOOKUP(F77,[1]NUTS_Europa!$A$2:$C$81,3,FALSE)</f>
        <v>250</v>
      </c>
      <c r="D77" s="24" t="str">
        <f>VLOOKUP(G77,[1]NUTS_Europa!$A$2:$C$81,2,FALSE)</f>
        <v>PT16</v>
      </c>
      <c r="E77" s="24">
        <f>VLOOKUP(G77,[1]NUTS_Europa!$A$2:$C$81,3,FALSE)</f>
        <v>294</v>
      </c>
      <c r="F77" s="17">
        <v>71</v>
      </c>
      <c r="G77" s="17">
        <v>78</v>
      </c>
      <c r="H77" s="17">
        <v>2281594.6620497401</v>
      </c>
      <c r="I77" s="17">
        <v>1530590.2597502477</v>
      </c>
      <c r="K77" s="17">
        <v>135416.16142478216</v>
      </c>
      <c r="L77" s="17">
        <v>57.318461538461541</v>
      </c>
      <c r="M77" s="17">
        <v>8.5594012254504488</v>
      </c>
      <c r="N77" s="17">
        <v>15.710205544269522</v>
      </c>
      <c r="O77" s="17">
        <v>2825.2662764782135</v>
      </c>
    </row>
    <row r="78" spans="2:20" s="18" customFormat="1" x14ac:dyDescent="0.25">
      <c r="B78" s="24" t="str">
        <f>VLOOKUP(F78,[1]NUTS_Europa!$A$2:$C$81,2,FALSE)</f>
        <v>NL32</v>
      </c>
      <c r="C78" s="24">
        <f>VLOOKUP(F78,[1]NUTS_Europa!$A$2:$C$81,3,FALSE)</f>
        <v>253</v>
      </c>
      <c r="D78" s="24" t="str">
        <f>VLOOKUP(G78,[1]NUTS_Europa!$A$2:$C$81,2,FALSE)</f>
        <v>NL34</v>
      </c>
      <c r="E78" s="24">
        <f>VLOOKUP(G78,[1]NUTS_Europa!$A$2:$C$81,3,FALSE)</f>
        <v>218</v>
      </c>
      <c r="F78" s="18">
        <v>72</v>
      </c>
      <c r="G78" s="18">
        <v>74</v>
      </c>
      <c r="H78" s="18">
        <v>2445389.0898681497</v>
      </c>
      <c r="I78" s="18">
        <v>784873.28787739878</v>
      </c>
      <c r="K78" s="18">
        <v>120125.80522925351</v>
      </c>
      <c r="L78" s="18">
        <v>9.1789743589743598</v>
      </c>
      <c r="M78" s="18">
        <v>8.5896806501055281</v>
      </c>
      <c r="N78" s="18">
        <v>25.259777726489432</v>
      </c>
      <c r="O78" s="18">
        <v>4803.0739774448748</v>
      </c>
      <c r="Q78" s="18" t="str">
        <f>B78</f>
        <v>NL32</v>
      </c>
      <c r="R78" s="18">
        <f>COUNTIF(B4:D83,"NL32")</f>
        <v>4</v>
      </c>
      <c r="S78" s="18">
        <f>C78</f>
        <v>253</v>
      </c>
    </row>
    <row r="79" spans="2:20" s="18" customFormat="1" x14ac:dyDescent="0.25">
      <c r="B79" s="24" t="str">
        <f>VLOOKUP(F79,[1]NUTS_Europa!$A$2:$C$81,2,FALSE)</f>
        <v>NL32</v>
      </c>
      <c r="C79" s="24">
        <f>VLOOKUP(F79,[1]NUTS_Europa!$A$2:$C$81,3,FALSE)</f>
        <v>253</v>
      </c>
      <c r="D79" s="24" t="str">
        <f>VLOOKUP(G79,[1]NUTS_Europa!$A$2:$C$81,2,FALSE)</f>
        <v>NL41</v>
      </c>
      <c r="E79" s="24">
        <f>VLOOKUP(G79,[1]NUTS_Europa!$A$2:$C$81,3,FALSE)</f>
        <v>218</v>
      </c>
      <c r="F79" s="18">
        <v>72</v>
      </c>
      <c r="G79" s="18">
        <v>75</v>
      </c>
      <c r="H79" s="18">
        <v>2098535.1025869679</v>
      </c>
      <c r="I79" s="18">
        <v>784873.28787739878</v>
      </c>
      <c r="K79" s="18">
        <v>159445.52860932166</v>
      </c>
      <c r="L79" s="18">
        <v>9.1789743589743598</v>
      </c>
      <c r="M79" s="18">
        <v>8.5896806501055281</v>
      </c>
      <c r="N79" s="18">
        <v>25.259777726489432</v>
      </c>
      <c r="O79" s="18">
        <v>4803.0739774448748</v>
      </c>
    </row>
    <row r="80" spans="2:20" s="18" customFormat="1" x14ac:dyDescent="0.25">
      <c r="B80" s="24" t="str">
        <f>VLOOKUP(F80,[1]NUTS_Europa!$A$2:$C$81,2,FALSE)</f>
        <v>NL33</v>
      </c>
      <c r="C80" s="24">
        <f>VLOOKUP(F80,[1]NUTS_Europa!$A$2:$C$81,3,FALSE)</f>
        <v>220</v>
      </c>
      <c r="D80" s="24" t="str">
        <f>VLOOKUP(G80,[1]NUTS_Europa!$A$2:$C$81,2,FALSE)</f>
        <v>NL34</v>
      </c>
      <c r="E80" s="24">
        <f>VLOOKUP(G80,[1]NUTS_Europa!$A$2:$C$81,3,FALSE)</f>
        <v>218</v>
      </c>
      <c r="F80" s="18">
        <v>73</v>
      </c>
      <c r="G80" s="18">
        <v>74</v>
      </c>
      <c r="H80" s="18">
        <v>2589515.4021154847</v>
      </c>
      <c r="I80" s="18">
        <v>677487.37495187251</v>
      </c>
      <c r="K80" s="18">
        <v>145277.79316174539</v>
      </c>
      <c r="L80" s="18">
        <v>6.4102564102564106</v>
      </c>
      <c r="M80" s="18">
        <v>6.5900363019046297</v>
      </c>
      <c r="N80" s="18">
        <v>22.539336668117105</v>
      </c>
      <c r="O80" s="18">
        <v>4803.0739774448748</v>
      </c>
    </row>
    <row r="81" spans="2:25" s="18" customFormat="1" x14ac:dyDescent="0.25">
      <c r="B81" s="24" t="str">
        <f>VLOOKUP(F81,[1]NUTS_Europa!$A$2:$C$81,2,FALSE)</f>
        <v>NL33</v>
      </c>
      <c r="C81" s="24">
        <f>VLOOKUP(F81,[1]NUTS_Europa!$A$2:$C$81,3,FALSE)</f>
        <v>220</v>
      </c>
      <c r="D81" s="24" t="str">
        <f>VLOOKUP(G81,[1]NUTS_Europa!$A$2:$C$81,2,FALSE)</f>
        <v>NL41</v>
      </c>
      <c r="E81" s="24">
        <f>VLOOKUP(G81,[1]NUTS_Europa!$A$2:$C$81,3,FALSE)</f>
        <v>218</v>
      </c>
      <c r="F81" s="18">
        <v>73</v>
      </c>
      <c r="G81" s="18">
        <v>75</v>
      </c>
      <c r="H81" s="18">
        <v>2242661.4148343029</v>
      </c>
      <c r="I81" s="18">
        <v>677487.37495187251</v>
      </c>
      <c r="K81" s="18">
        <v>176841.96373917855</v>
      </c>
      <c r="L81" s="18">
        <v>6.4102564102564106</v>
      </c>
      <c r="M81" s="18">
        <v>6.5900363019046297</v>
      </c>
      <c r="N81" s="18">
        <v>22.539336668117105</v>
      </c>
      <c r="O81" s="18">
        <v>4803.0739774448748</v>
      </c>
      <c r="T81" s="18">
        <v>297</v>
      </c>
      <c r="U81" s="18">
        <f>COUNTIF(B4:E83,297)</f>
        <v>4</v>
      </c>
    </row>
    <row r="82" spans="2:25" s="17" customFormat="1" x14ac:dyDescent="0.25">
      <c r="B82" s="24" t="str">
        <f>VLOOKUP(F82,[1]NUTS_Europa!$A$2:$C$81,2,FALSE)</f>
        <v>PT15</v>
      </c>
      <c r="C82" s="24">
        <f>VLOOKUP(F82,[1]NUTS_Europa!$A$2:$C$81,3,FALSE)</f>
        <v>61</v>
      </c>
      <c r="D82" s="24" t="str">
        <f>VLOOKUP(G82,[1]NUTS_Europa!$A$2:$C$81,2,FALSE)</f>
        <v>PT16</v>
      </c>
      <c r="E82" s="24">
        <f>VLOOKUP(G82,[1]NUTS_Europa!$A$2:$C$81,3,FALSE)</f>
        <v>294</v>
      </c>
      <c r="F82" s="17">
        <v>77</v>
      </c>
      <c r="G82" s="17">
        <v>78</v>
      </c>
      <c r="H82" s="17">
        <v>2371896.3776358208</v>
      </c>
      <c r="I82" s="17">
        <v>736306.70950415987</v>
      </c>
      <c r="K82" s="17">
        <v>127001.21695280854</v>
      </c>
      <c r="L82" s="17">
        <v>15.779487179487178</v>
      </c>
      <c r="M82" s="17">
        <v>7.869169021429653</v>
      </c>
      <c r="N82" s="17">
        <v>12.372856606107471</v>
      </c>
      <c r="O82" s="17">
        <v>2825.2662764782135</v>
      </c>
      <c r="Q82" s="17" t="str">
        <f>B82</f>
        <v>PT15</v>
      </c>
      <c r="R82" s="17">
        <f>COUNTIF(B4:D83,"PT15")</f>
        <v>4</v>
      </c>
      <c r="S82" s="17">
        <f>C82</f>
        <v>61</v>
      </c>
      <c r="T82" s="17">
        <f>E23</f>
        <v>1065</v>
      </c>
    </row>
    <row r="83" spans="2:25" s="17" customFormat="1" x14ac:dyDescent="0.25">
      <c r="B83" s="24" t="str">
        <f>VLOOKUP(F83,[1]NUTS_Europa!$A$2:$C$81,2,FALSE)</f>
        <v>PT15</v>
      </c>
      <c r="C83" s="24">
        <f>VLOOKUP(F83,[1]NUTS_Europa!$A$2:$C$81,3,FALSE)</f>
        <v>61</v>
      </c>
      <c r="D83" s="24" t="str">
        <f>VLOOKUP(G83,[1]NUTS_Europa!$A$2:$C$81,2,FALSE)</f>
        <v>PT17</v>
      </c>
      <c r="E83" s="24">
        <f>VLOOKUP(G83,[1]NUTS_Europa!$A$2:$C$81,3,FALSE)</f>
        <v>297</v>
      </c>
      <c r="F83" s="17">
        <v>77</v>
      </c>
      <c r="G83" s="17">
        <v>79</v>
      </c>
      <c r="H83" s="17">
        <v>841002.11369369493</v>
      </c>
      <c r="I83" s="17">
        <v>523539.86978272477</v>
      </c>
      <c r="K83" s="17">
        <v>113696.3812050019</v>
      </c>
      <c r="L83" s="17">
        <v>3.8461538461538463</v>
      </c>
      <c r="M83" s="17">
        <v>9.114887859400568</v>
      </c>
      <c r="N83" s="17">
        <v>4.3200408040754725</v>
      </c>
      <c r="O83" s="17">
        <v>986.45494612291202</v>
      </c>
      <c r="Q83" s="17" t="str">
        <f>D83</f>
        <v>PT17</v>
      </c>
      <c r="R83" s="17">
        <f>COUNTIF(B4:D83,"PT17")</f>
        <v>4</v>
      </c>
      <c r="S83">
        <f>E83</f>
        <v>297</v>
      </c>
      <c r="T83" s="17">
        <f>E28</f>
        <v>294</v>
      </c>
      <c r="U83" s="17">
        <f>COUNTIF(B4:E83,294)</f>
        <v>4</v>
      </c>
    </row>
    <row r="84" spans="2:25" x14ac:dyDescent="0.25">
      <c r="Q84" t="str">
        <f>D82</f>
        <v>PT16</v>
      </c>
      <c r="R84">
        <f>COUNTIF(B4:D83,"PT16")</f>
        <v>4</v>
      </c>
      <c r="S84" s="17">
        <f>E82</f>
        <v>294</v>
      </c>
      <c r="T84">
        <f>E44</f>
        <v>111</v>
      </c>
      <c r="U84">
        <f>COUNTIF(B4:E83,111)</f>
        <v>4</v>
      </c>
    </row>
    <row r="85" spans="2:25" x14ac:dyDescent="0.25">
      <c r="J85" s="27"/>
    </row>
    <row r="86" spans="2:25" hidden="1" x14ac:dyDescent="0.25">
      <c r="B86" t="s">
        <v>132</v>
      </c>
    </row>
    <row r="87" spans="2:25" hidden="1" x14ac:dyDescent="0.25">
      <c r="B87" t="s">
        <v>134</v>
      </c>
      <c r="C87" t="s">
        <v>135</v>
      </c>
      <c r="D87" t="s">
        <v>131</v>
      </c>
      <c r="E87" t="s">
        <v>136</v>
      </c>
      <c r="F87" t="s">
        <v>39</v>
      </c>
      <c r="G87" t="s">
        <v>40</v>
      </c>
      <c r="H87" t="s">
        <v>137</v>
      </c>
      <c r="I87" t="s">
        <v>133</v>
      </c>
      <c r="K87" t="s">
        <v>41</v>
      </c>
      <c r="L87" t="s">
        <v>42</v>
      </c>
      <c r="M87" t="s">
        <v>43</v>
      </c>
      <c r="N87" t="s">
        <v>44</v>
      </c>
      <c r="O87" t="s">
        <v>45</v>
      </c>
    </row>
    <row r="88" spans="2:25" hidden="1" x14ac:dyDescent="0.25">
      <c r="B88" t="str">
        <f>VLOOKUP(F88,[1]NUTS_Europa!$A$2:$C$81,2,FALSE)</f>
        <v>ES51</v>
      </c>
      <c r="C88">
        <f>VLOOKUP(F88,[1]NUTS_Europa!$A$2:$C$81,3,FALSE)</f>
        <v>1064</v>
      </c>
      <c r="D88" t="str">
        <f>VLOOKUP(G88,[1]NUTS_Europa!$A$2:$C$81,2,FALSE)</f>
        <v>ES62</v>
      </c>
      <c r="E88">
        <f>VLOOKUP(G88,[1]NUTS_Europa!$A$2:$C$81,3,FALSE)</f>
        <v>462</v>
      </c>
      <c r="F88">
        <v>55</v>
      </c>
      <c r="G88">
        <v>58</v>
      </c>
      <c r="H88">
        <v>1151714.0266739572</v>
      </c>
      <c r="I88">
        <v>769448.84127728827</v>
      </c>
      <c r="K88">
        <v>114203.52260471623</v>
      </c>
      <c r="L88">
        <v>17.076923076923077</v>
      </c>
      <c r="M88">
        <v>7.9407652219672231</v>
      </c>
      <c r="N88">
        <v>5.0179808337143825</v>
      </c>
      <c r="O88">
        <v>1066.5591315219633</v>
      </c>
    </row>
    <row r="89" spans="2:25" hidden="1" x14ac:dyDescent="0.25">
      <c r="B89" t="str">
        <f>VLOOKUP(G89,[1]NUTS_Europa!$A$2:$C$81,2,FALSE)</f>
        <v>ES62</v>
      </c>
      <c r="C89">
        <f>VLOOKUP(G89,[1]NUTS_Europa!$A$2:$C$81,3,FALSE)</f>
        <v>462</v>
      </c>
      <c r="D89" t="str">
        <f>VLOOKUP(F89,[1]NUTS_Europa!$A$2:$C$81,2,FALSE)</f>
        <v>ES52</v>
      </c>
      <c r="E89">
        <f>VLOOKUP(F89,[1]NUTS_Europa!$A$2:$C$81,3,FALSE)</f>
        <v>1063</v>
      </c>
      <c r="F89">
        <v>56</v>
      </c>
      <c r="G89">
        <v>58</v>
      </c>
      <c r="H89">
        <v>1170986.355994168</v>
      </c>
      <c r="I89">
        <v>4798791.4045989886</v>
      </c>
      <c r="K89">
        <v>163171.48832599766</v>
      </c>
      <c r="L89">
        <v>23.589743589743591</v>
      </c>
      <c r="M89">
        <v>8.0409378490993326</v>
      </c>
      <c r="N89">
        <v>5.0179808337143825</v>
      </c>
      <c r="O89">
        <v>1066.5591315219633</v>
      </c>
    </row>
    <row r="90" spans="2:25" hidden="1" x14ac:dyDescent="0.25">
      <c r="B90" t="str">
        <f>VLOOKUP(F90,[1]NUTS_Europa!$A$2:$C$81,2,FALSE)</f>
        <v>ES52</v>
      </c>
      <c r="C90">
        <f>VLOOKUP(F90,[1]NUTS_Europa!$A$2:$C$81,3,FALSE)</f>
        <v>1063</v>
      </c>
      <c r="D90" t="str">
        <f>VLOOKUP(G90,[1]NUTS_Europa!$A$2:$C$81,2,FALSE)</f>
        <v>FRI3</v>
      </c>
      <c r="E90">
        <f>VLOOKUP(G90,[1]NUTS_Europa!$A$2:$C$81,3,FALSE)</f>
        <v>282</v>
      </c>
      <c r="F90">
        <v>56</v>
      </c>
      <c r="G90">
        <v>65</v>
      </c>
      <c r="H90">
        <v>745680.47001877578</v>
      </c>
      <c r="I90">
        <v>5673872.1721301721</v>
      </c>
      <c r="K90">
        <v>122072.63094995193</v>
      </c>
      <c r="L90">
        <v>75.384615384615387</v>
      </c>
      <c r="M90">
        <v>12.857665407755631</v>
      </c>
      <c r="N90">
        <v>4.540341990624694</v>
      </c>
      <c r="O90">
        <v>816.51860465116272</v>
      </c>
    </row>
    <row r="91" spans="2:25" hidden="1" x14ac:dyDescent="0.25">
      <c r="B91" t="str">
        <f>VLOOKUP(G91,[1]NUTS_Europa!$A$2:$C$81,2,FALSE)</f>
        <v>FRI3</v>
      </c>
      <c r="C91">
        <f>VLOOKUP(G91,[1]NUTS_Europa!$A$2:$C$81,3,FALSE)</f>
        <v>282</v>
      </c>
      <c r="D91" t="str">
        <f>VLOOKUP(F91,[1]NUTS_Europa!$A$2:$C$81,2,FALSE)</f>
        <v>ES51</v>
      </c>
      <c r="E91">
        <f>VLOOKUP(F91,[1]NUTS_Europa!$A$2:$C$81,3,FALSE)</f>
        <v>1064</v>
      </c>
      <c r="F91">
        <v>55</v>
      </c>
      <c r="G91">
        <v>65</v>
      </c>
      <c r="H91">
        <v>729117.61612065905</v>
      </c>
      <c r="I91">
        <v>1562667.3304624369</v>
      </c>
      <c r="K91">
        <v>117768.50934211678</v>
      </c>
      <c r="L91">
        <v>64.462512820512828</v>
      </c>
      <c r="M91">
        <v>12.757492780623522</v>
      </c>
      <c r="N91">
        <v>4.540341990624694</v>
      </c>
      <c r="O91">
        <v>816.51860465116272</v>
      </c>
    </row>
    <row r="93" spans="2:25" hidden="1" x14ac:dyDescent="0.25"/>
    <row r="94" spans="2:25" hidden="1" x14ac:dyDescent="0.25">
      <c r="B94" t="s">
        <v>138</v>
      </c>
    </row>
    <row r="95" spans="2:25" hidden="1" x14ac:dyDescent="0.25">
      <c r="B95" s="24" t="s">
        <v>134</v>
      </c>
      <c r="C95" s="24" t="s">
        <v>135</v>
      </c>
      <c r="D95" s="24" t="s">
        <v>131</v>
      </c>
      <c r="E95" s="24" t="s">
        <v>136</v>
      </c>
      <c r="F95" s="24" t="s">
        <v>39</v>
      </c>
      <c r="G95" s="24" t="s">
        <v>40</v>
      </c>
      <c r="H95" s="24" t="s">
        <v>137</v>
      </c>
      <c r="I95" s="24" t="s">
        <v>133</v>
      </c>
      <c r="J95" s="24" t="s">
        <v>154</v>
      </c>
      <c r="K95" s="24" t="s">
        <v>41</v>
      </c>
      <c r="L95" s="24" t="s">
        <v>42</v>
      </c>
      <c r="M95" s="24" t="s">
        <v>43</v>
      </c>
      <c r="N95" s="24" t="s">
        <v>44</v>
      </c>
      <c r="O95" s="24" t="s">
        <v>45</v>
      </c>
      <c r="P95" t="s">
        <v>156</v>
      </c>
      <c r="Q95" t="s">
        <v>143</v>
      </c>
      <c r="R95" t="s">
        <v>155</v>
      </c>
      <c r="S95" t="s">
        <v>137</v>
      </c>
      <c r="T95" t="s">
        <v>133</v>
      </c>
      <c r="U95" t="s">
        <v>157</v>
      </c>
      <c r="V95" t="s">
        <v>160</v>
      </c>
      <c r="W95" t="s">
        <v>158</v>
      </c>
      <c r="X95" t="s">
        <v>161</v>
      </c>
      <c r="Y95" t="s">
        <v>159</v>
      </c>
    </row>
    <row r="96" spans="2:25" hidden="1" x14ac:dyDescent="0.25">
      <c r="B96" s="24" t="str">
        <f>VLOOKUP(F96,[1]NUTS_Europa!$A$2:$C$81,2,FALSE)</f>
        <v>DEF0</v>
      </c>
      <c r="C96" s="24">
        <f>VLOOKUP(F96,[1]NUTS_Europa!$A$2:$C$81,3,FALSE)</f>
        <v>1069</v>
      </c>
      <c r="D96" s="24" t="str">
        <f>VLOOKUP(G96,[1]NUTS_Europa!$A$2:$C$81,2,FALSE)</f>
        <v>ES21</v>
      </c>
      <c r="E96" s="24">
        <f>VLOOKUP(G96,[1]NUTS_Europa!$A$2:$C$81,3,FALSE)</f>
        <v>163</v>
      </c>
      <c r="F96" s="24">
        <v>10</v>
      </c>
      <c r="G96" s="24">
        <v>14</v>
      </c>
      <c r="H96" s="56">
        <v>982728.24947400531</v>
      </c>
      <c r="I96" s="56">
        <v>1423840.7584946458</v>
      </c>
      <c r="J96" s="56">
        <f t="shared" ref="J96:J101" si="0">I96/14</f>
        <v>101702.91132104614</v>
      </c>
      <c r="K96" s="26">
        <v>199058.85825050285</v>
      </c>
      <c r="L96" s="25">
        <v>53.746153846153845</v>
      </c>
      <c r="M96" s="25">
        <v>11.446354476888754</v>
      </c>
      <c r="N96" s="25">
        <v>18.762962363580304</v>
      </c>
      <c r="O96" s="26">
        <v>3374.2629695885503</v>
      </c>
      <c r="P96" s="23">
        <f t="shared" ref="P96:P101" si="1">N96*(R96/O96)</f>
        <v>8.7746434929877584</v>
      </c>
      <c r="Q96" s="23">
        <f t="shared" ref="Q96:Q101" si="2">L96+M96+P96</f>
        <v>73.967151816030366</v>
      </c>
      <c r="R96">
        <v>1578</v>
      </c>
      <c r="S96" s="27">
        <f t="shared" ref="S96:S101" si="3">H96*(R96/O96)</f>
        <v>459580.41552969854</v>
      </c>
      <c r="T96" s="27">
        <f t="shared" ref="T96:T101" si="4">J96*2</f>
        <v>203405.82264209227</v>
      </c>
      <c r="U96" s="27">
        <f t="shared" ref="U96:U101" si="5">S96+T96</f>
        <v>662986.23817179084</v>
      </c>
      <c r="V96" t="str">
        <f>VLOOKUP(B96,NUTS_Europa!$B$2:$F$41,5,FALSE)</f>
        <v>Schleswig-Holstein</v>
      </c>
      <c r="W96" t="str">
        <f>VLOOKUP(C96,Puertos!$N$3:$O$27,2,FALSE)</f>
        <v>Hamburgo</v>
      </c>
      <c r="X96" t="str">
        <f>VLOOKUP(D96,NUTS_Europa!$B$2:$F$41,5,FALSE)</f>
        <v>País Vasco</v>
      </c>
      <c r="Y96" t="str">
        <f>VLOOKUP(E96,Puertos!$N$3:$O$27,2,FALSE)</f>
        <v>Bilbao</v>
      </c>
    </row>
    <row r="97" spans="2:27" hidden="1" x14ac:dyDescent="0.25">
      <c r="B97" s="24" t="str">
        <f>VLOOKUP(G97,[1]NUTS_Europa!$A$2:$C$81,2,FALSE)</f>
        <v>ES21</v>
      </c>
      <c r="C97" s="24">
        <f>VLOOKUP(G97,[1]NUTS_Europa!$A$2:$C$81,3,FALSE)</f>
        <v>163</v>
      </c>
      <c r="D97" s="24" t="str">
        <f>VLOOKUP(F97,[1]NUTS_Europa!$A$2:$C$81,2,FALSE)</f>
        <v>BE23</v>
      </c>
      <c r="E97" s="24">
        <f>VLOOKUP(F97,[1]NUTS_Europa!$A$2:$C$81,3,FALSE)</f>
        <v>253</v>
      </c>
      <c r="F97" s="24">
        <v>2</v>
      </c>
      <c r="G97" s="24">
        <v>14</v>
      </c>
      <c r="H97" s="56">
        <v>839520.67472096195</v>
      </c>
      <c r="I97" s="56">
        <v>1213670.0154798201</v>
      </c>
      <c r="J97" s="56">
        <f t="shared" si="0"/>
        <v>86690.715391415724</v>
      </c>
      <c r="K97" s="26">
        <v>145277.79316174539</v>
      </c>
      <c r="L97" s="25">
        <v>39.790256410256411</v>
      </c>
      <c r="M97" s="25">
        <v>11.502607262031209</v>
      </c>
      <c r="N97" s="25">
        <v>21.650586540194972</v>
      </c>
      <c r="O97" s="26">
        <v>3374.2629695885503</v>
      </c>
      <c r="P97" s="23">
        <f t="shared" si="1"/>
        <v>10.125063122923589</v>
      </c>
      <c r="Q97" s="23">
        <f t="shared" si="2"/>
        <v>61.417926795211216</v>
      </c>
      <c r="R97">
        <v>1578</v>
      </c>
      <c r="S97" s="27">
        <f t="shared" si="3"/>
        <v>392608.29302560748</v>
      </c>
      <c r="T97" s="27">
        <f t="shared" si="4"/>
        <v>173381.43078283145</v>
      </c>
      <c r="U97" s="27">
        <f t="shared" si="5"/>
        <v>565989.72380843898</v>
      </c>
      <c r="V97" t="str">
        <f>VLOOKUP(B97,NUTS_Europa!$B$2:$F$41,5,FALSE)</f>
        <v>País Vasco</v>
      </c>
      <c r="W97" t="str">
        <f>VLOOKUP(C97,Puertos!$N$3:$O$27,2,FALSE)</f>
        <v>Bilbao</v>
      </c>
      <c r="X97" t="str">
        <f>VLOOKUP(D97,NUTS_Europa!$B$2:$F$41,5,FALSE)</f>
        <v>Prov. Oost-Vlaanderen</v>
      </c>
      <c r="Y97" t="str">
        <f>VLOOKUP(E97,Puertos!$N$3:$O$27,2,FALSE)</f>
        <v>Amberes</v>
      </c>
    </row>
    <row r="98" spans="2:27" hidden="1" x14ac:dyDescent="0.25">
      <c r="B98" s="24" t="str">
        <f>VLOOKUP(F98,[1]NUTS_Europa!$A$2:$C$81,2,FALSE)</f>
        <v>BE23</v>
      </c>
      <c r="C98" s="24">
        <f>VLOOKUP(F98,[1]NUTS_Europa!$A$2:$C$81,3,FALSE)</f>
        <v>253</v>
      </c>
      <c r="D98" s="24" t="str">
        <f>VLOOKUP(G98,[1]NUTS_Europa!$A$2:$C$81,2,FALSE)</f>
        <v>BE25</v>
      </c>
      <c r="E98" s="24">
        <f>VLOOKUP(G98,[1]NUTS_Europa!$A$2:$C$81,3,FALSE)</f>
        <v>235</v>
      </c>
      <c r="F98" s="24">
        <v>2</v>
      </c>
      <c r="G98" s="24">
        <v>3</v>
      </c>
      <c r="H98" s="56">
        <v>411372.96437589265</v>
      </c>
      <c r="I98" s="56">
        <v>669812.2795158705</v>
      </c>
      <c r="J98" s="56">
        <f t="shared" si="0"/>
        <v>47843.73425113361</v>
      </c>
      <c r="K98" s="26">
        <v>135416.16142478216</v>
      </c>
      <c r="L98" s="25">
        <v>6.4512820512820515</v>
      </c>
      <c r="M98" s="25">
        <v>12.884342300345084</v>
      </c>
      <c r="N98" s="25">
        <v>9.8362642499456925</v>
      </c>
      <c r="O98" s="26">
        <v>1766.2818805981751</v>
      </c>
      <c r="P98" s="23">
        <f t="shared" si="1"/>
        <v>8.7877394638491655</v>
      </c>
      <c r="Q98" s="23">
        <f t="shared" si="2"/>
        <v>28.123363815476303</v>
      </c>
      <c r="R98">
        <v>1578</v>
      </c>
      <c r="S98" s="27">
        <f t="shared" si="3"/>
        <v>367521.48392379843</v>
      </c>
      <c r="T98" s="27">
        <f t="shared" si="4"/>
        <v>95687.46850226722</v>
      </c>
      <c r="U98" s="27">
        <f t="shared" si="5"/>
        <v>463208.95242606563</v>
      </c>
      <c r="V98" t="str">
        <f>VLOOKUP(B98,NUTS_Europa!$B$2:$F$41,5,FALSE)</f>
        <v>Prov. Oost-Vlaanderen</v>
      </c>
      <c r="W98" t="str">
        <f>VLOOKUP(C98,Puertos!$N$3:$O$27,2,FALSE)</f>
        <v>Amberes</v>
      </c>
      <c r="X98" t="str">
        <f>VLOOKUP(D98,NUTS_Europa!$B$2:$F$41,5,FALSE)</f>
        <v>Prov. West-Vlaanderen</v>
      </c>
      <c r="Y98" t="str">
        <f>VLOOKUP(E98,Puertos!$N$3:$O$27,2,FALSE)</f>
        <v>Dunkerque</v>
      </c>
    </row>
    <row r="99" spans="2:27" hidden="1" x14ac:dyDescent="0.25">
      <c r="B99" s="24" t="str">
        <f>VLOOKUP(G99,[1]NUTS_Europa!$A$2:$C$81,2,FALSE)</f>
        <v>BE25</v>
      </c>
      <c r="C99" s="24">
        <f>VLOOKUP(G99,[1]NUTS_Europa!$A$2:$C$81,3,FALSE)</f>
        <v>235</v>
      </c>
      <c r="D99" s="24" t="str">
        <f>VLOOKUP(F99,[1]NUTS_Europa!$A$2:$C$81,2,FALSE)</f>
        <v>BE21</v>
      </c>
      <c r="E99" s="24">
        <f>VLOOKUP(F99,[1]NUTS_Europa!$A$2:$C$81,3,FALSE)</f>
        <v>253</v>
      </c>
      <c r="F99" s="24">
        <v>1</v>
      </c>
      <c r="G99" s="24">
        <v>3</v>
      </c>
      <c r="H99" s="57">
        <v>332522.60866222891</v>
      </c>
      <c r="I99" s="57">
        <v>669812.2795158705</v>
      </c>
      <c r="J99" s="56">
        <f t="shared" si="0"/>
        <v>47843.73425113361</v>
      </c>
      <c r="K99" s="26">
        <v>135416.16142478216</v>
      </c>
      <c r="L99" s="25">
        <v>6.4512820512820515</v>
      </c>
      <c r="M99" s="25">
        <v>12.884342300345084</v>
      </c>
      <c r="N99" s="25">
        <v>9.8362642499456925</v>
      </c>
      <c r="O99" s="26">
        <v>1766.2818805981751</v>
      </c>
      <c r="P99" s="23">
        <f t="shared" si="1"/>
        <v>8.7877394638491655</v>
      </c>
      <c r="Q99" s="23">
        <f t="shared" si="2"/>
        <v>28.123363815476303</v>
      </c>
      <c r="R99">
        <v>1578</v>
      </c>
      <c r="S99" s="27">
        <f t="shared" si="3"/>
        <v>297076.40792379843</v>
      </c>
      <c r="T99" s="27">
        <f t="shared" si="4"/>
        <v>95687.46850226722</v>
      </c>
      <c r="U99" s="27">
        <f t="shared" si="5"/>
        <v>392763.87642606563</v>
      </c>
      <c r="V99" t="str">
        <f>VLOOKUP(B99,NUTS_Europa!$B$2:$F$41,5,FALSE)</f>
        <v>Prov. West-Vlaanderen</v>
      </c>
      <c r="W99" t="str">
        <f>VLOOKUP(C99,Puertos!$N$3:$O$27,2,FALSE)</f>
        <v>Dunkerque</v>
      </c>
      <c r="X99" t="str">
        <f>VLOOKUP(D99,NUTS_Europa!$B$2:$F$41,5,FALSE)</f>
        <v>Prov. Antwerpen</v>
      </c>
      <c r="Y99" t="str">
        <f>VLOOKUP(E99,Puertos!$N$3:$O$27,2,FALSE)</f>
        <v>Amberes</v>
      </c>
    </row>
    <row r="100" spans="2:27" hidden="1" x14ac:dyDescent="0.25">
      <c r="B100" s="24" t="str">
        <f>VLOOKUP(F100,[1]NUTS_Europa!$A$2:$C$81,2,FALSE)</f>
        <v>BE21</v>
      </c>
      <c r="C100" s="24">
        <f>VLOOKUP(F100,[1]NUTS_Europa!$A$2:$C$81,3,FALSE)</f>
        <v>253</v>
      </c>
      <c r="D100" s="24" t="str">
        <f>VLOOKUP(G100,[1]NUTS_Europa!$A$2:$C$81,2,FALSE)</f>
        <v>ES13</v>
      </c>
      <c r="E100" s="24">
        <f>VLOOKUP(G100,[1]NUTS_Europa!$A$2:$C$81,3,FALSE)</f>
        <v>163</v>
      </c>
      <c r="F100" s="24">
        <v>1</v>
      </c>
      <c r="G100" s="24">
        <v>13</v>
      </c>
      <c r="H100" s="56">
        <v>887369.07333491545</v>
      </c>
      <c r="I100" s="56">
        <v>1213670.0154798201</v>
      </c>
      <c r="J100" s="56">
        <f t="shared" si="0"/>
        <v>86690.715391415724</v>
      </c>
      <c r="K100" s="26">
        <v>117923.68175590989</v>
      </c>
      <c r="L100" s="25">
        <v>39.790256410256411</v>
      </c>
      <c r="M100" s="25">
        <v>11.502607262031209</v>
      </c>
      <c r="N100" s="25">
        <v>21.650586540194972</v>
      </c>
      <c r="O100" s="26">
        <v>3374.2629695885503</v>
      </c>
      <c r="P100" s="23">
        <f t="shared" si="1"/>
        <v>10.125063122923589</v>
      </c>
      <c r="Q100" s="23">
        <f t="shared" si="2"/>
        <v>61.417926795211216</v>
      </c>
      <c r="R100">
        <v>1578</v>
      </c>
      <c r="S100" s="27">
        <f t="shared" si="3"/>
        <v>414984.96422560752</v>
      </c>
      <c r="T100" s="27">
        <f t="shared" si="4"/>
        <v>173381.43078283145</v>
      </c>
      <c r="U100" s="27">
        <f t="shared" si="5"/>
        <v>588366.39500843897</v>
      </c>
      <c r="V100" t="str">
        <f>VLOOKUP(B100,NUTS_Europa!$B$2:$F$41,5,FALSE)</f>
        <v>Prov. Antwerpen</v>
      </c>
      <c r="W100" t="str">
        <f>VLOOKUP(C100,Puertos!$N$3:$O$27,2,FALSE)</f>
        <v>Amberes</v>
      </c>
      <c r="X100" t="str">
        <f>VLOOKUP(D100,NUTS_Europa!$B$2:$F$41,5,FALSE)</f>
        <v>Cantabria</v>
      </c>
      <c r="Y100" t="str">
        <f>VLOOKUP(E100,Puertos!$N$3:$O$27,2,FALSE)</f>
        <v>Bilbao</v>
      </c>
    </row>
    <row r="101" spans="2:27" hidden="1" x14ac:dyDescent="0.25">
      <c r="B101" s="24" t="str">
        <f>VLOOKUP(G101,[1]NUTS_Europa!$A$2:$C$81,2,FALSE)</f>
        <v>ES13</v>
      </c>
      <c r="C101" s="24">
        <f>VLOOKUP(G101,[1]NUTS_Europa!$A$2:$C$81,3,FALSE)</f>
        <v>163</v>
      </c>
      <c r="D101" s="24" t="str">
        <f>VLOOKUP(F101,[1]NUTS_Europa!$A$2:$C$81,2,FALSE)</f>
        <v>DEF0</v>
      </c>
      <c r="E101" s="24">
        <f>VLOOKUP(F101,[1]NUTS_Europa!$A$2:$C$81,3,FALSE)</f>
        <v>1069</v>
      </c>
      <c r="F101" s="24">
        <v>10</v>
      </c>
      <c r="G101" s="24">
        <v>13</v>
      </c>
      <c r="H101" s="56">
        <v>1181210.4955763307</v>
      </c>
      <c r="I101" s="56">
        <v>1423840.7584946458</v>
      </c>
      <c r="J101" s="56">
        <f t="shared" si="0"/>
        <v>101702.91132104614</v>
      </c>
      <c r="K101" s="26">
        <v>163171.48832599766</v>
      </c>
      <c r="L101" s="25">
        <v>53.746153846153845</v>
      </c>
      <c r="M101" s="25">
        <v>11.446354476888754</v>
      </c>
      <c r="N101" s="25">
        <v>18.762962363580304</v>
      </c>
      <c r="O101" s="26">
        <v>3374.2629695885503</v>
      </c>
      <c r="P101" s="23">
        <f t="shared" si="1"/>
        <v>8.7746434929877584</v>
      </c>
      <c r="Q101" s="23">
        <f t="shared" si="2"/>
        <v>73.967151816030366</v>
      </c>
      <c r="R101">
        <v>1578</v>
      </c>
      <c r="S101" s="27">
        <f t="shared" si="3"/>
        <v>552402.16272969847</v>
      </c>
      <c r="T101" s="27">
        <f t="shared" si="4"/>
        <v>203405.82264209227</v>
      </c>
      <c r="U101" s="27">
        <f t="shared" si="5"/>
        <v>755807.98537179071</v>
      </c>
      <c r="V101" t="str">
        <f>VLOOKUP(B101,NUTS_Europa!$B$2:$F$41,5,FALSE)</f>
        <v>Cantabria</v>
      </c>
      <c r="W101" t="str">
        <f>VLOOKUP(C101,Puertos!$N$3:$O$27,2,FALSE)</f>
        <v>Bilbao</v>
      </c>
      <c r="X101" t="str">
        <f>VLOOKUP(D101,NUTS_Europa!$B$2:$F$41,5,FALSE)</f>
        <v>Schleswig-Holstein</v>
      </c>
      <c r="Y101" t="str">
        <f>VLOOKUP(E101,Puertos!$N$3:$O$27,2,FALSE)</f>
        <v>Hamburgo</v>
      </c>
    </row>
    <row r="102" spans="2:27" hidden="1" x14ac:dyDescent="0.25">
      <c r="H102">
        <f>AVERAGE([2]Tabla_v3!$M$906,[2]Tabla_v3!$M$623,[2]Tabla_v3!$M$93,[2]Tabla_v3!$M$558,[2]Tabla_v3!$M$855)</f>
        <v>0.25027256551167437</v>
      </c>
      <c r="L102" s="23">
        <f>SUM(L96:L101)</f>
        <v>199.9753846153846</v>
      </c>
      <c r="Q102" s="23">
        <f>SUM(Q96:Q101)</f>
        <v>327.01688485343573</v>
      </c>
      <c r="S102" s="27"/>
      <c r="T102" s="27"/>
      <c r="U102" s="27">
        <f>SUM(U96:U101)</f>
        <v>3429123.1712125908</v>
      </c>
    </row>
    <row r="103" spans="2:27" hidden="1" x14ac:dyDescent="0.25">
      <c r="B103" t="s">
        <v>146</v>
      </c>
      <c r="Q103" s="23">
        <f>Q102/24</f>
        <v>13.625703535559822</v>
      </c>
      <c r="R103">
        <f>Q103/7</f>
        <v>1.9465290765085459</v>
      </c>
      <c r="T103" s="27"/>
    </row>
    <row r="104" spans="2:27" ht="15.75" thickBot="1" x14ac:dyDescent="0.3">
      <c r="B104" t="s">
        <v>134</v>
      </c>
      <c r="C104" t="s">
        <v>135</v>
      </c>
      <c r="D104" t="s">
        <v>131</v>
      </c>
      <c r="E104" t="s">
        <v>136</v>
      </c>
      <c r="F104" t="s">
        <v>39</v>
      </c>
      <c r="G104" t="s">
        <v>40</v>
      </c>
      <c r="H104" t="s">
        <v>137</v>
      </c>
      <c r="I104" t="s">
        <v>133</v>
      </c>
      <c r="J104" t="str">
        <f>J95</f>
        <v>Coste fijo/buque</v>
      </c>
      <c r="K104" t="s">
        <v>41</v>
      </c>
      <c r="L104" t="s">
        <v>42</v>
      </c>
      <c r="M104" t="s">
        <v>43</v>
      </c>
      <c r="N104" t="s">
        <v>44</v>
      </c>
      <c r="O104" t="s">
        <v>45</v>
      </c>
      <c r="P104" t="s">
        <v>156</v>
      </c>
      <c r="Q104" t="s">
        <v>143</v>
      </c>
      <c r="R104" t="str">
        <f>R95</f>
        <v>TEUs/buque</v>
      </c>
      <c r="S104" t="s">
        <v>137</v>
      </c>
      <c r="T104" t="s">
        <v>133</v>
      </c>
      <c r="U104" t="s">
        <v>157</v>
      </c>
      <c r="V104" t="s">
        <v>160</v>
      </c>
      <c r="W104" t="s">
        <v>158</v>
      </c>
      <c r="X104" t="s">
        <v>161</v>
      </c>
      <c r="Y104" t="s">
        <v>159</v>
      </c>
    </row>
    <row r="105" spans="2:27" x14ac:dyDescent="0.25">
      <c r="B105" s="63" t="str">
        <f>VLOOKUP(F105,[1]NUTS_Europa!$A$2:$C$81,2,FALSE)</f>
        <v>DE80</v>
      </c>
      <c r="C105" s="53">
        <f>VLOOKUP(F105,[1]NUTS_Europa!$A$2:$C$81,3,FALSE)</f>
        <v>1069</v>
      </c>
      <c r="D105" s="53" t="str">
        <f>VLOOKUP(G105,[1]NUTS_Europa!$A$2:$C$81,2,FALSE)</f>
        <v>FRI1</v>
      </c>
      <c r="E105" s="53">
        <f>VLOOKUP(G105,[1]NUTS_Europa!$A$2:$C$81,3,FALSE)</f>
        <v>283</v>
      </c>
      <c r="F105" s="53">
        <v>6</v>
      </c>
      <c r="G105" s="53">
        <v>24</v>
      </c>
      <c r="H105" s="65">
        <v>1376636.7893436104</v>
      </c>
      <c r="I105" s="65">
        <v>1332936.0926264275</v>
      </c>
      <c r="J105" s="65">
        <f t="shared" ref="J105:J112" si="6">I105/14</f>
        <v>95209.720901887675</v>
      </c>
      <c r="K105" s="51">
        <v>145277.79316174539</v>
      </c>
      <c r="L105" s="49">
        <v>49.122051282051281</v>
      </c>
      <c r="M105" s="49">
        <v>13.528931999984996</v>
      </c>
      <c r="N105" s="49">
        <f>11.0834500752399+14</f>
        <v>25.083450075239902</v>
      </c>
      <c r="O105" s="51">
        <v>2266.66818622449</v>
      </c>
      <c r="P105" s="49">
        <f>N105*(R105/O105)</f>
        <v>17.462496036818866</v>
      </c>
      <c r="Q105" s="49">
        <f>L105+M105+P105</f>
        <v>80.113479318855141</v>
      </c>
      <c r="R105" s="53">
        <f t="shared" ref="R105:R110" si="7">R96</f>
        <v>1578</v>
      </c>
      <c r="S105" s="65">
        <f>H105*(R105/O105)</f>
        <v>958381.49879475567</v>
      </c>
      <c r="T105" s="65">
        <v>190419.44180377535</v>
      </c>
      <c r="U105" s="65">
        <f>S105+T105</f>
        <v>1148800.9405985309</v>
      </c>
      <c r="V105" s="53" t="str">
        <f>VLOOKUP(B105,NUTS_Europa!$B$2:$F$41,5,FALSE)</f>
        <v>Mecklenburg-Vorpommern</v>
      </c>
      <c r="W105" s="53" t="str">
        <f>VLOOKUP(C105,Puertos!$N$3:$O$27,2,FALSE)</f>
        <v>Hamburgo</v>
      </c>
      <c r="X105" s="53" t="str">
        <f>VLOOKUP(D105,NUTS_Europa!$B$2:$F$41,5,FALSE)</f>
        <v>Aquitaine</v>
      </c>
      <c r="Y105" s="54" t="str">
        <f>VLOOKUP(E105,Puertos!$N$3:$O$27,2,FALSE)</f>
        <v>La Rochelle</v>
      </c>
      <c r="Z105" s="23">
        <f t="shared" ref="Z105:Z112" si="8">(168/2)-Q105</f>
        <v>3.8865206811448587</v>
      </c>
      <c r="AA105">
        <f t="shared" ref="AA105:AA112" si="9">Q105/24</f>
        <v>3.3380616382856307</v>
      </c>
    </row>
    <row r="106" spans="2:27" s="16" customFormat="1" ht="15.75" hidden="1" thickBot="1" x14ac:dyDescent="0.3">
      <c r="B106" s="66" t="str">
        <f>VLOOKUP(G106,[1]NUTS_Europa!$A$2:$C$81,2,FALSE)</f>
        <v>FRI1</v>
      </c>
      <c r="C106" s="16">
        <f>VLOOKUP(G106,[1]NUTS_Europa!$A$2:$C$81,3,FALSE)</f>
        <v>283</v>
      </c>
      <c r="D106" s="16" t="str">
        <f>VLOOKUP(F106,[1]NUTS_Europa!$A$2:$C$81,2,FALSE)</f>
        <v>FRE1</v>
      </c>
      <c r="E106" s="16">
        <f>VLOOKUP(F106,[1]NUTS_Europa!$A$2:$C$81,3,FALSE)</f>
        <v>220</v>
      </c>
      <c r="F106" s="16">
        <v>21</v>
      </c>
      <c r="G106" s="16">
        <v>24</v>
      </c>
      <c r="H106" s="27">
        <v>1033951.4005746094</v>
      </c>
      <c r="I106" s="27">
        <v>992575.54635168822</v>
      </c>
      <c r="J106" s="27">
        <f t="shared" si="6"/>
        <v>70898.253310834873</v>
      </c>
      <c r="K106" s="67">
        <v>123840.01515725654</v>
      </c>
      <c r="L106" s="68">
        <v>30.871282051282051</v>
      </c>
      <c r="M106" s="68">
        <v>11.585540436926552</v>
      </c>
      <c r="N106" s="68">
        <v>11.739386235251612</v>
      </c>
      <c r="O106" s="67">
        <v>2266.66818622449</v>
      </c>
      <c r="P106" s="23">
        <f t="shared" ref="P106:P111" si="10">N106*(R106/O106)</f>
        <v>8.1726789972215013</v>
      </c>
      <c r="Q106" s="23">
        <f t="shared" ref="Q106:Q112" si="11">L106+M106+P106</f>
        <v>50.629501485430104</v>
      </c>
      <c r="R106">
        <f t="shared" si="7"/>
        <v>1578</v>
      </c>
      <c r="S106" s="27">
        <f t="shared" ref="S106:S112" si="12">H106*(R106/O106)</f>
        <v>719812.1542546514</v>
      </c>
      <c r="T106" s="65">
        <v>141796.50662166975</v>
      </c>
      <c r="U106" s="27">
        <f t="shared" ref="U106:U112" si="13">S106+T106</f>
        <v>861608.66087632114</v>
      </c>
      <c r="V106" t="str">
        <f>VLOOKUP(B106,NUTS_Europa!$B$2:$F$41,5,FALSE)</f>
        <v>Aquitaine</v>
      </c>
      <c r="W106" t="str">
        <f>VLOOKUP(C106,Puertos!$N$3:$O$27,2,FALSE)</f>
        <v>La Rochelle</v>
      </c>
      <c r="X106" t="str">
        <f>VLOOKUP(D106,NUTS_Europa!$B$2:$F$41,5,FALSE)</f>
        <v>Nord-Pas de Calais</v>
      </c>
      <c r="Y106" s="55" t="str">
        <f>VLOOKUP(E106,Puertos!$N$3:$O$27,2,FALSE)</f>
        <v>Zeebrugge</v>
      </c>
      <c r="Z106" s="23">
        <f t="shared" si="8"/>
        <v>33.370498514569896</v>
      </c>
      <c r="AA106">
        <f t="shared" si="9"/>
        <v>2.109562561892921</v>
      </c>
    </row>
    <row r="107" spans="2:27" s="16" customFormat="1" ht="15.75" hidden="1" thickBot="1" x14ac:dyDescent="0.3">
      <c r="B107" s="66" t="str">
        <f>VLOOKUP(F107,[1]NUTS_Europa!$A$2:$C$81,2,FALSE)</f>
        <v>FRE1</v>
      </c>
      <c r="C107" s="16">
        <f>VLOOKUP(F107,[1]NUTS_Europa!$A$2:$C$81,3,FALSE)</f>
        <v>220</v>
      </c>
      <c r="D107" s="16" t="str">
        <f>VLOOKUP(G107,[1]NUTS_Europa!$A$2:$C$81,2,FALSE)</f>
        <v>FRI3</v>
      </c>
      <c r="E107" s="16">
        <f>VLOOKUP(G107,[1]NUTS_Europa!$A$2:$C$81,3,FALSE)</f>
        <v>283</v>
      </c>
      <c r="F107" s="16">
        <v>21</v>
      </c>
      <c r="G107" s="16">
        <v>25</v>
      </c>
      <c r="H107" s="27">
        <v>675327.09348882234</v>
      </c>
      <c r="I107" s="27">
        <v>992575.54635168822</v>
      </c>
      <c r="J107" s="27">
        <f t="shared" si="6"/>
        <v>70898.253310834873</v>
      </c>
      <c r="K107" s="67">
        <v>117061.71481038857</v>
      </c>
      <c r="L107" s="68">
        <v>30.871282051282051</v>
      </c>
      <c r="M107" s="68">
        <v>11.585540436926552</v>
      </c>
      <c r="N107" s="68">
        <v>11.739386235251612</v>
      </c>
      <c r="O107" s="67">
        <v>2266.66818622449</v>
      </c>
      <c r="P107" s="23">
        <f t="shared" si="10"/>
        <v>8.1726789972215013</v>
      </c>
      <c r="Q107" s="23">
        <f t="shared" si="11"/>
        <v>50.629501485430104</v>
      </c>
      <c r="R107">
        <f t="shared" si="7"/>
        <v>1578</v>
      </c>
      <c r="S107" s="27">
        <f t="shared" si="12"/>
        <v>470146.51725465141</v>
      </c>
      <c r="T107" s="65">
        <v>141796.50662166975</v>
      </c>
      <c r="U107" s="27">
        <f t="shared" si="13"/>
        <v>611943.02387632115</v>
      </c>
      <c r="V107" t="str">
        <f>VLOOKUP(B107,NUTS_Europa!$B$2:$F$41,5,FALSE)</f>
        <v>Nord-Pas de Calais</v>
      </c>
      <c r="W107" t="str">
        <f>VLOOKUP(C107,Puertos!$N$3:$O$27,2,FALSE)</f>
        <v>Zeebrugge</v>
      </c>
      <c r="X107" t="str">
        <f>VLOOKUP(D107,NUTS_Europa!$B$2:$F$41,5,FALSE)</f>
        <v>Poitou-Charentes</v>
      </c>
      <c r="Y107" s="55" t="str">
        <f>VLOOKUP(E107,Puertos!$N$3:$O$27,2,FALSE)</f>
        <v>La Rochelle</v>
      </c>
      <c r="Z107" s="23">
        <f t="shared" si="8"/>
        <v>33.370498514569896</v>
      </c>
      <c r="AA107">
        <f t="shared" si="9"/>
        <v>2.109562561892921</v>
      </c>
    </row>
    <row r="108" spans="2:27" s="16" customFormat="1" ht="15.75" hidden="1" thickBot="1" x14ac:dyDescent="0.3">
      <c r="B108" s="66" t="str">
        <f>VLOOKUP(G108,[1]NUTS_Europa!$A$2:$C$81,2,FALSE)</f>
        <v>FRI3</v>
      </c>
      <c r="C108" s="16">
        <f>VLOOKUP(G108,[1]NUTS_Europa!$A$2:$C$81,3,FALSE)</f>
        <v>283</v>
      </c>
      <c r="D108" s="16" t="str">
        <f>VLOOKUP(F108,[1]NUTS_Europa!$A$2:$C$81,2,FALSE)</f>
        <v>FRD2</v>
      </c>
      <c r="E108" s="16">
        <f>VLOOKUP(F108,[1]NUTS_Europa!$A$2:$C$81,3,FALSE)</f>
        <v>269</v>
      </c>
      <c r="F108" s="16">
        <v>20</v>
      </c>
      <c r="G108" s="16">
        <v>25</v>
      </c>
      <c r="H108" s="27">
        <v>541542.71024257515</v>
      </c>
      <c r="I108" s="27">
        <v>997977.48864301026</v>
      </c>
      <c r="J108" s="27">
        <f t="shared" si="6"/>
        <v>71284.10633164359</v>
      </c>
      <c r="K108" s="67">
        <v>141512.315270936</v>
      </c>
      <c r="L108" s="68">
        <v>23.743589743589745</v>
      </c>
      <c r="M108" s="68">
        <v>13.502994331194085</v>
      </c>
      <c r="N108" s="68">
        <v>13.023217637488681</v>
      </c>
      <c r="O108" s="67">
        <v>2266.66818622449</v>
      </c>
      <c r="P108" s="23">
        <f t="shared" si="10"/>
        <v>9.0664516124822025</v>
      </c>
      <c r="Q108" s="23">
        <f t="shared" si="11"/>
        <v>46.31303568726603</v>
      </c>
      <c r="R108">
        <f t="shared" si="7"/>
        <v>1578</v>
      </c>
      <c r="S108" s="27">
        <f t="shared" si="12"/>
        <v>377009.03994518268</v>
      </c>
      <c r="T108" s="65">
        <v>142568.21266328718</v>
      </c>
      <c r="U108" s="27">
        <f t="shared" si="13"/>
        <v>519577.25260846986</v>
      </c>
      <c r="V108" t="str">
        <f>VLOOKUP(B108,NUTS_Europa!$B$2:$F$41,5,FALSE)</f>
        <v>Poitou-Charentes</v>
      </c>
      <c r="W108" t="str">
        <f>VLOOKUP(C108,Puertos!$N$3:$O$27,2,FALSE)</f>
        <v>La Rochelle</v>
      </c>
      <c r="X108" t="str">
        <f>VLOOKUP(D108,NUTS_Europa!$B$2:$F$41,5,FALSE)</f>
        <v xml:space="preserve">Haute-Normandie </v>
      </c>
      <c r="Y108" s="55" t="str">
        <f>VLOOKUP(E108,Puertos!$N$3:$O$27,2,FALSE)</f>
        <v>Le Havre</v>
      </c>
      <c r="Z108" s="23">
        <f t="shared" si="8"/>
        <v>37.68696431273397</v>
      </c>
      <c r="AA108">
        <f t="shared" si="9"/>
        <v>1.9297098203027512</v>
      </c>
    </row>
    <row r="109" spans="2:27" s="16" customFormat="1" ht="15.75" hidden="1" thickBot="1" x14ac:dyDescent="0.3">
      <c r="B109" s="66" t="str">
        <f>VLOOKUP(F109,[1]NUTS_Europa!$A$2:$C$81,2,FALSE)</f>
        <v>FRD2</v>
      </c>
      <c r="C109" s="16">
        <f>VLOOKUP(F109,[1]NUTS_Europa!$A$2:$C$81,3,FALSE)</f>
        <v>269</v>
      </c>
      <c r="D109" s="16" t="str">
        <f>VLOOKUP(G109,[1]NUTS_Europa!$A$2:$C$81,2,FALSE)</f>
        <v>FRH0</v>
      </c>
      <c r="E109" s="16">
        <f>VLOOKUP(G109,[1]NUTS_Europa!$A$2:$C$81,3,FALSE)</f>
        <v>283</v>
      </c>
      <c r="F109" s="16">
        <v>20</v>
      </c>
      <c r="G109" s="16">
        <v>23</v>
      </c>
      <c r="H109" s="27">
        <v>1090639.6783531783</v>
      </c>
      <c r="I109" s="27">
        <v>997977.48864301026</v>
      </c>
      <c r="J109" s="27">
        <f t="shared" si="6"/>
        <v>71284.10633164359</v>
      </c>
      <c r="K109" s="67">
        <v>159445.52860932166</v>
      </c>
      <c r="L109" s="68">
        <v>23.743589743589745</v>
      </c>
      <c r="M109" s="68">
        <v>13.502994331194085</v>
      </c>
      <c r="N109" s="68">
        <v>13.023217637488681</v>
      </c>
      <c r="O109" s="67">
        <v>2266.66818622449</v>
      </c>
      <c r="P109" s="23">
        <f t="shared" si="10"/>
        <v>9.0664516124822025</v>
      </c>
      <c r="Q109" s="23">
        <f t="shared" si="11"/>
        <v>46.31303568726603</v>
      </c>
      <c r="R109">
        <f t="shared" si="7"/>
        <v>1578</v>
      </c>
      <c r="S109" s="27">
        <f t="shared" si="12"/>
        <v>759277.17294518254</v>
      </c>
      <c r="T109" s="65">
        <v>142568.21266328718</v>
      </c>
      <c r="U109" s="27">
        <f t="shared" si="13"/>
        <v>901845.38560846972</v>
      </c>
      <c r="V109" t="str">
        <f>VLOOKUP(B109,NUTS_Europa!$B$2:$F$41,5,FALSE)</f>
        <v xml:space="preserve">Haute-Normandie </v>
      </c>
      <c r="W109" t="str">
        <f>VLOOKUP(C109,Puertos!$N$3:$O$27,2,FALSE)</f>
        <v>Le Havre</v>
      </c>
      <c r="X109" t="str">
        <f>VLOOKUP(D109,NUTS_Europa!$B$2:$F$41,5,FALSE)</f>
        <v>Bretagne</v>
      </c>
      <c r="Y109" s="55" t="str">
        <f>VLOOKUP(E109,Puertos!$N$3:$O$27,2,FALSE)</f>
        <v>La Rochelle</v>
      </c>
      <c r="Z109" s="23">
        <f t="shared" si="8"/>
        <v>37.68696431273397</v>
      </c>
      <c r="AA109">
        <f t="shared" si="9"/>
        <v>1.9297098203027512</v>
      </c>
    </row>
    <row r="110" spans="2:27" x14ac:dyDescent="0.25">
      <c r="B110" s="64" t="str">
        <f>VLOOKUP(G110,[1]NUTS_Europa!$A$2:$C$81,2,FALSE)</f>
        <v>FRH0</v>
      </c>
      <c r="C110">
        <f>VLOOKUP(G110,[1]NUTS_Europa!$A$2:$C$81,3,FALSE)</f>
        <v>283</v>
      </c>
      <c r="D110" t="str">
        <f>VLOOKUP(F110,[1]NUTS_Europa!$A$2:$C$81,2,FALSE)</f>
        <v>DEA1</v>
      </c>
      <c r="E110">
        <f>VLOOKUP(F110,[1]NUTS_Europa!$A$2:$C$81,3,FALSE)</f>
        <v>253</v>
      </c>
      <c r="F110">
        <v>9</v>
      </c>
      <c r="G110">
        <v>23</v>
      </c>
      <c r="H110" s="27">
        <v>1611632.731946907</v>
      </c>
      <c r="I110" s="27">
        <v>1127331.7491310635</v>
      </c>
      <c r="J110" s="27">
        <f t="shared" si="6"/>
        <v>80523.696366504533</v>
      </c>
      <c r="K110" s="2">
        <v>144185.26102544673</v>
      </c>
      <c r="L110" s="23">
        <v>35.415384615384617</v>
      </c>
      <c r="M110" s="23">
        <v>13.585184785127449</v>
      </c>
      <c r="N110" s="23">
        <f>13.0232176374887+14</f>
        <v>27.023217637488699</v>
      </c>
      <c r="O110" s="2">
        <v>2266.66818622449</v>
      </c>
      <c r="P110" s="23">
        <f t="shared" si="10"/>
        <v>18.812915666754698</v>
      </c>
      <c r="Q110" s="23">
        <f t="shared" si="11"/>
        <v>67.813485067266754</v>
      </c>
      <c r="R110">
        <f t="shared" si="7"/>
        <v>1578</v>
      </c>
      <c r="S110" s="27">
        <f t="shared" si="12"/>
        <v>1121980.0350435351</v>
      </c>
      <c r="T110" s="27">
        <v>161047.39273300907</v>
      </c>
      <c r="U110" s="27">
        <f t="shared" si="13"/>
        <v>1283027.4277765441</v>
      </c>
      <c r="V110" t="str">
        <f>VLOOKUP(B110,NUTS_Europa!$B$2:$F$41,5,FALSE)</f>
        <v>Bretagne</v>
      </c>
      <c r="W110" t="str">
        <f>VLOOKUP(C110,Puertos!$N$3:$O$27,2,FALSE)</f>
        <v>La Rochelle</v>
      </c>
      <c r="X110" t="str">
        <f>VLOOKUP(D110,NUTS_Europa!$B$2:$F$41,5,FALSE)</f>
        <v>Düsseldorf</v>
      </c>
      <c r="Y110" s="55" t="str">
        <f>VLOOKUP(E110,Puertos!$N$3:$O$27,2,FALSE)</f>
        <v>Amberes</v>
      </c>
      <c r="Z110" s="23">
        <f t="shared" si="8"/>
        <v>16.186514932733246</v>
      </c>
      <c r="AA110">
        <f t="shared" si="9"/>
        <v>2.8255618778027816</v>
      </c>
    </row>
    <row r="111" spans="2:27" x14ac:dyDescent="0.25">
      <c r="B111" s="64" t="str">
        <f>VLOOKUP(F111,[1]NUTS_Europa!$A$2:$C$81,2,FALSE)</f>
        <v>DEA1</v>
      </c>
      <c r="C111">
        <f>VLOOKUP(F111,[1]NUTS_Europa!$A$2:$C$81,3,FALSE)</f>
        <v>253</v>
      </c>
      <c r="D111" t="str">
        <f>VLOOKUP(G111,[1]NUTS_Europa!$A$2:$C$81,2,FALSE)</f>
        <v>ES11</v>
      </c>
      <c r="E111">
        <f>VLOOKUP(G111,[1]NUTS_Europa!$A$2:$C$81,3,FALSE)</f>
        <v>288</v>
      </c>
      <c r="F111">
        <v>9</v>
      </c>
      <c r="G111">
        <v>11</v>
      </c>
      <c r="H111" s="27">
        <v>589052.64568621514</v>
      </c>
      <c r="I111" s="27">
        <v>1338823.6403692504</v>
      </c>
      <c r="J111" s="27">
        <f t="shared" si="6"/>
        <v>95630.260026375036</v>
      </c>
      <c r="K111" s="2">
        <v>142392.8717171422</v>
      </c>
      <c r="L111" s="23">
        <v>45.494871794871791</v>
      </c>
      <c r="M111" s="23">
        <v>10.844207812336943</v>
      </c>
      <c r="N111" s="23">
        <f>5.84157308391993+6</f>
        <v>11.841573083919929</v>
      </c>
      <c r="O111" s="2">
        <v>1050.5272759847392</v>
      </c>
      <c r="P111" s="23">
        <f t="shared" si="10"/>
        <v>11.841573083919929</v>
      </c>
      <c r="Q111" s="23">
        <f t="shared" si="11"/>
        <v>68.180652691128657</v>
      </c>
      <c r="R111" s="2">
        <f>O111</f>
        <v>1050.5272759847392</v>
      </c>
      <c r="S111" s="27">
        <f t="shared" si="12"/>
        <v>589052.64568621514</v>
      </c>
      <c r="T111" s="27">
        <v>191260.52005275007</v>
      </c>
      <c r="U111" s="27">
        <f t="shared" si="13"/>
        <v>780313.16573896515</v>
      </c>
      <c r="V111" t="str">
        <f>VLOOKUP(B111,NUTS_Europa!$B$2:$F$41,5,FALSE)</f>
        <v>Düsseldorf</v>
      </c>
      <c r="W111" t="str">
        <f>VLOOKUP(C111,Puertos!$N$3:$O$27,2,FALSE)</f>
        <v>Amberes</v>
      </c>
      <c r="X111" t="str">
        <f>VLOOKUP(D111,NUTS_Europa!$B$2:$F$41,5,FALSE)</f>
        <v>Galicia</v>
      </c>
      <c r="Y111" s="55" t="str">
        <f>VLOOKUP(E111,Puertos!$N$3:$O$27,2,FALSE)</f>
        <v>Vigo</v>
      </c>
      <c r="Z111" s="23">
        <f t="shared" si="8"/>
        <v>15.819347308871343</v>
      </c>
      <c r="AA111">
        <f t="shared" si="9"/>
        <v>2.8408605287970272</v>
      </c>
    </row>
    <row r="112" spans="2:27" ht="15.75" thickBot="1" x14ac:dyDescent="0.3">
      <c r="B112" s="20" t="str">
        <f>VLOOKUP(G112,[1]NUTS_Europa!$A$2:$C$81,2,FALSE)</f>
        <v>ES11</v>
      </c>
      <c r="C112" s="21">
        <f>VLOOKUP(G112,[1]NUTS_Europa!$A$2:$C$81,3,FALSE)</f>
        <v>288</v>
      </c>
      <c r="D112" s="21" t="str">
        <f>VLOOKUP(F112,[1]NUTS_Europa!$A$2:$C$81,2,FALSE)</f>
        <v>DE80</v>
      </c>
      <c r="E112" s="21">
        <f>VLOOKUP(F112,[1]NUTS_Europa!$A$2:$C$81,3,FALSE)</f>
        <v>1069</v>
      </c>
      <c r="F112" s="21">
        <v>6</v>
      </c>
      <c r="G112" s="21">
        <v>11</v>
      </c>
      <c r="H112" s="69">
        <v>565702.00403954345</v>
      </c>
      <c r="I112" s="69">
        <v>1548580.1934055921</v>
      </c>
      <c r="J112" s="69">
        <f t="shared" si="6"/>
        <v>110612.8709575423</v>
      </c>
      <c r="K112" s="52">
        <v>142841.86171918266</v>
      </c>
      <c r="L112" s="50">
        <v>59.42307692307692</v>
      </c>
      <c r="M112" s="50">
        <v>10.787955027194489</v>
      </c>
      <c r="N112" s="50">
        <f>4.94255365725782+6</f>
        <v>10.94255365725782</v>
      </c>
      <c r="O112" s="52">
        <v>1050.5272759847392</v>
      </c>
      <c r="P112" s="50">
        <f>N112*(R112/O112)</f>
        <v>10.94255365725782</v>
      </c>
      <c r="Q112" s="50">
        <f t="shared" si="11"/>
        <v>81.153585607529223</v>
      </c>
      <c r="R112" s="52">
        <f>O112</f>
        <v>1050.5272759847392</v>
      </c>
      <c r="S112" s="69">
        <f t="shared" si="12"/>
        <v>565702.00403954345</v>
      </c>
      <c r="T112" s="69">
        <v>221225.7419150846</v>
      </c>
      <c r="U112" s="69">
        <f t="shared" si="13"/>
        <v>786927.7459546281</v>
      </c>
      <c r="V112" s="21" t="str">
        <f>VLOOKUP(B112,NUTS_Europa!$B$2:$F$41,5,FALSE)</f>
        <v>Galicia</v>
      </c>
      <c r="W112" s="21" t="str">
        <f>VLOOKUP(C112,Puertos!$N$3:$O$27,2,FALSE)</f>
        <v>Vigo</v>
      </c>
      <c r="X112" s="21" t="str">
        <f>VLOOKUP(D112,NUTS_Europa!$B$2:$F$41,5,FALSE)</f>
        <v>Mecklenburg-Vorpommern</v>
      </c>
      <c r="Y112" s="22" t="str">
        <f>VLOOKUP(E112,Puertos!$N$3:$O$27,2,FALSE)</f>
        <v>Hamburgo</v>
      </c>
      <c r="Z112" s="23">
        <f t="shared" si="8"/>
        <v>2.846414392470777</v>
      </c>
      <c r="AA112">
        <f t="shared" si="9"/>
        <v>3.3813994003137178</v>
      </c>
    </row>
    <row r="113" spans="2:28" x14ac:dyDescent="0.25">
      <c r="P113" s="23"/>
      <c r="Q113" s="23">
        <f>Q105+Q110+Q111+Q112</f>
        <v>297.26120268477979</v>
      </c>
      <c r="R113">
        <f>R112/R105</f>
        <v>0.66573338148589301</v>
      </c>
      <c r="S113" s="23"/>
      <c r="Z113" s="23">
        <f>AVERAGE(Z105:Z112)</f>
        <v>22.606715371228496</v>
      </c>
    </row>
    <row r="114" spans="2:28" x14ac:dyDescent="0.25">
      <c r="Q114" s="23">
        <f>Q113/24</f>
        <v>12.385883445199157</v>
      </c>
      <c r="R114">
        <f>Q114/7</f>
        <v>1.7694119207427368</v>
      </c>
    </row>
    <row r="115" spans="2:28" x14ac:dyDescent="0.25">
      <c r="B115" t="s">
        <v>147</v>
      </c>
    </row>
    <row r="116" spans="2:28" ht="15.75" thickBot="1" x14ac:dyDescent="0.3">
      <c r="B116" t="s">
        <v>134</v>
      </c>
      <c r="C116" t="s">
        <v>135</v>
      </c>
      <c r="D116" t="s">
        <v>131</v>
      </c>
      <c r="E116" t="s">
        <v>136</v>
      </c>
      <c r="F116" t="s">
        <v>39</v>
      </c>
      <c r="G116" t="s">
        <v>40</v>
      </c>
      <c r="H116" t="s">
        <v>137</v>
      </c>
      <c r="I116" t="s">
        <v>133</v>
      </c>
      <c r="J116" t="str">
        <f>J104</f>
        <v>Coste fijo/buque</v>
      </c>
      <c r="K116" t="s">
        <v>41</v>
      </c>
      <c r="L116" t="s">
        <v>42</v>
      </c>
      <c r="M116" t="s">
        <v>43</v>
      </c>
      <c r="N116" t="s">
        <v>44</v>
      </c>
      <c r="O116" t="s">
        <v>45</v>
      </c>
      <c r="P116" t="s">
        <v>156</v>
      </c>
      <c r="Q116" t="s">
        <v>143</v>
      </c>
      <c r="R116" t="s">
        <v>155</v>
      </c>
      <c r="S116" t="s">
        <v>137</v>
      </c>
      <c r="T116" t="s">
        <v>133</v>
      </c>
      <c r="U116" t="s">
        <v>157</v>
      </c>
      <c r="V116" t="s">
        <v>160</v>
      </c>
      <c r="W116" t="s">
        <v>158</v>
      </c>
      <c r="X116" t="s">
        <v>161</v>
      </c>
      <c r="Y116" t="s">
        <v>159</v>
      </c>
    </row>
    <row r="117" spans="2:28" hidden="1" x14ac:dyDescent="0.25">
      <c r="B117" t="str">
        <f>VLOOKUP(G117,[1]NUTS_Europa!$A$2:$C$81,2,FALSE)</f>
        <v>NL32</v>
      </c>
      <c r="C117">
        <f>VLOOKUP(G117,[1]NUTS_Europa!$A$2:$C$81,3,FALSE)</f>
        <v>218</v>
      </c>
      <c r="D117" t="str">
        <f>VLOOKUP(F117,[1]NUTS_Europa!$A$2:$C$81,2,FALSE)</f>
        <v>DE93</v>
      </c>
      <c r="E117">
        <f>VLOOKUP(F117,[1]NUTS_Europa!$A$2:$C$81,3,FALSE)</f>
        <v>1069</v>
      </c>
      <c r="F117">
        <v>7</v>
      </c>
      <c r="G117">
        <v>32</v>
      </c>
      <c r="H117">
        <v>540625.28541179141</v>
      </c>
      <c r="I117">
        <v>849369.26806492324</v>
      </c>
      <c r="J117">
        <f t="shared" ref="J117:J158" si="14">I117/14</f>
        <v>60669.233433208799</v>
      </c>
      <c r="K117">
        <v>199058.85825050285</v>
      </c>
      <c r="L117">
        <v>13.844615384615386</v>
      </c>
      <c r="M117">
        <v>8.533427864963075</v>
      </c>
      <c r="N117">
        <v>21.149406761232438</v>
      </c>
      <c r="O117" s="2">
        <v>4803.0739774448748</v>
      </c>
    </row>
    <row r="118" spans="2:28" hidden="1" x14ac:dyDescent="0.25">
      <c r="B118" t="str">
        <f>VLOOKUP(F118,[1]NUTS_Europa!$A$2:$C$81,2,FALSE)</f>
        <v>DE93</v>
      </c>
      <c r="C118">
        <f>VLOOKUP(F118,[1]NUTS_Europa!$A$2:$C$81,3,FALSE)</f>
        <v>1069</v>
      </c>
      <c r="D118" t="str">
        <f>VLOOKUP(G118,[1]NUTS_Europa!$A$2:$C$81,2,FALSE)</f>
        <v>NL12</v>
      </c>
      <c r="E118">
        <f>VLOOKUP(G118,[1]NUTS_Europa!$A$2:$C$81,3,FALSE)</f>
        <v>218</v>
      </c>
      <c r="F118">
        <v>7</v>
      </c>
      <c r="G118">
        <v>31</v>
      </c>
      <c r="H118">
        <v>1282892.81819352</v>
      </c>
      <c r="I118">
        <v>849369.26806492324</v>
      </c>
      <c r="J118">
        <f t="shared" si="14"/>
        <v>60669.233433208799</v>
      </c>
      <c r="K118">
        <v>163171.48832599766</v>
      </c>
      <c r="L118">
        <v>13.844615384615386</v>
      </c>
      <c r="M118">
        <v>8.533427864963075</v>
      </c>
      <c r="N118">
        <v>21.149406761232438</v>
      </c>
      <c r="O118" s="2">
        <v>4803.0739774448748</v>
      </c>
    </row>
    <row r="119" spans="2:28" hidden="1" x14ac:dyDescent="0.25">
      <c r="B119" t="str">
        <f>VLOOKUP(G119,[1]NUTS_Europa!$A$2:$C$81,2,FALSE)</f>
        <v>FRJ2</v>
      </c>
      <c r="C119">
        <f>VLOOKUP(G119,[1]NUTS_Europa!$A$2:$C$81,3,FALSE)</f>
        <v>283</v>
      </c>
      <c r="D119" t="str">
        <f>VLOOKUP(F119,[1]NUTS_Europa!$A$2:$C$81,2,FALSE)</f>
        <v>FRJ1</v>
      </c>
      <c r="E119">
        <f>VLOOKUP(F119,[1]NUTS_Europa!$A$2:$C$81,3,FALSE)</f>
        <v>1063</v>
      </c>
      <c r="F119">
        <v>26</v>
      </c>
      <c r="G119">
        <v>28</v>
      </c>
      <c r="H119">
        <v>2313210.4261628664</v>
      </c>
      <c r="I119">
        <v>5686200.3027620232</v>
      </c>
      <c r="J119">
        <f t="shared" si="14"/>
        <v>406157.16448300163</v>
      </c>
      <c r="K119">
        <v>142841.86171918266</v>
      </c>
      <c r="L119">
        <v>79.166000000000011</v>
      </c>
      <c r="M119">
        <v>10.621391745830747</v>
      </c>
      <c r="N119">
        <v>11.083450075239885</v>
      </c>
      <c r="O119" s="2">
        <v>2266.66818622449</v>
      </c>
    </row>
    <row r="120" spans="2:28" hidden="1" x14ac:dyDescent="0.25">
      <c r="B120" s="24" t="str">
        <f>VLOOKUP(F120,[1]NUTS_Europa!$A$2:$C$81,2,FALSE)</f>
        <v>FRJ1</v>
      </c>
      <c r="C120" s="24">
        <f>VLOOKUP(F120,[1]NUTS_Europa!$A$2:$C$81,3,FALSE)</f>
        <v>1063</v>
      </c>
      <c r="D120" s="24" t="str">
        <f>VLOOKUP(G120,[1]NUTS_Europa!$A$2:$C$81,2,FALSE)</f>
        <v>PT17</v>
      </c>
      <c r="E120" s="24">
        <f>VLOOKUP(G120,[1]NUTS_Europa!$A$2:$C$81,3,FALSE)</f>
        <v>294</v>
      </c>
      <c r="F120" s="24">
        <v>26</v>
      </c>
      <c r="G120" s="24">
        <v>39</v>
      </c>
      <c r="H120" s="28">
        <v>1491107.6623920791</v>
      </c>
      <c r="I120" s="28">
        <v>5077684.4935706602</v>
      </c>
      <c r="J120">
        <f t="shared" si="14"/>
        <v>362691.74954076146</v>
      </c>
      <c r="K120" s="26">
        <v>137713.62258431225</v>
      </c>
      <c r="L120" s="25">
        <v>41.743589743589745</v>
      </c>
      <c r="M120" s="25">
        <v>6.9676859918207992</v>
      </c>
      <c r="N120" s="25">
        <v>13.292401336695443</v>
      </c>
      <c r="O120" s="26">
        <v>2825.2662764782135</v>
      </c>
      <c r="P120" s="23">
        <f>N120*(R120/O120)</f>
        <v>7.4242238630519246</v>
      </c>
      <c r="Q120" s="23">
        <f>L120+M120+P120</f>
        <v>56.135499598462474</v>
      </c>
      <c r="R120">
        <v>1578</v>
      </c>
      <c r="S120" s="27">
        <f>H120*(R120/O120)</f>
        <v>832830.48781786056</v>
      </c>
      <c r="T120" s="27">
        <f>J120*3</f>
        <v>1088075.2486222843</v>
      </c>
      <c r="U120" s="27">
        <f>S120+T120</f>
        <v>1920905.7364401449</v>
      </c>
      <c r="V120" t="str">
        <f>VLOOKUP(B120,NUTS_Europa!$B$2:$F$41,5,FALSE)</f>
        <v>Languedoc-Roussillon</v>
      </c>
      <c r="W120" t="str">
        <f>VLOOKUP(C120,Puertos!$N$3:$O$27,2,FALSE)</f>
        <v>Barcelona</v>
      </c>
      <c r="X120" t="str">
        <f>VLOOKUP(D120,NUTS_Europa!$B$2:$F$41,5,FALSE)</f>
        <v>Área Metropolitana de Lisboa</v>
      </c>
      <c r="Y120" t="str">
        <f>VLOOKUP(E120,Puertos!$N$3:$O$27,2,FALSE)</f>
        <v>Lisboa</v>
      </c>
    </row>
    <row r="121" spans="2:28" ht="15.75" hidden="1" thickBot="1" x14ac:dyDescent="0.3">
      <c r="B121" s="29" t="str">
        <f>VLOOKUP(G121,[1]NUTS_Europa!$A$2:$C$81,2,FALSE)</f>
        <v>PT17</v>
      </c>
      <c r="C121" s="29">
        <f>VLOOKUP(G121,[1]NUTS_Europa!$A$2:$C$81,3,FALSE)</f>
        <v>294</v>
      </c>
      <c r="D121" s="29" t="str">
        <f>VLOOKUP(F121,[1]NUTS_Europa!$A$2:$C$81,2,FALSE)</f>
        <v>ES62</v>
      </c>
      <c r="E121" s="29">
        <f>VLOOKUP(F121,[1]NUTS_Europa!$A$2:$C$81,3,FALSE)</f>
        <v>1064</v>
      </c>
      <c r="F121" s="29">
        <v>18</v>
      </c>
      <c r="G121" s="29">
        <v>39</v>
      </c>
      <c r="H121" s="30">
        <v>1124742.302171458</v>
      </c>
      <c r="I121" s="30">
        <v>996568.84564869152</v>
      </c>
      <c r="J121">
        <f t="shared" si="14"/>
        <v>71183.488974906533</v>
      </c>
      <c r="K121" s="31">
        <v>191087.21980936834</v>
      </c>
      <c r="L121" s="32">
        <v>31.760512820512822</v>
      </c>
      <c r="M121" s="32">
        <v>6.8675133646886897</v>
      </c>
      <c r="N121" s="32">
        <v>13.292401336695443</v>
      </c>
      <c r="O121" s="31">
        <v>2825.2662764782135</v>
      </c>
      <c r="P121" s="23">
        <f t="shared" ref="P121:P158" si="15">N121*(R121/O121)</f>
        <v>7.4242238630519246</v>
      </c>
      <c r="Q121" s="23">
        <f t="shared" ref="Q121:Q158" si="16">L121+M121+P121</f>
        <v>46.052250048253441</v>
      </c>
      <c r="R121">
        <v>1578</v>
      </c>
      <c r="S121" s="27">
        <f t="shared" ref="S121:S158" si="17">H121*(R121/O121)</f>
        <v>628203.92102614872</v>
      </c>
      <c r="T121" s="27">
        <f>J121*3</f>
        <v>213550.4669247196</v>
      </c>
      <c r="U121" s="27">
        <f t="shared" ref="U121:U158" si="18">S121+T121</f>
        <v>841754.38795086835</v>
      </c>
      <c r="V121" t="str">
        <f>VLOOKUP(B121,NUTS_Europa!$B$2:$F$41,5,FALSE)</f>
        <v>Área Metropolitana de Lisboa</v>
      </c>
      <c r="W121" t="str">
        <f>VLOOKUP(C121,Puertos!$N$3:$O$27,2,FALSE)</f>
        <v>Lisboa</v>
      </c>
      <c r="X121" t="str">
        <f>VLOOKUP(D121,NUTS_Europa!$B$2:$F$41,5,FALSE)</f>
        <v>Región de Murcia</v>
      </c>
      <c r="Y121" t="str">
        <f>VLOOKUP(E121,Puertos!$N$3:$O$27,2,FALSE)</f>
        <v>Valencia</v>
      </c>
    </row>
    <row r="122" spans="2:28" ht="15.75" thickBot="1" x14ac:dyDescent="0.3">
      <c r="B122" s="60" t="str">
        <f>VLOOKUP(F122,[1]NUTS_Europa!$A$2:$C$81,2,FALSE)</f>
        <v>ES62</v>
      </c>
      <c r="C122" s="37">
        <f>VLOOKUP(F122,[1]NUTS_Europa!$A$2:$C$81,3,FALSE)</f>
        <v>1064</v>
      </c>
      <c r="D122" s="37" t="str">
        <f>VLOOKUP(G122,[1]NUTS_Europa!$A$2:$C$81,2,FALSE)</f>
        <v>FRG0</v>
      </c>
      <c r="E122" s="37">
        <f>VLOOKUP(G122,[1]NUTS_Europa!$A$2:$C$81,3,FALSE)</f>
        <v>282</v>
      </c>
      <c r="F122" s="37">
        <v>18</v>
      </c>
      <c r="G122" s="37">
        <v>22</v>
      </c>
      <c r="H122" s="38">
        <v>513627.74161135673</v>
      </c>
      <c r="I122" s="38">
        <v>1562667.3304624369</v>
      </c>
      <c r="J122" s="38">
        <f t="shared" si="14"/>
        <v>111619.0950330312</v>
      </c>
      <c r="K122" s="39">
        <v>135416.16142478216</v>
      </c>
      <c r="L122" s="40">
        <v>64.462512820512828</v>
      </c>
      <c r="M122" s="40">
        <v>12.757492780623522</v>
      </c>
      <c r="N122" s="40">
        <f>4.54034199062469+5</f>
        <v>9.5403419906246896</v>
      </c>
      <c r="O122" s="39">
        <v>816.51860465116272</v>
      </c>
      <c r="P122" s="40">
        <f t="shared" si="15"/>
        <v>9.5403419906246896</v>
      </c>
      <c r="Q122" s="40">
        <f t="shared" si="16"/>
        <v>86.760347591761047</v>
      </c>
      <c r="R122" s="39">
        <f>O122</f>
        <v>816.51860465116272</v>
      </c>
      <c r="S122" s="38">
        <f t="shared" si="17"/>
        <v>513627.74161135673</v>
      </c>
      <c r="T122" s="28">
        <f>J122*3</f>
        <v>334857.28509909363</v>
      </c>
      <c r="U122" s="38">
        <f t="shared" si="18"/>
        <v>848485.02671045042</v>
      </c>
      <c r="V122" s="37" t="str">
        <f>VLOOKUP(B122,NUTS_Europa!$B$2:$F$41,5,FALSE)</f>
        <v>Región de Murcia</v>
      </c>
      <c r="W122" s="37" t="str">
        <f>VLOOKUP(C122,Puertos!$N$3:$O$27,2,FALSE)</f>
        <v>Valencia</v>
      </c>
      <c r="X122" s="37" t="str">
        <f>VLOOKUP(D122,NUTS_Europa!$B$2:$F$41,5,FALSE)</f>
        <v>Pays de la Loire</v>
      </c>
      <c r="Y122" s="41" t="str">
        <f>VLOOKUP(E122,Puertos!$N$3:$O$27,2,FALSE)</f>
        <v>Saint Nazaire</v>
      </c>
      <c r="Z122" s="23">
        <f t="shared" ref="Z122:Z129" si="19">(168/2)-Q122</f>
        <v>-2.7603475917610467</v>
      </c>
      <c r="AA122">
        <f t="shared" ref="AA122:AA129" si="20">Q122/24</f>
        <v>3.6150144829900435</v>
      </c>
    </row>
    <row r="123" spans="2:28" ht="15.75" thickBot="1" x14ac:dyDescent="0.3">
      <c r="B123" s="61" t="str">
        <f>VLOOKUP(G123,[1]NUTS_Europa!$A$2:$C$81,2,FALSE)</f>
        <v>FRG0</v>
      </c>
      <c r="C123" s="24">
        <f>VLOOKUP(G123,[1]NUTS_Europa!$A$2:$C$81,3,FALSE)</f>
        <v>282</v>
      </c>
      <c r="D123" s="24" t="str">
        <f>VLOOKUP(F123,[1]NUTS_Europa!$A$2:$C$81,2,FALSE)</f>
        <v>ES61</v>
      </c>
      <c r="E123" s="24">
        <f>VLOOKUP(F123,[1]NUTS_Europa!$A$2:$C$81,3,FALSE)</f>
        <v>61</v>
      </c>
      <c r="F123" s="24">
        <v>17</v>
      </c>
      <c r="G123" s="24">
        <v>22</v>
      </c>
      <c r="H123" s="28">
        <v>535749.70551870822</v>
      </c>
      <c r="I123" s="28">
        <v>1388015.5155974196</v>
      </c>
      <c r="J123" s="38">
        <f t="shared" si="14"/>
        <v>99143.965399815686</v>
      </c>
      <c r="K123" s="26">
        <v>115262.59218235347</v>
      </c>
      <c r="L123" s="25">
        <v>53.940307692307691</v>
      </c>
      <c r="M123" s="25">
        <v>13.759148437364484</v>
      </c>
      <c r="N123" s="25">
        <f>4.27458814413418+5</f>
        <v>9.2745881441341798</v>
      </c>
      <c r="O123" s="26">
        <v>816.51860465116272</v>
      </c>
      <c r="P123" s="25">
        <f t="shared" si="15"/>
        <v>9.2745881441341798</v>
      </c>
      <c r="Q123" s="25">
        <f t="shared" si="16"/>
        <v>76.974044273806356</v>
      </c>
      <c r="R123" s="26">
        <f>O123</f>
        <v>816.51860465116272</v>
      </c>
      <c r="S123" s="28">
        <f t="shared" si="17"/>
        <v>535749.70551870822</v>
      </c>
      <c r="T123" s="28">
        <f t="shared" ref="T123:T129" si="21">J123*3</f>
        <v>297431.89619944704</v>
      </c>
      <c r="U123" s="28">
        <f t="shared" si="18"/>
        <v>833181.6017181552</v>
      </c>
      <c r="V123" s="24" t="str">
        <f>VLOOKUP(B123,NUTS_Europa!$B$2:$F$41,5,FALSE)</f>
        <v>Pays de la Loire</v>
      </c>
      <c r="W123" s="24" t="str">
        <f>VLOOKUP(C123,Puertos!$N$3:$O$27,2,FALSE)</f>
        <v>Saint Nazaire</v>
      </c>
      <c r="X123" s="24" t="str">
        <f>VLOOKUP(D123,NUTS_Europa!$B$2:$F$41,5,FALSE)</f>
        <v>Andalucía</v>
      </c>
      <c r="Y123" s="42" t="str">
        <f>VLOOKUP(E123,Puertos!$N$3:$O$27,2,FALSE)</f>
        <v>Algeciras</v>
      </c>
      <c r="Z123" s="23">
        <f t="shared" si="19"/>
        <v>7.0259557261936436</v>
      </c>
      <c r="AA123">
        <f t="shared" si="20"/>
        <v>3.2072518447419314</v>
      </c>
    </row>
    <row r="124" spans="2:28" ht="15.75" thickBot="1" x14ac:dyDescent="0.3">
      <c r="B124" s="61" t="str">
        <f>VLOOKUP(F124,[1]NUTS_Europa!$A$2:$C$81,2,FALSE)</f>
        <v>ES61</v>
      </c>
      <c r="C124" s="24">
        <f>VLOOKUP(F124,[1]NUTS_Europa!$A$2:$C$81,3,FALSE)</f>
        <v>61</v>
      </c>
      <c r="D124" s="24" t="str">
        <f>VLOOKUP(G124,[1]NUTS_Europa!$A$2:$C$81,2,FALSE)</f>
        <v>PT11</v>
      </c>
      <c r="E124" s="24">
        <f>VLOOKUP(G124,[1]NUTS_Europa!$A$2:$C$81,3,FALSE)</f>
        <v>111</v>
      </c>
      <c r="F124" s="24">
        <v>17</v>
      </c>
      <c r="G124" s="24">
        <v>36</v>
      </c>
      <c r="H124" s="28">
        <v>1655177.2344208334</v>
      </c>
      <c r="I124" s="28">
        <v>749883.79721956258</v>
      </c>
      <c r="J124" s="38">
        <f t="shared" si="14"/>
        <v>53563.1283728259</v>
      </c>
      <c r="K124" s="26">
        <v>507158.32774652442</v>
      </c>
      <c r="L124" s="25">
        <v>16.419999999999998</v>
      </c>
      <c r="M124" s="25">
        <v>8.2081945005222394</v>
      </c>
      <c r="N124" s="25">
        <f>12.3728566061075+20</f>
        <v>32.372856606107504</v>
      </c>
      <c r="O124" s="26">
        <v>2825.2662764782135</v>
      </c>
      <c r="P124" s="25">
        <f t="shared" si="15"/>
        <v>18.081257738338198</v>
      </c>
      <c r="Q124" s="25">
        <f t="shared" si="16"/>
        <v>42.709452238860436</v>
      </c>
      <c r="R124" s="24">
        <v>1578</v>
      </c>
      <c r="S124" s="28">
        <f t="shared" si="17"/>
        <v>924468.49971672613</v>
      </c>
      <c r="T124" s="28">
        <f t="shared" si="21"/>
        <v>160689.38511847769</v>
      </c>
      <c r="U124" s="28">
        <f t="shared" si="18"/>
        <v>1085157.8848352039</v>
      </c>
      <c r="V124" s="24" t="str">
        <f>VLOOKUP(B124,NUTS_Europa!$B$2:$F$41,5,FALSE)</f>
        <v>Andalucía</v>
      </c>
      <c r="W124" s="24" t="str">
        <f>VLOOKUP(C124,Puertos!$N$3:$O$27,2,FALSE)</f>
        <v>Algeciras</v>
      </c>
      <c r="X124" s="24" t="str">
        <f>VLOOKUP(D124,NUTS_Europa!$B$2:$F$41,5,FALSE)</f>
        <v>Norte</v>
      </c>
      <c r="Y124" s="42" t="str">
        <f>VLOOKUP(E124,Puertos!$N$3:$O$27,2,FALSE)</f>
        <v>Oporto</v>
      </c>
      <c r="Z124" s="23">
        <f t="shared" si="19"/>
        <v>41.290547761139564</v>
      </c>
      <c r="AA124">
        <f t="shared" si="20"/>
        <v>1.7795605099525182</v>
      </c>
    </row>
    <row r="125" spans="2:28" ht="15.75" hidden="1" thickBot="1" x14ac:dyDescent="0.3">
      <c r="B125" s="61" t="str">
        <f>VLOOKUP(G125,[1]NUTS_Europa!$A$2:$C$81,2,FALSE)</f>
        <v>PT11</v>
      </c>
      <c r="C125" s="24">
        <f>VLOOKUP(G125,[1]NUTS_Europa!$A$2:$C$81,3,FALSE)</f>
        <v>111</v>
      </c>
      <c r="D125" s="24" t="str">
        <f>VLOOKUP(F125,[1]NUTS_Europa!$A$2:$C$81,2,FALSE)</f>
        <v>NL34</v>
      </c>
      <c r="E125" s="24">
        <f>VLOOKUP(F125,[1]NUTS_Europa!$A$2:$C$81,3,FALSE)</f>
        <v>250</v>
      </c>
      <c r="F125" s="24">
        <v>34</v>
      </c>
      <c r="G125" s="24">
        <v>36</v>
      </c>
      <c r="H125" s="28">
        <v>1235100.4424132071</v>
      </c>
      <c r="I125" s="28">
        <v>1412146.7367878542</v>
      </c>
      <c r="J125" s="38">
        <f t="shared" si="14"/>
        <v>100867.62405627531</v>
      </c>
      <c r="K125" s="26">
        <v>176841.96373917855</v>
      </c>
      <c r="L125" s="25">
        <v>49.426666666666669</v>
      </c>
      <c r="M125" s="25">
        <v>8.8984267045430343</v>
      </c>
      <c r="N125" s="25">
        <v>15.710205544269522</v>
      </c>
      <c r="O125" s="26">
        <v>2825.2662764782135</v>
      </c>
      <c r="P125" s="25">
        <f t="shared" si="15"/>
        <v>8.7746434929877566</v>
      </c>
      <c r="Q125" s="25">
        <f t="shared" si="16"/>
        <v>67.099736864197467</v>
      </c>
      <c r="R125" s="24">
        <v>1578</v>
      </c>
      <c r="S125" s="28">
        <f t="shared" si="17"/>
        <v>689842.41037893202</v>
      </c>
      <c r="T125" s="28">
        <f t="shared" si="21"/>
        <v>302602.87216882594</v>
      </c>
      <c r="U125" s="28">
        <f t="shared" si="18"/>
        <v>992445.28254775796</v>
      </c>
      <c r="V125" s="24" t="str">
        <f>VLOOKUP(B125,NUTS_Europa!$B$2:$F$41,5,FALSE)</f>
        <v>Norte</v>
      </c>
      <c r="W125" s="24" t="str">
        <f>VLOOKUP(C125,Puertos!$N$3:$O$27,2,FALSE)</f>
        <v>Oporto</v>
      </c>
      <c r="X125" s="24" t="str">
        <f>VLOOKUP(D125,NUTS_Europa!$B$2:$F$41,5,FALSE)</f>
        <v>Zeeland</v>
      </c>
      <c r="Y125" s="42" t="str">
        <f>VLOOKUP(E125,Puertos!$N$3:$O$27,2,FALSE)</f>
        <v>Rotterdam</v>
      </c>
      <c r="Z125" s="23">
        <f t="shared" si="19"/>
        <v>16.900263135802533</v>
      </c>
      <c r="AA125">
        <f t="shared" si="20"/>
        <v>2.7958223693415611</v>
      </c>
    </row>
    <row r="126" spans="2:28" ht="15.75" hidden="1" thickBot="1" x14ac:dyDescent="0.3">
      <c r="B126" s="61" t="str">
        <f>VLOOKUP(F126,[1]NUTS_Europa!$A$2:$C$81,2,FALSE)</f>
        <v>NL34</v>
      </c>
      <c r="C126" s="24">
        <f>VLOOKUP(F126,[1]NUTS_Europa!$A$2:$C$81,3,FALSE)</f>
        <v>250</v>
      </c>
      <c r="D126" s="24" t="str">
        <f>VLOOKUP(G126,[1]NUTS_Europa!$A$2:$C$81,2,FALSE)</f>
        <v>PT16</v>
      </c>
      <c r="E126" s="24">
        <f>VLOOKUP(G126,[1]NUTS_Europa!$A$2:$C$81,3,FALSE)</f>
        <v>111</v>
      </c>
      <c r="F126" s="24">
        <v>34</v>
      </c>
      <c r="G126" s="24">
        <v>38</v>
      </c>
      <c r="H126" s="28">
        <v>1142361.0768878097</v>
      </c>
      <c r="I126" s="28">
        <v>1412146.7367878542</v>
      </c>
      <c r="J126" s="38">
        <f t="shared" si="14"/>
        <v>100867.62405627531</v>
      </c>
      <c r="K126" s="26">
        <v>199058.85825050285</v>
      </c>
      <c r="L126" s="25">
        <v>49.426666666666669</v>
      </c>
      <c r="M126" s="25">
        <v>8.8984267045430343</v>
      </c>
      <c r="N126" s="25">
        <v>15.710205544269522</v>
      </c>
      <c r="O126" s="26">
        <v>2825.2662764782135</v>
      </c>
      <c r="P126" s="25">
        <f t="shared" si="15"/>
        <v>8.7746434929877566</v>
      </c>
      <c r="Q126" s="25">
        <f t="shared" si="16"/>
        <v>67.099736864197467</v>
      </c>
      <c r="R126" s="24">
        <v>1578</v>
      </c>
      <c r="S126" s="28">
        <f t="shared" si="17"/>
        <v>638044.56037893193</v>
      </c>
      <c r="T126" s="28">
        <f t="shared" si="21"/>
        <v>302602.87216882594</v>
      </c>
      <c r="U126" s="28">
        <f t="shared" si="18"/>
        <v>940647.43254775787</v>
      </c>
      <c r="V126" s="24" t="str">
        <f>VLOOKUP(B126,NUTS_Europa!$B$2:$F$41,5,FALSE)</f>
        <v>Zeeland</v>
      </c>
      <c r="W126" s="24" t="str">
        <f>VLOOKUP(C126,Puertos!$N$3:$O$27,2,FALSE)</f>
        <v>Rotterdam</v>
      </c>
      <c r="X126" s="24" t="str">
        <f>VLOOKUP(D126,NUTS_Europa!$B$2:$F$41,5,FALSE)</f>
        <v>Centro (PT)</v>
      </c>
      <c r="Y126" s="42" t="str">
        <f>VLOOKUP(E126,Puertos!$N$3:$O$27,2,FALSE)</f>
        <v>Oporto</v>
      </c>
      <c r="Z126" s="23">
        <f t="shared" si="19"/>
        <v>16.900263135802533</v>
      </c>
      <c r="AA126">
        <f t="shared" si="20"/>
        <v>2.7958223693415611</v>
      </c>
    </row>
    <row r="127" spans="2:28" ht="15.75" thickBot="1" x14ac:dyDescent="0.3">
      <c r="B127" s="61" t="str">
        <f>VLOOKUP(G127,[1]NUTS_Europa!$A$2:$C$81,2,FALSE)</f>
        <v>PT16</v>
      </c>
      <c r="C127" s="24">
        <f>VLOOKUP(G127,[1]NUTS_Europa!$A$2:$C$81,3,FALSE)</f>
        <v>111</v>
      </c>
      <c r="D127" s="24" t="str">
        <f>VLOOKUP(F127,[1]NUTS_Europa!$A$2:$C$81,2,FALSE)</f>
        <v>NL41</v>
      </c>
      <c r="E127" s="24">
        <f>VLOOKUP(F127,[1]NUTS_Europa!$A$2:$C$81,3,FALSE)</f>
        <v>253</v>
      </c>
      <c r="F127" s="24">
        <v>35</v>
      </c>
      <c r="G127" s="24">
        <v>38</v>
      </c>
      <c r="H127" s="28">
        <v>868404.80030850926</v>
      </c>
      <c r="I127" s="28">
        <v>1342985.9065359677</v>
      </c>
      <c r="J127" s="38">
        <f t="shared" si="14"/>
        <v>95927.564752569117</v>
      </c>
      <c r="K127" s="26">
        <v>122072.63094995193</v>
      </c>
      <c r="L127" s="25">
        <v>49.48205128205128</v>
      </c>
      <c r="M127" s="25">
        <v>10.270504510210086</v>
      </c>
      <c r="N127" s="25">
        <f>15.7102055442695+20</f>
        <v>35.710205544269499</v>
      </c>
      <c r="O127" s="26">
        <v>2825.2662764782135</v>
      </c>
      <c r="P127" s="25">
        <f t="shared" si="15"/>
        <v>19.945271997193927</v>
      </c>
      <c r="Q127" s="25">
        <f t="shared" si="16"/>
        <v>79.697827789455289</v>
      </c>
      <c r="R127" s="24">
        <v>1578</v>
      </c>
      <c r="S127" s="28">
        <f t="shared" si="17"/>
        <v>485031.37077578565</v>
      </c>
      <c r="T127" s="28">
        <f t="shared" si="21"/>
        <v>287782.69425770734</v>
      </c>
      <c r="U127" s="28">
        <f t="shared" si="18"/>
        <v>772814.06503349298</v>
      </c>
      <c r="V127" s="24" t="str">
        <f>VLOOKUP(B127,NUTS_Europa!$B$2:$F$41,5,FALSE)</f>
        <v>Centro (PT)</v>
      </c>
      <c r="W127" s="24" t="str">
        <f>VLOOKUP(C127,Puertos!$N$3:$O$27,2,FALSE)</f>
        <v>Oporto</v>
      </c>
      <c r="X127" s="24" t="str">
        <f>VLOOKUP(D127,NUTS_Europa!$B$2:$F$41,5,FALSE)</f>
        <v>Noord-Brabant</v>
      </c>
      <c r="Y127" s="42" t="str">
        <f>VLOOKUP(E127,Puertos!$N$3:$O$27,2,FALSE)</f>
        <v>Amberes</v>
      </c>
      <c r="Z127" s="23">
        <f t="shared" si="19"/>
        <v>4.3021722105447111</v>
      </c>
      <c r="AA127">
        <f t="shared" si="20"/>
        <v>3.3207428245606372</v>
      </c>
    </row>
    <row r="128" spans="2:28" ht="15.75" thickBot="1" x14ac:dyDescent="0.3">
      <c r="B128" s="61" t="str">
        <f>VLOOKUP(F128,[1]NUTS_Europa!$A$2:$C$81,2,FALSE)</f>
        <v>NL41</v>
      </c>
      <c r="C128" s="24">
        <f>VLOOKUP(F128,[1]NUTS_Europa!$A$2:$C$81,3,FALSE)</f>
        <v>253</v>
      </c>
      <c r="D128" s="24" t="str">
        <f>VLOOKUP(G128,[1]NUTS_Europa!$A$2:$C$81,2,FALSE)</f>
        <v>PT15</v>
      </c>
      <c r="E128" s="24">
        <f>VLOOKUP(G128,[1]NUTS_Europa!$A$2:$C$81,3,FALSE)</f>
        <v>1065</v>
      </c>
      <c r="F128" s="24">
        <v>35</v>
      </c>
      <c r="G128" s="24">
        <v>37</v>
      </c>
      <c r="H128" s="28">
        <v>2831594.1963394866</v>
      </c>
      <c r="I128" s="28">
        <v>1557818.5071476905</v>
      </c>
      <c r="J128" s="38">
        <f t="shared" si="14"/>
        <v>111272.75051054932</v>
      </c>
      <c r="K128" s="26">
        <v>142392.8717171422</v>
      </c>
      <c r="L128" s="25">
        <v>59.782923076923076</v>
      </c>
      <c r="M128" s="25">
        <v>12.309776139981594</v>
      </c>
      <c r="N128" s="25">
        <f>39.3874398355398+40</f>
        <v>79.387439835539794</v>
      </c>
      <c r="O128" s="26">
        <v>7083.2940517927127</v>
      </c>
      <c r="P128" s="25">
        <f t="shared" si="15"/>
        <v>17.685751734219803</v>
      </c>
      <c r="Q128" s="25">
        <f t="shared" si="16"/>
        <v>89.778450951124469</v>
      </c>
      <c r="R128" s="24">
        <v>1578</v>
      </c>
      <c r="S128" s="28">
        <f t="shared" si="17"/>
        <v>630816.05947064108</v>
      </c>
      <c r="T128" s="28">
        <f t="shared" si="21"/>
        <v>333818.25153164798</v>
      </c>
      <c r="U128" s="28">
        <f t="shared" si="18"/>
        <v>964634.31100228906</v>
      </c>
      <c r="V128" s="24" t="str">
        <f>VLOOKUP(B128,NUTS_Europa!$B$2:$F$41,5,FALSE)</f>
        <v>Noord-Brabant</v>
      </c>
      <c r="W128" s="24" t="str">
        <f>VLOOKUP(C128,Puertos!$N$3:$O$27,2,FALSE)</f>
        <v>Amberes</v>
      </c>
      <c r="X128" s="24" t="str">
        <f>VLOOKUP(D128,NUTS_Europa!$B$2:$F$41,5,FALSE)</f>
        <v>Algarve</v>
      </c>
      <c r="Y128" s="42" t="str">
        <f>VLOOKUP(E128,Puertos!$N$3:$O$27,2,FALSE)</f>
        <v>Sines</v>
      </c>
      <c r="Z128" s="23">
        <f t="shared" si="19"/>
        <v>-5.7784509511244693</v>
      </c>
      <c r="AA128">
        <f t="shared" si="20"/>
        <v>3.7407687896301862</v>
      </c>
      <c r="AB128">
        <f>AA124+AA127+AA128</f>
        <v>8.8410721241433414</v>
      </c>
    </row>
    <row r="129" spans="2:27" ht="15.75" thickBot="1" x14ac:dyDescent="0.3">
      <c r="B129" s="62" t="str">
        <f>VLOOKUP(G129,[1]NUTS_Europa!$A$2:$C$81,2,FALSE)</f>
        <v>PT15</v>
      </c>
      <c r="C129" s="43">
        <f>VLOOKUP(G129,[1]NUTS_Europa!$A$2:$C$81,3,FALSE)</f>
        <v>1065</v>
      </c>
      <c r="D129" s="43" t="str">
        <f>VLOOKUP(F129,[1]NUTS_Europa!$A$2:$C$81,2,FALSE)</f>
        <v>ES52</v>
      </c>
      <c r="E129" s="43">
        <f>VLOOKUP(F129,[1]NUTS_Europa!$A$2:$C$81,3,FALSE)</f>
        <v>1064</v>
      </c>
      <c r="F129" s="43">
        <v>16</v>
      </c>
      <c r="G129" s="43">
        <v>37</v>
      </c>
      <c r="H129" s="44">
        <v>2653023.4805260082</v>
      </c>
      <c r="I129" s="44">
        <v>1008115.2248672158</v>
      </c>
      <c r="J129" s="38">
        <f t="shared" si="14"/>
        <v>72008.230347658275</v>
      </c>
      <c r="K129" s="45">
        <v>141512.315270936</v>
      </c>
      <c r="L129" s="46">
        <v>29.545128205128204</v>
      </c>
      <c r="M129" s="46">
        <v>9.2458104735527833</v>
      </c>
      <c r="N129" s="46">
        <f>33.3257038836079+40</f>
        <v>73.3257038836079</v>
      </c>
      <c r="O129" s="45">
        <v>7083.2940517927127</v>
      </c>
      <c r="P129" s="46">
        <f t="shared" si="15"/>
        <v>16.335332104283982</v>
      </c>
      <c r="Q129" s="46">
        <f t="shared" si="16"/>
        <v>55.126270782964966</v>
      </c>
      <c r="R129" s="43">
        <v>1578</v>
      </c>
      <c r="S129" s="44">
        <f t="shared" si="17"/>
        <v>591034.48503743624</v>
      </c>
      <c r="T129" s="28">
        <f t="shared" si="21"/>
        <v>216024.69104297482</v>
      </c>
      <c r="U129" s="44">
        <f t="shared" si="18"/>
        <v>807059.17608041107</v>
      </c>
      <c r="V129" s="43" t="str">
        <f>VLOOKUP(B129,NUTS_Europa!$B$2:$F$41,5,FALSE)</f>
        <v>Algarve</v>
      </c>
      <c r="W129" s="43" t="str">
        <f>VLOOKUP(C129,Puertos!$N$3:$O$27,2,FALSE)</f>
        <v>Sines</v>
      </c>
      <c r="X129" s="43" t="str">
        <f>VLOOKUP(D129,NUTS_Europa!$B$2:$F$41,5,FALSE)</f>
        <v xml:space="preserve">Comunitat Valenciana </v>
      </c>
      <c r="Y129" s="47" t="str">
        <f>VLOOKUP(E129,Puertos!$N$3:$O$27,2,FALSE)</f>
        <v>Valencia</v>
      </c>
      <c r="Z129" s="23">
        <f t="shared" si="19"/>
        <v>28.873729217035034</v>
      </c>
      <c r="AA129">
        <f t="shared" si="20"/>
        <v>2.296927949290207</v>
      </c>
    </row>
    <row r="130" spans="2:27" hidden="1" x14ac:dyDescent="0.25">
      <c r="B130" s="33" t="str">
        <f>VLOOKUP(G130,[1]NUTS_Europa!$A$2:$C$81,2,FALSE)</f>
        <v>ES52</v>
      </c>
      <c r="C130" s="33">
        <f>VLOOKUP(G130,[1]NUTS_Europa!$A$2:$C$81,3,FALSE)</f>
        <v>1064</v>
      </c>
      <c r="D130" s="33" t="str">
        <f>VLOOKUP(F130,[1]NUTS_Europa!$A$2:$C$81,2,FALSE)</f>
        <v>ES51</v>
      </c>
      <c r="E130" s="33">
        <f>VLOOKUP(F130,[1]NUTS_Europa!$A$2:$C$81,3,FALSE)</f>
        <v>1063</v>
      </c>
      <c r="F130" s="33">
        <v>15</v>
      </c>
      <c r="G130" s="33">
        <v>16</v>
      </c>
      <c r="H130" s="34">
        <v>3223049.8550334461</v>
      </c>
      <c r="I130" s="34">
        <v>4547705.6875182111</v>
      </c>
      <c r="J130" s="24">
        <f t="shared" si="14"/>
        <v>324836.12053701509</v>
      </c>
      <c r="K130" s="35">
        <v>135416.16142478216</v>
      </c>
      <c r="L130" s="36">
        <v>8.3076923076923084</v>
      </c>
      <c r="M130" s="36">
        <v>7.4124529119460512</v>
      </c>
      <c r="N130" s="36">
        <v>58.678476884415012</v>
      </c>
      <c r="O130" s="35">
        <v>12471.961814678283</v>
      </c>
      <c r="P130" s="23">
        <f t="shared" si="15"/>
        <v>7.4242238630519246</v>
      </c>
      <c r="Q130" s="23">
        <f t="shared" si="16"/>
        <v>23.144369082690282</v>
      </c>
      <c r="R130">
        <v>1578</v>
      </c>
      <c r="S130" s="27">
        <f t="shared" si="17"/>
        <v>407792.51466734643</v>
      </c>
      <c r="T130" s="27">
        <f>J130*3</f>
        <v>974508.3616110452</v>
      </c>
      <c r="U130" s="27">
        <f t="shared" si="18"/>
        <v>1382300.8762783916</v>
      </c>
      <c r="V130" t="str">
        <f>VLOOKUP(B130,NUTS_Europa!$B$2:$F$41,5,FALSE)</f>
        <v xml:space="preserve">Comunitat Valenciana </v>
      </c>
      <c r="W130" t="str">
        <f>VLOOKUP(C130,Puertos!$N$3:$O$27,2,FALSE)</f>
        <v>Valencia</v>
      </c>
      <c r="X130" t="str">
        <f>VLOOKUP(D130,NUTS_Europa!$B$2:$F$41,5,FALSE)</f>
        <v>Cataluña</v>
      </c>
      <c r="Y130" t="str">
        <f>VLOOKUP(E130,Puertos!$N$3:$O$27,2,FALSE)</f>
        <v>Barcelona</v>
      </c>
      <c r="Z130" s="23">
        <f>(Z122+Z123+Z124+Z127+Z128+Z129)/6</f>
        <v>12.158934395337907</v>
      </c>
    </row>
    <row r="131" spans="2:27" hidden="1" x14ac:dyDescent="0.25">
      <c r="B131" t="str">
        <f>VLOOKUP(F131,[1]NUTS_Europa!$A$2:$C$81,2,FALSE)</f>
        <v>ES51</v>
      </c>
      <c r="C131">
        <f>VLOOKUP(F131,[1]NUTS_Europa!$A$2:$C$81,3,FALSE)</f>
        <v>1063</v>
      </c>
      <c r="D131" t="str">
        <f>VLOOKUP(G131,[1]NUTS_Europa!$A$2:$C$81,2,FALSE)</f>
        <v>PT18</v>
      </c>
      <c r="E131">
        <f>VLOOKUP(G131,[1]NUTS_Europa!$A$2:$C$81,3,FALSE)</f>
        <v>1065</v>
      </c>
      <c r="F131">
        <v>15</v>
      </c>
      <c r="G131">
        <v>40</v>
      </c>
      <c r="H131">
        <v>2518745.690610386</v>
      </c>
      <c r="I131">
        <v>5118491.5648937952</v>
      </c>
      <c r="J131">
        <f t="shared" si="14"/>
        <v>365606.54034955677</v>
      </c>
      <c r="K131">
        <v>192445.71807502842</v>
      </c>
      <c r="L131">
        <v>40.974358974358971</v>
      </c>
      <c r="M131">
        <v>9.3459831006848919</v>
      </c>
      <c r="N131">
        <v>33.325703883607865</v>
      </c>
      <c r="O131">
        <v>7083.2940517927127</v>
      </c>
      <c r="P131" s="23"/>
      <c r="Q131" s="23">
        <f>Q122+Q123+Q124+Q127+Q128+Q129</f>
        <v>431.04639362797258</v>
      </c>
      <c r="R131">
        <f>Q131/24</f>
        <v>17.960266401165523</v>
      </c>
      <c r="S131" s="27" t="str">
        <f>IF(Q131&lt;168*6,"1 buque","2 buques")</f>
        <v>1 buque</v>
      </c>
      <c r="T131">
        <f>R123/R121</f>
        <v>0.51743891296017919</v>
      </c>
    </row>
    <row r="132" spans="2:27" ht="15.75" hidden="1" thickBot="1" x14ac:dyDescent="0.3">
      <c r="B132" t="str">
        <f>VLOOKUP(G132,[1]NUTS_Europa!$A$2:$C$81,2,FALSE)</f>
        <v>PT18</v>
      </c>
      <c r="C132">
        <f>VLOOKUP(G132,[1]NUTS_Europa!$A$2:$C$81,3,FALSE)</f>
        <v>1065</v>
      </c>
      <c r="D132" t="str">
        <f>VLOOKUP(F132,[1]NUTS_Europa!$A$2:$C$81,2,FALSE)</f>
        <v>NL33</v>
      </c>
      <c r="E132">
        <f>VLOOKUP(F132,[1]NUTS_Europa!$A$2:$C$81,3,FALSE)</f>
        <v>250</v>
      </c>
      <c r="F132">
        <v>33</v>
      </c>
      <c r="G132">
        <v>40</v>
      </c>
      <c r="H132">
        <v>2242426.5747880437</v>
      </c>
      <c r="I132">
        <v>1638091.3630412568</v>
      </c>
      <c r="J132">
        <f t="shared" si="14"/>
        <v>117006.52593151834</v>
      </c>
      <c r="K132" s="2">
        <v>137713.62258431225</v>
      </c>
      <c r="L132" s="23">
        <v>59.782564102564102</v>
      </c>
      <c r="M132" s="23">
        <v>10.937698334314543</v>
      </c>
      <c r="N132">
        <v>39.387439835539801</v>
      </c>
      <c r="O132">
        <v>7083.2940517927127</v>
      </c>
      <c r="P132" s="23"/>
      <c r="Q132" s="23"/>
      <c r="S132" s="27"/>
      <c r="T132" s="27"/>
      <c r="U132" s="27"/>
    </row>
    <row r="133" spans="2:27" ht="15.75" hidden="1" thickBot="1" x14ac:dyDescent="0.3">
      <c r="B133" s="24" t="str">
        <f>VLOOKUP(F133,[1]NUTS_Europa!$A$2:$C$81,2,FALSE)</f>
        <v>NL33</v>
      </c>
      <c r="C133" s="24">
        <f>VLOOKUP(F133,[1]NUTS_Europa!$A$2:$C$81,3,FALSE)</f>
        <v>250</v>
      </c>
      <c r="D133" s="24" t="str">
        <f>VLOOKUP(G133,[1]NUTS_Europa!$A$2:$C$81,2,FALSE)</f>
        <v>NL11</v>
      </c>
      <c r="E133" s="24">
        <f>VLOOKUP(G133,[1]NUTS_Europa!$A$2:$C$81,3,FALSE)</f>
        <v>218</v>
      </c>
      <c r="F133" s="24">
        <v>33</v>
      </c>
      <c r="G133" s="24">
        <v>70</v>
      </c>
      <c r="H133" s="38">
        <v>1722454.4825205922</v>
      </c>
      <c r="I133" s="38">
        <v>753610.54965193151</v>
      </c>
      <c r="J133" s="38">
        <f t="shared" si="14"/>
        <v>53829.324975137963</v>
      </c>
      <c r="K133" s="58">
        <v>135416.16142478216</v>
      </c>
      <c r="L133" s="25">
        <v>3.4871794871794872</v>
      </c>
      <c r="M133" s="25">
        <v>7.2176028444384759</v>
      </c>
      <c r="N133" s="24">
        <v>25.259777726489432</v>
      </c>
      <c r="O133" s="26">
        <v>4803.0739774448748</v>
      </c>
      <c r="P133" s="25">
        <f t="shared" si="15"/>
        <v>8.2988372528888039</v>
      </c>
      <c r="Q133" s="25">
        <f t="shared" si="16"/>
        <v>19.003619584506765</v>
      </c>
      <c r="R133" s="24">
        <v>1578</v>
      </c>
      <c r="S133" s="28">
        <f t="shared" si="17"/>
        <v>565894.50551486737</v>
      </c>
      <c r="T133" s="28">
        <f t="shared" ref="T133:T142" si="22">J133*3</f>
        <v>161487.9749254139</v>
      </c>
      <c r="U133" s="28">
        <f t="shared" si="18"/>
        <v>727382.48044028133</v>
      </c>
      <c r="V133" s="24" t="str">
        <f>VLOOKUP(B133,NUTS_Europa!$B$2:$F$41,5,FALSE)</f>
        <v>Zuid-Holland</v>
      </c>
      <c r="W133" s="24" t="str">
        <f>VLOOKUP(C133,Puertos!$N$3:$O$27,2,FALSE)</f>
        <v>Rotterdam</v>
      </c>
      <c r="X133" s="24" t="str">
        <f>VLOOKUP(D133,NUTS_Europa!$B$2:$F$41,5,FALSE)</f>
        <v>Groningen</v>
      </c>
      <c r="Y133" s="24" t="str">
        <f>VLOOKUP(E133,Puertos!$N$3:$O$27,2,FALSE)</f>
        <v>Amsterdam</v>
      </c>
    </row>
    <row r="134" spans="2:27" ht="15.75" hidden="1" thickBot="1" x14ac:dyDescent="0.3">
      <c r="B134" s="24" t="str">
        <f>VLOOKUP(G134,[1]NUTS_Europa!$A$2:$C$81,2,FALSE)</f>
        <v>NL11</v>
      </c>
      <c r="C134" s="24">
        <f>VLOOKUP(G134,[1]NUTS_Europa!$A$2:$C$81,3,FALSE)</f>
        <v>218</v>
      </c>
      <c r="D134" s="24" t="str">
        <f>VLOOKUP(F134,[1]NUTS_Europa!$A$2:$C$81,2,FALSE)</f>
        <v>DE50</v>
      </c>
      <c r="E134" s="24">
        <f>VLOOKUP(F134,[1]NUTS_Europa!$A$2:$C$81,3,FALSE)</f>
        <v>1069</v>
      </c>
      <c r="F134" s="24">
        <v>44</v>
      </c>
      <c r="G134" s="24">
        <v>70</v>
      </c>
      <c r="H134" s="38">
        <v>1941915.3940277651</v>
      </c>
      <c r="I134" s="38">
        <v>849369.26806492324</v>
      </c>
      <c r="J134" s="38">
        <f t="shared" si="14"/>
        <v>60669.233433208799</v>
      </c>
      <c r="K134" s="58">
        <v>120437.35243536306</v>
      </c>
      <c r="L134" s="25">
        <v>13.844615384615386</v>
      </c>
      <c r="M134" s="25">
        <v>8.533427864963075</v>
      </c>
      <c r="N134" s="24">
        <v>21.149406761232438</v>
      </c>
      <c r="O134" s="26">
        <v>4803.0739774448748</v>
      </c>
      <c r="P134" s="25">
        <f t="shared" si="15"/>
        <v>6.9484176229529711</v>
      </c>
      <c r="Q134" s="25">
        <f t="shared" si="16"/>
        <v>29.326460872531431</v>
      </c>
      <c r="R134" s="24">
        <v>1578</v>
      </c>
      <c r="S134" s="28">
        <f t="shared" si="17"/>
        <v>637996.10544536589</v>
      </c>
      <c r="T134" s="28">
        <f t="shared" si="22"/>
        <v>182007.70029962639</v>
      </c>
      <c r="U134" s="28">
        <f t="shared" si="18"/>
        <v>820003.80574499234</v>
      </c>
      <c r="V134" s="24" t="str">
        <f>VLOOKUP(B134,NUTS_Europa!$B$2:$F$41,5,FALSE)</f>
        <v>Groningen</v>
      </c>
      <c r="W134" s="24" t="str">
        <f>VLOOKUP(C134,Puertos!$N$3:$O$27,2,FALSE)</f>
        <v>Amsterdam</v>
      </c>
      <c r="X134" s="24" t="str">
        <f>VLOOKUP(D134,NUTS_Europa!$B$2:$F$41,5,FALSE)</f>
        <v>Bremen</v>
      </c>
      <c r="Y134" s="24" t="str">
        <f>VLOOKUP(E134,Puertos!$N$3:$O$27,2,FALSE)</f>
        <v>Hamburgo</v>
      </c>
    </row>
    <row r="135" spans="2:27" ht="15.75" hidden="1" thickBot="1" x14ac:dyDescent="0.3">
      <c r="B135" s="24" t="str">
        <f>VLOOKUP(F135,[1]NUTS_Europa!$A$2:$C$81,2,FALSE)</f>
        <v>DE50</v>
      </c>
      <c r="C135" s="24">
        <f>VLOOKUP(F135,[1]NUTS_Europa!$A$2:$C$81,3,FALSE)</f>
        <v>1069</v>
      </c>
      <c r="D135" s="24" t="str">
        <f>VLOOKUP(G135,[1]NUTS_Europa!$A$2:$C$81,2,FALSE)</f>
        <v>ES12</v>
      </c>
      <c r="E135" s="24">
        <f>VLOOKUP(G135,[1]NUTS_Europa!$A$2:$C$81,3,FALSE)</f>
        <v>163</v>
      </c>
      <c r="F135" s="24">
        <v>44</v>
      </c>
      <c r="G135" s="24">
        <v>52</v>
      </c>
      <c r="H135" s="38">
        <v>1859505.8500019119</v>
      </c>
      <c r="I135" s="38">
        <v>1423840.7584946458</v>
      </c>
      <c r="J135" s="38">
        <f t="shared" si="14"/>
        <v>101702.91132104614</v>
      </c>
      <c r="K135" s="58">
        <v>120125.80522925351</v>
      </c>
      <c r="L135" s="25">
        <v>53.746153846153845</v>
      </c>
      <c r="M135" s="25">
        <v>11.446354476888754</v>
      </c>
      <c r="N135" s="24">
        <v>18.762962363580304</v>
      </c>
      <c r="O135" s="26">
        <v>3374.2629695885503</v>
      </c>
      <c r="P135" s="25">
        <f t="shared" si="15"/>
        <v>8.7746434929877584</v>
      </c>
      <c r="Q135" s="25">
        <f t="shared" si="16"/>
        <v>73.967151816030366</v>
      </c>
      <c r="R135" s="24">
        <v>1578</v>
      </c>
      <c r="S135" s="28">
        <f t="shared" si="17"/>
        <v>869612.19612969842</v>
      </c>
      <c r="T135" s="28">
        <f t="shared" si="22"/>
        <v>305108.73396313842</v>
      </c>
      <c r="U135" s="28">
        <f t="shared" si="18"/>
        <v>1174720.9300928367</v>
      </c>
      <c r="V135" s="24" t="str">
        <f>VLOOKUP(B135,NUTS_Europa!$B$2:$F$41,5,FALSE)</f>
        <v>Bremen</v>
      </c>
      <c r="W135" s="24" t="str">
        <f>VLOOKUP(C135,Puertos!$N$3:$O$27,2,FALSE)</f>
        <v>Hamburgo</v>
      </c>
      <c r="X135" s="24" t="str">
        <f>VLOOKUP(D135,NUTS_Europa!$B$2:$F$41,5,FALSE)</f>
        <v>Principado de Asturias</v>
      </c>
      <c r="Y135" s="24" t="str">
        <f>VLOOKUP(E135,Puertos!$N$3:$O$27,2,FALSE)</f>
        <v>Bilbao</v>
      </c>
    </row>
    <row r="136" spans="2:27" ht="15.75" hidden="1" thickBot="1" x14ac:dyDescent="0.3">
      <c r="B136" s="24" t="str">
        <f>VLOOKUP(G136,[1]NUTS_Europa!$A$2:$C$81,2,FALSE)</f>
        <v>ES12</v>
      </c>
      <c r="C136" s="24">
        <f>VLOOKUP(G136,[1]NUTS_Europa!$A$2:$C$81,3,FALSE)</f>
        <v>163</v>
      </c>
      <c r="D136" s="24" t="str">
        <f>VLOOKUP(F136,[1]NUTS_Europa!$A$2:$C$81,2,FALSE)</f>
        <v>BE23</v>
      </c>
      <c r="E136" s="24">
        <f>VLOOKUP(F136,[1]NUTS_Europa!$A$2:$C$81,3,FALSE)</f>
        <v>220</v>
      </c>
      <c r="F136" s="24">
        <v>42</v>
      </c>
      <c r="G136" s="24">
        <v>52</v>
      </c>
      <c r="H136" s="38">
        <v>1698976.8070557942</v>
      </c>
      <c r="I136" s="38">
        <v>1113294.5554171694</v>
      </c>
      <c r="J136" s="38">
        <f t="shared" si="14"/>
        <v>79521.039672654952</v>
      </c>
      <c r="K136" s="58">
        <v>137713.62258431225</v>
      </c>
      <c r="L136" s="25">
        <v>37.435897435897438</v>
      </c>
      <c r="M136" s="25">
        <v>9.5029629138303093</v>
      </c>
      <c r="N136" s="24">
        <v>19.739418074474756</v>
      </c>
      <c r="O136" s="26">
        <v>3374.2629695885503</v>
      </c>
      <c r="P136" s="25">
        <f t="shared" si="15"/>
        <v>9.2312905076628855</v>
      </c>
      <c r="Q136" s="25">
        <f t="shared" si="16"/>
        <v>56.170150857390631</v>
      </c>
      <c r="R136" s="24">
        <v>1578</v>
      </c>
      <c r="S136" s="28">
        <f t="shared" si="17"/>
        <v>794539.55595552071</v>
      </c>
      <c r="T136" s="28">
        <f t="shared" si="22"/>
        <v>238563.11901796487</v>
      </c>
      <c r="U136" s="28">
        <f t="shared" si="18"/>
        <v>1033102.6749734855</v>
      </c>
      <c r="V136" s="24" t="str">
        <f>VLOOKUP(B136,NUTS_Europa!$B$2:$F$41,5,FALSE)</f>
        <v>Principado de Asturias</v>
      </c>
      <c r="W136" s="24" t="str">
        <f>VLOOKUP(C136,Puertos!$N$3:$O$27,2,FALSE)</f>
        <v>Bilbao</v>
      </c>
      <c r="X136" s="24" t="str">
        <f>VLOOKUP(D136,NUTS_Europa!$B$2:$F$41,5,FALSE)</f>
        <v>Prov. Oost-Vlaanderen</v>
      </c>
      <c r="Y136" s="24" t="str">
        <f>VLOOKUP(E136,Puertos!$N$3:$O$27,2,FALSE)</f>
        <v>Zeebrugge</v>
      </c>
    </row>
    <row r="137" spans="2:27" ht="15.75" hidden="1" thickBot="1" x14ac:dyDescent="0.3">
      <c r="B137" s="24" t="str">
        <f>VLOOKUP(F137,[1]NUTS_Europa!$A$2:$C$81,2,FALSE)</f>
        <v>BE23</v>
      </c>
      <c r="C137" s="24">
        <f>VLOOKUP(F137,[1]NUTS_Europa!$A$2:$C$81,3,FALSE)</f>
        <v>220</v>
      </c>
      <c r="D137" s="24" t="str">
        <f>VLOOKUP(G137,[1]NUTS_Europa!$A$2:$C$81,2,FALSE)</f>
        <v>FRJ2</v>
      </c>
      <c r="E137" s="24">
        <f>VLOOKUP(G137,[1]NUTS_Europa!$A$2:$C$81,3,FALSE)</f>
        <v>163</v>
      </c>
      <c r="F137" s="24">
        <v>42</v>
      </c>
      <c r="G137" s="24">
        <v>68</v>
      </c>
      <c r="H137" s="38">
        <v>2819869.8486604448</v>
      </c>
      <c r="I137" s="38">
        <v>1113294.5554171694</v>
      </c>
      <c r="J137" s="38">
        <f t="shared" si="14"/>
        <v>79521.039672654952</v>
      </c>
      <c r="K137" s="58">
        <v>156784.57749147405</v>
      </c>
      <c r="L137" s="25">
        <v>37.435897435897438</v>
      </c>
      <c r="M137" s="25">
        <v>9.5029629138303093</v>
      </c>
      <c r="N137" s="24">
        <v>19.739418074474756</v>
      </c>
      <c r="O137" s="26">
        <v>3374.2629695885503</v>
      </c>
      <c r="P137" s="25">
        <f t="shared" si="15"/>
        <v>9.2312905076628855</v>
      </c>
      <c r="Q137" s="25">
        <f t="shared" si="16"/>
        <v>56.170150857390631</v>
      </c>
      <c r="R137" s="24">
        <v>1578</v>
      </c>
      <c r="S137" s="28">
        <f t="shared" si="17"/>
        <v>1318733.7979555207</v>
      </c>
      <c r="T137" s="28">
        <f t="shared" si="22"/>
        <v>238563.11901796487</v>
      </c>
      <c r="U137" s="28">
        <f t="shared" si="18"/>
        <v>1557296.9169734856</v>
      </c>
      <c r="V137" s="24" t="str">
        <f>VLOOKUP(B137,NUTS_Europa!$B$2:$F$41,5,FALSE)</f>
        <v>Prov. Oost-Vlaanderen</v>
      </c>
      <c r="W137" s="24" t="str">
        <f>VLOOKUP(C137,Puertos!$N$3:$O$27,2,FALSE)</f>
        <v>Zeebrugge</v>
      </c>
      <c r="X137" s="24" t="str">
        <f>VLOOKUP(D137,NUTS_Europa!$B$2:$F$41,5,FALSE)</f>
        <v>Midi-Pyrénées</v>
      </c>
      <c r="Y137" s="24" t="str">
        <f>VLOOKUP(E137,Puertos!$N$3:$O$27,2,FALSE)</f>
        <v>Bilbao</v>
      </c>
    </row>
    <row r="138" spans="2:27" ht="15.75" hidden="1" thickBot="1" x14ac:dyDescent="0.3">
      <c r="B138" s="24" t="str">
        <f>VLOOKUP(G138,[1]NUTS_Europa!$A$2:$C$81,2,FALSE)</f>
        <v>FRJ2</v>
      </c>
      <c r="C138" s="24">
        <f>VLOOKUP(G138,[1]NUTS_Europa!$A$2:$C$81,3,FALSE)</f>
        <v>163</v>
      </c>
      <c r="D138" s="24" t="str">
        <f>VLOOKUP(F138,[1]NUTS_Europa!$A$2:$C$81,2,FALSE)</f>
        <v>FRJ1</v>
      </c>
      <c r="E138" s="24">
        <f>VLOOKUP(F138,[1]NUTS_Europa!$A$2:$C$81,3,FALSE)</f>
        <v>1064</v>
      </c>
      <c r="F138" s="24">
        <v>66</v>
      </c>
      <c r="G138" s="24">
        <v>68</v>
      </c>
      <c r="H138" s="38">
        <v>4050574.304740726</v>
      </c>
      <c r="I138" s="38">
        <v>1530442.5312729627</v>
      </c>
      <c r="J138" s="38">
        <f t="shared" si="14"/>
        <v>109317.32366235448</v>
      </c>
      <c r="K138" s="58">
        <v>163171.48832599766</v>
      </c>
      <c r="L138" s="25">
        <v>63.897435897435898</v>
      </c>
      <c r="M138" s="25">
        <v>8.4386415956023981</v>
      </c>
      <c r="N138" s="24">
        <v>18.762962363580304</v>
      </c>
      <c r="O138" s="26">
        <v>3374.2629695885503</v>
      </c>
      <c r="P138" s="25">
        <f t="shared" si="15"/>
        <v>8.7746434929877584</v>
      </c>
      <c r="Q138" s="25">
        <f t="shared" si="16"/>
        <v>81.110720986026053</v>
      </c>
      <c r="R138" s="24">
        <v>1578</v>
      </c>
      <c r="S138" s="28">
        <f t="shared" si="17"/>
        <v>1894282.1915448599</v>
      </c>
      <c r="T138" s="28">
        <f t="shared" si="22"/>
        <v>327951.97098706343</v>
      </c>
      <c r="U138" s="28">
        <f t="shared" si="18"/>
        <v>2222234.1625319235</v>
      </c>
      <c r="V138" s="24" t="str">
        <f>VLOOKUP(B138,NUTS_Europa!$B$2:$F$41,5,FALSE)</f>
        <v>Midi-Pyrénées</v>
      </c>
      <c r="W138" s="24" t="str">
        <f>VLOOKUP(C138,Puertos!$N$3:$O$27,2,FALSE)</f>
        <v>Bilbao</v>
      </c>
      <c r="X138" s="24" t="str">
        <f>VLOOKUP(D138,NUTS_Europa!$B$2:$F$41,5,FALSE)</f>
        <v>Languedoc-Roussillon</v>
      </c>
      <c r="Y138" s="24" t="str">
        <f>VLOOKUP(E138,Puertos!$N$3:$O$27,2,FALSE)</f>
        <v>Valencia</v>
      </c>
    </row>
    <row r="139" spans="2:27" ht="15.75" hidden="1" thickBot="1" x14ac:dyDescent="0.3">
      <c r="B139" s="24" t="str">
        <f>VLOOKUP(F139,[1]NUTS_Europa!$A$2:$C$81,2,FALSE)</f>
        <v>FRJ1</v>
      </c>
      <c r="C139" s="24">
        <f>VLOOKUP(F139,[1]NUTS_Europa!$A$2:$C$81,3,FALSE)</f>
        <v>1064</v>
      </c>
      <c r="D139" s="24" t="str">
        <f>VLOOKUP(G139,[1]NUTS_Europa!$A$2:$C$81,2,FALSE)</f>
        <v>PT17</v>
      </c>
      <c r="E139" s="24">
        <f>VLOOKUP(G139,[1]NUTS_Europa!$A$2:$C$81,3,FALSE)</f>
        <v>297</v>
      </c>
      <c r="F139" s="24">
        <v>66</v>
      </c>
      <c r="G139" s="24">
        <v>79</v>
      </c>
      <c r="H139" s="38">
        <v>918977.3499350911</v>
      </c>
      <c r="I139" s="38">
        <v>845749.89728912734</v>
      </c>
      <c r="J139" s="38">
        <f t="shared" si="14"/>
        <v>60410.706949223379</v>
      </c>
      <c r="K139" s="58">
        <v>192445.71807502842</v>
      </c>
      <c r="L139" s="25">
        <v>23.743589743589745</v>
      </c>
      <c r="M139" s="25">
        <v>8.1132322026596064</v>
      </c>
      <c r="N139" s="24">
        <v>4.6411041513506479</v>
      </c>
      <c r="O139" s="26">
        <v>986.45494612291202</v>
      </c>
      <c r="P139" s="25">
        <f t="shared" si="15"/>
        <v>4.6411041513506479</v>
      </c>
      <c r="Q139" s="25">
        <f t="shared" si="16"/>
        <v>36.497926097600001</v>
      </c>
      <c r="R139" s="26">
        <f>O139</f>
        <v>986.45494612291202</v>
      </c>
      <c r="S139" s="28">
        <f t="shared" si="17"/>
        <v>918977.3499350911</v>
      </c>
      <c r="T139" s="28">
        <f t="shared" si="22"/>
        <v>181232.12084767013</v>
      </c>
      <c r="U139" s="28">
        <f t="shared" si="18"/>
        <v>1100209.4707827612</v>
      </c>
      <c r="V139" s="24" t="str">
        <f>VLOOKUP(B139,NUTS_Europa!$B$2:$F$41,5,FALSE)</f>
        <v>Languedoc-Roussillon</v>
      </c>
      <c r="W139" s="24" t="str">
        <f>VLOOKUP(C139,Puertos!$N$3:$O$27,2,FALSE)</f>
        <v>Valencia</v>
      </c>
      <c r="X139" s="24" t="str">
        <f>VLOOKUP(D139,NUTS_Europa!$B$2:$F$41,5,FALSE)</f>
        <v>Área Metropolitana de Lisboa</v>
      </c>
      <c r="Y139" s="24" t="str">
        <f>VLOOKUP(E139,Puertos!$N$3:$O$27,2,FALSE)</f>
        <v>Cádiz</v>
      </c>
    </row>
    <row r="140" spans="2:27" ht="15.75" hidden="1" thickBot="1" x14ac:dyDescent="0.3">
      <c r="B140" s="24" t="s">
        <v>127</v>
      </c>
      <c r="C140" s="24">
        <v>297</v>
      </c>
      <c r="D140" s="24" t="s">
        <v>123</v>
      </c>
      <c r="E140" s="24">
        <v>61</v>
      </c>
      <c r="F140" s="24">
        <v>77</v>
      </c>
      <c r="G140" s="24">
        <v>79</v>
      </c>
      <c r="H140" s="38">
        <v>841002.11369369493</v>
      </c>
      <c r="I140" s="38">
        <v>523539.86978272477</v>
      </c>
      <c r="J140" s="38">
        <f t="shared" si="14"/>
        <v>37395.70498448034</v>
      </c>
      <c r="K140" s="58">
        <v>113696.3812050019</v>
      </c>
      <c r="L140" s="25">
        <v>3.8461538461538463</v>
      </c>
      <c r="M140" s="25">
        <v>9.114887859400568</v>
      </c>
      <c r="N140" s="24">
        <v>4.3200408040754725</v>
      </c>
      <c r="O140" s="26">
        <v>986.45494612291202</v>
      </c>
      <c r="P140" s="25">
        <f t="shared" si="15"/>
        <v>4.3200408040754725</v>
      </c>
      <c r="Q140" s="25">
        <f t="shared" si="16"/>
        <v>17.281082509629886</v>
      </c>
      <c r="R140" s="26">
        <f>O140</f>
        <v>986.45494612291202</v>
      </c>
      <c r="S140" s="28">
        <f t="shared" si="17"/>
        <v>841002.11369369493</v>
      </c>
      <c r="T140" s="28">
        <f t="shared" si="22"/>
        <v>112187.11495344102</v>
      </c>
      <c r="U140" s="28">
        <f t="shared" si="18"/>
        <v>953189.2286471359</v>
      </c>
      <c r="V140" s="24" t="str">
        <f>VLOOKUP(B140,NUTS_Europa!$B$2:$F$41,5,FALSE)</f>
        <v>Área Metropolitana de Lisboa</v>
      </c>
      <c r="W140" s="24" t="str">
        <f>VLOOKUP(C140,Puertos!$N$3:$O$27,2,FALSE)</f>
        <v>Cádiz</v>
      </c>
      <c r="X140" s="24" t="str">
        <f>VLOOKUP(D140,NUTS_Europa!$B$2:$F$41,5,FALSE)</f>
        <v>Algarve</v>
      </c>
      <c r="Y140" s="24" t="str">
        <f>VLOOKUP(E140,Puertos!$N$3:$O$27,2,FALSE)</f>
        <v>Algeciras</v>
      </c>
    </row>
    <row r="141" spans="2:27" ht="15.75" hidden="1" thickBot="1" x14ac:dyDescent="0.3">
      <c r="B141" s="24" t="s">
        <v>123</v>
      </c>
      <c r="C141" s="24">
        <v>61</v>
      </c>
      <c r="D141" s="24" t="s">
        <v>125</v>
      </c>
      <c r="E141" s="24">
        <v>294</v>
      </c>
      <c r="F141" s="24">
        <v>77</v>
      </c>
      <c r="G141" s="24">
        <v>78</v>
      </c>
      <c r="H141" s="38">
        <v>2371896.3776358208</v>
      </c>
      <c r="I141" s="38">
        <v>736306.70950415987</v>
      </c>
      <c r="J141" s="38">
        <f t="shared" si="14"/>
        <v>52593.336393154277</v>
      </c>
      <c r="K141" s="58">
        <v>127001.21695280854</v>
      </c>
      <c r="L141" s="25">
        <v>15.779487179487178</v>
      </c>
      <c r="M141" s="25">
        <v>7.869169021429653</v>
      </c>
      <c r="N141" s="24">
        <v>12.372856606107471</v>
      </c>
      <c r="O141" s="26">
        <v>2825.2662764782135</v>
      </c>
      <c r="P141" s="25">
        <f t="shared" si="15"/>
        <v>6.9106292341319948</v>
      </c>
      <c r="Q141" s="25">
        <f t="shared" si="16"/>
        <v>30.559285435048828</v>
      </c>
      <c r="R141" s="26">
        <v>1578</v>
      </c>
      <c r="S141" s="28">
        <f t="shared" si="17"/>
        <v>1324778.6642521047</v>
      </c>
      <c r="T141" s="28">
        <f t="shared" si="22"/>
        <v>157780.00917946282</v>
      </c>
      <c r="U141" s="28">
        <f t="shared" si="18"/>
        <v>1482558.6734315676</v>
      </c>
      <c r="V141" s="24" t="str">
        <f>VLOOKUP(B141,NUTS_Europa!$B$2:$F$41,5,FALSE)</f>
        <v>Algarve</v>
      </c>
      <c r="W141" s="24" t="str">
        <f>VLOOKUP(C141,Puertos!$N$3:$O$27,2,FALSE)</f>
        <v>Algeciras</v>
      </c>
      <c r="X141" s="24" t="str">
        <f>VLOOKUP(D141,NUTS_Europa!$B$2:$F$41,5,FALSE)</f>
        <v>Centro (PT)</v>
      </c>
      <c r="Y141" s="24" t="str">
        <f>VLOOKUP(E141,Puertos!$N$3:$O$27,2,FALSE)</f>
        <v>Lisboa</v>
      </c>
    </row>
    <row r="142" spans="2:27" hidden="1" x14ac:dyDescent="0.25">
      <c r="B142" s="24" t="s">
        <v>125</v>
      </c>
      <c r="C142" s="24">
        <v>294</v>
      </c>
      <c r="D142" s="24" t="s">
        <v>111</v>
      </c>
      <c r="E142" s="24">
        <v>250</v>
      </c>
      <c r="F142" s="24">
        <v>71</v>
      </c>
      <c r="G142" s="24">
        <v>78</v>
      </c>
      <c r="H142" s="38">
        <v>2281594.6620497401</v>
      </c>
      <c r="I142" s="38">
        <v>1530590.2597502477</v>
      </c>
      <c r="J142" s="38">
        <f t="shared" si="14"/>
        <v>109327.87569644627</v>
      </c>
      <c r="K142" s="58">
        <v>135416.16142478216</v>
      </c>
      <c r="L142" s="25">
        <v>57.318461538461541</v>
      </c>
      <c r="M142" s="25">
        <v>8.5594012254504488</v>
      </c>
      <c r="N142" s="24">
        <v>15.710205544269522</v>
      </c>
      <c r="O142" s="26">
        <v>2825.2662764782135</v>
      </c>
      <c r="P142" s="25">
        <f t="shared" si="15"/>
        <v>8.7746434929877566</v>
      </c>
      <c r="Q142" s="25">
        <f t="shared" si="16"/>
        <v>74.652506256899755</v>
      </c>
      <c r="R142" s="24">
        <v>1578</v>
      </c>
      <c r="S142" s="28">
        <f t="shared" si="17"/>
        <v>1274342.318346875</v>
      </c>
      <c r="T142" s="28">
        <f t="shared" si="22"/>
        <v>327983.62708933878</v>
      </c>
      <c r="U142" s="28">
        <f t="shared" si="18"/>
        <v>1602325.9454362139</v>
      </c>
      <c r="V142" s="24" t="str">
        <f>VLOOKUP(B142,NUTS_Europa!$B$2:$F$41,5,FALSE)</f>
        <v>Centro (PT)</v>
      </c>
      <c r="W142" s="24" t="str">
        <f>VLOOKUP(C142,Puertos!$N$3:$O$27,2,FALSE)</f>
        <v>Lisboa</v>
      </c>
      <c r="X142" s="24" t="str">
        <f>VLOOKUP(D142,NUTS_Europa!$B$2:$F$41,5,FALSE)</f>
        <v>Friesland (NL)</v>
      </c>
      <c r="Y142" s="24" t="str">
        <f>VLOOKUP(E142,Puertos!$N$3:$O$27,2,FALSE)</f>
        <v>Rotterdam</v>
      </c>
    </row>
    <row r="143" spans="2:27" hidden="1" x14ac:dyDescent="0.25">
      <c r="B143" t="s">
        <v>111</v>
      </c>
      <c r="C143">
        <v>250</v>
      </c>
      <c r="D143" t="s">
        <v>121</v>
      </c>
      <c r="E143">
        <v>288</v>
      </c>
      <c r="F143">
        <v>71</v>
      </c>
      <c r="G143">
        <v>76</v>
      </c>
      <c r="H143">
        <v>769954.94836864411</v>
      </c>
      <c r="I143">
        <v>1426994.2759535376</v>
      </c>
      <c r="J143">
        <f t="shared" si="14"/>
        <v>101928.16256810982</v>
      </c>
      <c r="K143">
        <v>142841.86171918266</v>
      </c>
      <c r="L143">
        <v>46.657435897435903</v>
      </c>
      <c r="M143">
        <v>9.4721300066698912</v>
      </c>
      <c r="N143">
        <v>5.8415730839199274</v>
      </c>
      <c r="O143">
        <v>1050.5272759847392</v>
      </c>
      <c r="P143" s="25">
        <f>O139/R137</f>
        <v>0.62512987713746004</v>
      </c>
      <c r="Q143" s="25">
        <f>Q133+Q134+Q135+Q138+Q139+Q140++Q141+Q142</f>
        <v>362.39875355827303</v>
      </c>
      <c r="R143" s="24">
        <f>Q143/24</f>
        <v>15.099948064928043</v>
      </c>
      <c r="S143" s="28">
        <f>R143/7</f>
        <v>2.1571354378468635</v>
      </c>
      <c r="T143" s="28"/>
      <c r="U143" s="28"/>
      <c r="V143" s="24"/>
      <c r="W143" s="24"/>
      <c r="X143" s="24"/>
      <c r="Y143" s="24"/>
    </row>
    <row r="144" spans="2:27" hidden="1" x14ac:dyDescent="0.25">
      <c r="B144" t="str">
        <f>VLOOKUP(G144,[1]NUTS_Europa!$A$2:$C$81,2,FALSE)</f>
        <v>PT11</v>
      </c>
      <c r="C144">
        <f>VLOOKUP(G144,[1]NUTS_Europa!$A$2:$C$81,3,FALSE)</f>
        <v>288</v>
      </c>
      <c r="D144" t="str">
        <f>VLOOKUP(F144,[1]NUTS_Europa!$A$2:$C$81,2,FALSE)</f>
        <v>DEF0</v>
      </c>
      <c r="E144">
        <f>VLOOKUP(F144,[1]NUTS_Europa!$A$2:$C$81,3,FALSE)</f>
        <v>245</v>
      </c>
      <c r="F144">
        <v>50</v>
      </c>
      <c r="G144">
        <v>76</v>
      </c>
      <c r="H144">
        <v>3772973.9003590746</v>
      </c>
      <c r="I144">
        <v>8074253.5088200849</v>
      </c>
      <c r="J144">
        <f t="shared" si="14"/>
        <v>576732.39348714892</v>
      </c>
      <c r="K144">
        <v>114203.52260471623</v>
      </c>
      <c r="L144">
        <v>56.958974358974359</v>
      </c>
      <c r="M144">
        <v>12.054077842180787</v>
      </c>
      <c r="N144">
        <v>5.8415730839199274</v>
      </c>
      <c r="O144">
        <v>1050.5272759847392</v>
      </c>
      <c r="P144" s="25"/>
      <c r="Q144" s="25"/>
      <c r="R144" s="24"/>
      <c r="S144" s="28"/>
      <c r="T144" s="28"/>
      <c r="U144" s="28"/>
      <c r="V144" s="24"/>
      <c r="W144" s="24"/>
      <c r="X144" s="24"/>
      <c r="Y144" s="24"/>
    </row>
    <row r="145" spans="2:26" hidden="1" x14ac:dyDescent="0.25">
      <c r="B145" t="str">
        <f>VLOOKUP(F145,[1]NUTS_Europa!$A$2:$C$81,2,FALSE)</f>
        <v>DEF0</v>
      </c>
      <c r="C145">
        <f>VLOOKUP(F145,[1]NUTS_Europa!$A$2:$C$81,3,FALSE)</f>
        <v>245</v>
      </c>
      <c r="D145" t="str">
        <f>VLOOKUP(G145,[1]NUTS_Europa!$A$2:$C$81,2,FALSE)</f>
        <v>ES61</v>
      </c>
      <c r="E145">
        <f>VLOOKUP(G145,[1]NUTS_Europa!$A$2:$C$81,3,FALSE)</f>
        <v>297</v>
      </c>
      <c r="F145">
        <v>50</v>
      </c>
      <c r="G145">
        <v>57</v>
      </c>
      <c r="H145">
        <v>3537381.1171217156</v>
      </c>
      <c r="I145">
        <v>8530750.2336313576</v>
      </c>
      <c r="J145">
        <f t="shared" si="14"/>
        <v>609339.30240223987</v>
      </c>
      <c r="K145">
        <v>137713.62258431225</v>
      </c>
      <c r="L145">
        <v>80.134871794871799</v>
      </c>
      <c r="M145">
        <v>12.38706789893226</v>
      </c>
      <c r="N145">
        <v>5.4852918086964495</v>
      </c>
      <c r="O145">
        <v>986.45494612291202</v>
      </c>
      <c r="P145" s="25"/>
      <c r="Q145" s="25"/>
      <c r="R145" s="24"/>
      <c r="S145" s="28"/>
      <c r="T145" s="28"/>
      <c r="U145" s="28"/>
      <c r="V145" s="24"/>
      <c r="W145" s="24"/>
      <c r="X145" s="24"/>
      <c r="Y145" s="24"/>
    </row>
    <row r="146" spans="2:26" hidden="1" x14ac:dyDescent="0.25">
      <c r="B146" t="str">
        <f>VLOOKUP(G146,[1]NUTS_Europa!$A$2:$C$81,2,FALSE)</f>
        <v>ES61</v>
      </c>
      <c r="C146">
        <f>VLOOKUP(G146,[1]NUTS_Europa!$A$2:$C$81,3,FALSE)</f>
        <v>297</v>
      </c>
      <c r="D146" t="str">
        <f>VLOOKUP(F146,[1]NUTS_Europa!$A$2:$C$81,2,FALSE)</f>
        <v>DE60</v>
      </c>
      <c r="E146">
        <f>VLOOKUP(F146,[1]NUTS_Europa!$A$2:$C$81,3,FALSE)</f>
        <v>245</v>
      </c>
      <c r="F146">
        <v>45</v>
      </c>
      <c r="G146">
        <v>57</v>
      </c>
      <c r="H146">
        <v>3587894.5155478315</v>
      </c>
      <c r="I146">
        <v>8530750.2336313576</v>
      </c>
      <c r="J146">
        <f t="shared" si="14"/>
        <v>609339.30240223987</v>
      </c>
      <c r="K146">
        <v>159445.52860932166</v>
      </c>
      <c r="L146">
        <v>80.134871794871799</v>
      </c>
      <c r="M146">
        <v>12.38706789893226</v>
      </c>
      <c r="N146">
        <v>5.4852918086964495</v>
      </c>
      <c r="O146">
        <v>986.45494612291202</v>
      </c>
      <c r="P146" s="25"/>
      <c r="Q146" s="25"/>
      <c r="R146" s="24"/>
      <c r="S146" s="28"/>
      <c r="T146" s="28"/>
      <c r="U146" s="28"/>
      <c r="V146" s="24"/>
      <c r="W146" s="24"/>
      <c r="X146" s="24"/>
      <c r="Y146" s="24"/>
    </row>
    <row r="147" spans="2:26" hidden="1" x14ac:dyDescent="0.25">
      <c r="B147" t="str">
        <f>VLOOKUP(F147,[1]NUTS_Europa!$A$2:$C$81,2,FALSE)</f>
        <v>DE60</v>
      </c>
      <c r="C147">
        <f>VLOOKUP(F147,[1]NUTS_Europa!$A$2:$C$81,3,FALSE)</f>
        <v>245</v>
      </c>
      <c r="D147" t="str">
        <f>VLOOKUP(G147,[1]NUTS_Europa!$A$2:$C$81,2,FALSE)</f>
        <v>FRD2</v>
      </c>
      <c r="E147">
        <f>VLOOKUP(G147,[1]NUTS_Europa!$A$2:$C$81,3,FALSE)</f>
        <v>271</v>
      </c>
      <c r="F147">
        <v>45</v>
      </c>
      <c r="G147">
        <v>60</v>
      </c>
      <c r="H147">
        <v>1318905.9323898884</v>
      </c>
      <c r="I147">
        <v>11117928.7143257</v>
      </c>
      <c r="J147">
        <f t="shared" si="14"/>
        <v>794137.76530897862</v>
      </c>
      <c r="K147">
        <v>141734.02658349604</v>
      </c>
      <c r="L147">
        <v>143.43589743589743</v>
      </c>
      <c r="M147">
        <v>15.197477867687898</v>
      </c>
      <c r="N147">
        <v>2.2298745216204381</v>
      </c>
      <c r="O147">
        <v>347.52790697674413</v>
      </c>
      <c r="P147" s="25"/>
      <c r="Q147" s="25"/>
      <c r="R147" s="24"/>
      <c r="S147" s="28"/>
      <c r="T147" s="28"/>
      <c r="U147" s="28"/>
      <c r="V147" s="24"/>
      <c r="W147" s="24"/>
      <c r="X147" s="24"/>
      <c r="Y147" s="24"/>
    </row>
    <row r="148" spans="2:26" hidden="1" x14ac:dyDescent="0.25">
      <c r="B148" t="str">
        <f>VLOOKUP(G148,[1]NUTS_Europa!$A$2:$C$81,2,FALSE)</f>
        <v>FRD2</v>
      </c>
      <c r="C148">
        <f>VLOOKUP(G148,[1]NUTS_Europa!$A$2:$C$81,3,FALSE)</f>
        <v>271</v>
      </c>
      <c r="D148" t="str">
        <f>VLOOKUP(F148,[1]NUTS_Europa!$A$2:$C$81,2,FALSE)</f>
        <v>ES21</v>
      </c>
      <c r="E148">
        <f>VLOOKUP(F148,[1]NUTS_Europa!$A$2:$C$81,3,FALSE)</f>
        <v>1063</v>
      </c>
      <c r="F148">
        <v>54</v>
      </c>
      <c r="G148">
        <v>60</v>
      </c>
      <c r="H148">
        <v>303484.67842444341</v>
      </c>
      <c r="I148">
        <v>5812122.2747895317</v>
      </c>
      <c r="J148">
        <f t="shared" si="14"/>
        <v>415151.59105639515</v>
      </c>
      <c r="K148">
        <v>159445.52860932166</v>
      </c>
      <c r="L148">
        <v>85.589743589743591</v>
      </c>
      <c r="M148">
        <v>11.023814798547351</v>
      </c>
      <c r="N148">
        <v>1.9324673558841208</v>
      </c>
      <c r="O148">
        <v>347.52790697674413</v>
      </c>
      <c r="P148" s="25"/>
      <c r="Q148" s="25"/>
      <c r="R148" s="24"/>
      <c r="S148" s="28"/>
      <c r="T148" s="28"/>
      <c r="U148" s="28"/>
      <c r="V148" s="24"/>
      <c r="W148" s="24"/>
      <c r="X148" s="24"/>
      <c r="Y148" s="24"/>
    </row>
    <row r="149" spans="2:26" hidden="1" x14ac:dyDescent="0.25">
      <c r="B149" t="str">
        <f>VLOOKUP(F149,[1]NUTS_Europa!$A$2:$C$81,2,FALSE)</f>
        <v>ES21</v>
      </c>
      <c r="C149">
        <f>VLOOKUP(F149,[1]NUTS_Europa!$A$2:$C$81,3,FALSE)</f>
        <v>1063</v>
      </c>
      <c r="D149" t="str">
        <f>VLOOKUP(G149,[1]NUTS_Europa!$A$2:$C$81,2,FALSE)</f>
        <v>FRH0</v>
      </c>
      <c r="E149">
        <f>VLOOKUP(G149,[1]NUTS_Europa!$A$2:$C$81,3,FALSE)</f>
        <v>282</v>
      </c>
      <c r="F149">
        <v>54</v>
      </c>
      <c r="G149">
        <v>63</v>
      </c>
      <c r="H149">
        <v>856105.62959319435</v>
      </c>
      <c r="I149">
        <v>5673872.1721301721</v>
      </c>
      <c r="J149">
        <f t="shared" si="14"/>
        <v>405276.58372358372</v>
      </c>
      <c r="K149">
        <v>141734.02658349604</v>
      </c>
      <c r="L149">
        <v>75.384615384615387</v>
      </c>
      <c r="M149">
        <v>12.857665407755631</v>
      </c>
      <c r="N149">
        <v>4.540341990624694</v>
      </c>
      <c r="O149">
        <v>816.51860465116272</v>
      </c>
      <c r="P149" s="25"/>
      <c r="Q149" s="25"/>
      <c r="R149" s="24"/>
      <c r="S149" s="28"/>
      <c r="T149" s="28"/>
      <c r="U149" s="28"/>
      <c r="V149" s="24"/>
      <c r="W149" s="24"/>
      <c r="X149" s="24"/>
      <c r="Y149" s="24"/>
    </row>
    <row r="150" spans="2:26" hidden="1" x14ac:dyDescent="0.25">
      <c r="B150" t="str">
        <f>VLOOKUP(G150,[1]NUTS_Europa!$A$2:$C$81,2,FALSE)</f>
        <v>FRH0</v>
      </c>
      <c r="C150">
        <f>VLOOKUP(G150,[1]NUTS_Europa!$A$2:$C$81,3,FALSE)</f>
        <v>282</v>
      </c>
      <c r="D150" t="str">
        <f>VLOOKUP(F150,[1]NUTS_Europa!$A$2:$C$81,2,FALSE)</f>
        <v>FRI2</v>
      </c>
      <c r="E150">
        <f>VLOOKUP(F150,[1]NUTS_Europa!$A$2:$C$81,3,FALSE)</f>
        <v>269</v>
      </c>
      <c r="F150">
        <v>29</v>
      </c>
      <c r="G150">
        <v>63</v>
      </c>
      <c r="H150">
        <v>425318.53452334501</v>
      </c>
      <c r="I150">
        <v>987345.63275158964</v>
      </c>
      <c r="J150">
        <f t="shared" si="14"/>
        <v>70524.688053684979</v>
      </c>
      <c r="K150">
        <v>127001.21695280854</v>
      </c>
      <c r="L150">
        <v>20.410256410256409</v>
      </c>
      <c r="M150">
        <v>15.739267993118968</v>
      </c>
      <c r="N150">
        <v>5.2391016559787786</v>
      </c>
      <c r="O150">
        <v>816.51860465116272</v>
      </c>
      <c r="P150" s="25"/>
      <c r="Q150" s="25"/>
      <c r="R150" s="24"/>
      <c r="S150" s="28"/>
      <c r="T150" s="28"/>
      <c r="U150" s="28"/>
      <c r="V150" s="24"/>
      <c r="W150" s="24"/>
      <c r="X150" s="24"/>
      <c r="Y150" s="24"/>
    </row>
    <row r="151" spans="2:26" hidden="1" x14ac:dyDescent="0.25">
      <c r="B151" t="str">
        <f>VLOOKUP(F151,[1]NUTS_Europa!$A$2:$C$81,2,FALSE)</f>
        <v>FRI2</v>
      </c>
      <c r="C151">
        <f>VLOOKUP(F151,[1]NUTS_Europa!$A$2:$C$81,3,FALSE)</f>
        <v>269</v>
      </c>
      <c r="D151" t="str">
        <f>VLOOKUP(G151,[1]NUTS_Europa!$A$2:$C$81,2,FALSE)</f>
        <v>FRG0</v>
      </c>
      <c r="E151">
        <f>VLOOKUP(G151,[1]NUTS_Europa!$A$2:$C$81,3,FALSE)</f>
        <v>283</v>
      </c>
      <c r="F151">
        <v>29</v>
      </c>
      <c r="G151">
        <v>62</v>
      </c>
      <c r="H151">
        <v>1365039.3556420547</v>
      </c>
      <c r="I151">
        <v>997977.48864301026</v>
      </c>
      <c r="J151">
        <f t="shared" si="14"/>
        <v>71284.10633164359</v>
      </c>
      <c r="K151">
        <v>118487.95435333898</v>
      </c>
      <c r="L151">
        <v>23.743589743589745</v>
      </c>
      <c r="M151">
        <v>13.502994331194085</v>
      </c>
      <c r="N151">
        <v>13.023217637488681</v>
      </c>
      <c r="O151">
        <v>2266.66818622449</v>
      </c>
      <c r="P151" s="25"/>
      <c r="Q151" s="25"/>
      <c r="R151" s="24"/>
      <c r="S151" s="28"/>
      <c r="T151" s="28"/>
      <c r="U151" s="28"/>
      <c r="V151" s="24"/>
      <c r="W151" s="24"/>
      <c r="X151" s="24"/>
      <c r="Y151" s="24"/>
    </row>
    <row r="152" spans="2:26" hidden="1" x14ac:dyDescent="0.25">
      <c r="B152" t="str">
        <f>VLOOKUP(G152,[1]NUTS_Europa!$A$2:$C$81,2,FALSE)</f>
        <v>FRG0</v>
      </c>
      <c r="C152">
        <f>VLOOKUP(G152,[1]NUTS_Europa!$A$2:$C$81,3,FALSE)</f>
        <v>283</v>
      </c>
      <c r="D152" t="str">
        <f>VLOOKUP(F152,[1]NUTS_Europa!$A$2:$C$81,2,FALSE)</f>
        <v>FRD1</v>
      </c>
      <c r="E152">
        <f>VLOOKUP(F152,[1]NUTS_Europa!$A$2:$C$81,3,FALSE)</f>
        <v>269</v>
      </c>
      <c r="F152">
        <v>59</v>
      </c>
      <c r="G152">
        <v>62</v>
      </c>
      <c r="H152">
        <v>1126948.529361034</v>
      </c>
      <c r="I152">
        <v>997977.48864301026</v>
      </c>
      <c r="J152">
        <f t="shared" si="14"/>
        <v>71284.10633164359</v>
      </c>
      <c r="K152">
        <v>159445.52860932166</v>
      </c>
      <c r="L152">
        <v>23.743589743589745</v>
      </c>
      <c r="M152">
        <v>13.502994331194085</v>
      </c>
      <c r="N152">
        <v>13.023217637488681</v>
      </c>
      <c r="O152">
        <v>2266.66818622449</v>
      </c>
      <c r="P152" s="25"/>
      <c r="Q152" s="25"/>
      <c r="R152" s="24"/>
      <c r="S152" s="28"/>
      <c r="T152" s="28"/>
      <c r="U152" s="28"/>
      <c r="V152" s="24"/>
      <c r="W152" s="24"/>
      <c r="X152" s="24"/>
      <c r="Y152" s="24"/>
    </row>
    <row r="153" spans="2:26" hidden="1" x14ac:dyDescent="0.25">
      <c r="B153" s="24" t="str">
        <f>VLOOKUP(F153,[1]NUTS_Europa!$A$2:$C$81,2,FALSE)</f>
        <v>DE60</v>
      </c>
      <c r="C153" s="24">
        <f>VLOOKUP(F153,[1]NUTS_Europa!$A$2:$C$81,3,FALSE)</f>
        <v>1069</v>
      </c>
      <c r="D153" s="24" t="str">
        <f>VLOOKUP(G153,[1]NUTS_Europa!$A$2:$C$81,2,FALSE)</f>
        <v>NL32</v>
      </c>
      <c r="E153" s="24">
        <f>VLOOKUP(G153,[1]NUTS_Europa!$A$2:$C$81,3,FALSE)</f>
        <v>218</v>
      </c>
      <c r="F153" s="24">
        <v>5</v>
      </c>
      <c r="G153" s="24">
        <v>32</v>
      </c>
      <c r="H153" s="28">
        <v>291521.05818257912</v>
      </c>
      <c r="I153" s="59">
        <v>849369.26806492324</v>
      </c>
      <c r="J153" s="28">
        <f t="shared" si="14"/>
        <v>60669.233433208799</v>
      </c>
      <c r="K153" s="58">
        <v>119215.96904421839</v>
      </c>
      <c r="L153" s="25">
        <v>13.844615384615386</v>
      </c>
      <c r="M153" s="25">
        <v>8.533427864963075</v>
      </c>
      <c r="N153" s="25">
        <v>21.149406761232438</v>
      </c>
      <c r="O153" s="26">
        <v>4803.0739774448748</v>
      </c>
      <c r="P153" s="25">
        <f t="shared" si="15"/>
        <v>6.9484176229529711</v>
      </c>
      <c r="Q153" s="25">
        <f t="shared" si="16"/>
        <v>29.326460872531431</v>
      </c>
      <c r="R153" s="24">
        <v>1578</v>
      </c>
      <c r="S153" s="28">
        <f t="shared" si="17"/>
        <v>95776.211645365926</v>
      </c>
      <c r="T153" s="28">
        <f t="shared" ref="T153:T158" si="23">J153*2</f>
        <v>121338.4668664176</v>
      </c>
      <c r="U153" s="28">
        <f t="shared" si="18"/>
        <v>217114.67851178354</v>
      </c>
      <c r="V153" s="24" t="str">
        <f>VLOOKUP(B153,NUTS_Europa!$B$2:$F$41,5,FALSE)</f>
        <v>Hamburg</v>
      </c>
      <c r="W153" s="24" t="str">
        <f>VLOOKUP(C153,Puertos!$N$3:$O$27,2,FALSE)</f>
        <v>Hamburgo</v>
      </c>
      <c r="X153" s="24" t="str">
        <f>VLOOKUP(D153,NUTS_Europa!$B$2:$F$41,5,FALSE)</f>
        <v>Noord-Holland</v>
      </c>
      <c r="Y153" s="24" t="str">
        <f>VLOOKUP(E153,Puertos!$N$3:$O$27,2,FALSE)</f>
        <v>Amsterdam</v>
      </c>
    </row>
    <row r="154" spans="2:26" hidden="1" x14ac:dyDescent="0.25">
      <c r="B154" s="24" t="str">
        <f>VLOOKUP(G154,[1]NUTS_Europa!$A$2:$C$81,2,FALSE)</f>
        <v>NL12</v>
      </c>
      <c r="C154" s="24">
        <f>VLOOKUP(G154,[1]NUTS_Europa!$A$2:$C$81,3,FALSE)</f>
        <v>218</v>
      </c>
      <c r="D154" s="24" t="str">
        <f>VLOOKUP(F154,[1]NUTS_Europa!$A$2:$C$81,2,FALSE)</f>
        <v>FRF2</v>
      </c>
      <c r="E154" s="24">
        <f>VLOOKUP(F154,[1]NUTS_Europa!$A$2:$C$81,3,FALSE)</f>
        <v>269</v>
      </c>
      <c r="F154" s="24">
        <v>27</v>
      </c>
      <c r="G154" s="24">
        <v>31</v>
      </c>
      <c r="H154" s="28">
        <v>2289698.258242155</v>
      </c>
      <c r="I154" s="59">
        <v>919598.95257442398</v>
      </c>
      <c r="J154" s="28">
        <f t="shared" si="14"/>
        <v>65685.639469601709</v>
      </c>
      <c r="K154" s="58">
        <v>145035.59769143321</v>
      </c>
      <c r="L154" s="25">
        <v>14.102564102564102</v>
      </c>
      <c r="M154" s="25">
        <v>8.5074901961721636</v>
      </c>
      <c r="N154" s="25">
        <v>25.259777726489432</v>
      </c>
      <c r="O154" s="26">
        <v>4803.0739774448748</v>
      </c>
      <c r="P154" s="25">
        <f t="shared" si="15"/>
        <v>8.2988372528888039</v>
      </c>
      <c r="Q154" s="25">
        <f t="shared" si="16"/>
        <v>30.908891551625068</v>
      </c>
      <c r="R154" s="24">
        <v>1578</v>
      </c>
      <c r="S154" s="28">
        <f t="shared" si="17"/>
        <v>752256.54830080923</v>
      </c>
      <c r="T154" s="28">
        <f t="shared" si="23"/>
        <v>131371.27893920342</v>
      </c>
      <c r="U154" s="28">
        <f t="shared" si="18"/>
        <v>883627.82724001259</v>
      </c>
      <c r="V154" s="24" t="str">
        <f>VLOOKUP(B154,NUTS_Europa!$B$2:$F$41,5,FALSE)</f>
        <v>Friesland (NL)</v>
      </c>
      <c r="W154" s="24" t="str">
        <f>VLOOKUP(C154,Puertos!$N$3:$O$27,2,FALSE)</f>
        <v>Amsterdam</v>
      </c>
      <c r="X154" s="24" t="str">
        <f>VLOOKUP(D154,NUTS_Europa!$B$2:$F$41,5,FALSE)</f>
        <v>Champagne-Ardenne</v>
      </c>
      <c r="Y154" s="24" t="str">
        <f>VLOOKUP(E154,Puertos!$N$3:$O$27,2,FALSE)</f>
        <v>Le Havre</v>
      </c>
    </row>
    <row r="155" spans="2:26" hidden="1" x14ac:dyDescent="0.25">
      <c r="B155" s="24" t="str">
        <f>VLOOKUP(F155,[1]NUTS_Europa!$A$2:$C$81,2,FALSE)</f>
        <v>FRF2</v>
      </c>
      <c r="C155" s="24">
        <f>VLOOKUP(F155,[1]NUTS_Europa!$A$2:$C$81,3,FALSE)</f>
        <v>269</v>
      </c>
      <c r="D155" s="24" t="str">
        <f>VLOOKUP(G155,[1]NUTS_Europa!$A$2:$C$81,2,FALSE)</f>
        <v>FRJ2</v>
      </c>
      <c r="E155" s="24">
        <f>VLOOKUP(G155,[1]NUTS_Europa!$A$2:$C$81,3,FALSE)</f>
        <v>283</v>
      </c>
      <c r="F155" s="24">
        <v>27</v>
      </c>
      <c r="G155" s="24">
        <v>28</v>
      </c>
      <c r="H155" s="28">
        <v>1882886.9028032741</v>
      </c>
      <c r="I155" s="59">
        <v>997977.48864301026</v>
      </c>
      <c r="J155" s="28">
        <f t="shared" si="14"/>
        <v>71284.10633164359</v>
      </c>
      <c r="K155" s="58">
        <v>176841.96373917855</v>
      </c>
      <c r="L155" s="25">
        <v>23.743589743589745</v>
      </c>
      <c r="M155" s="25">
        <v>13.502994331194085</v>
      </c>
      <c r="N155" s="25">
        <v>13.023217637488681</v>
      </c>
      <c r="O155" s="26">
        <v>2266.66818622449</v>
      </c>
      <c r="P155" s="25">
        <f t="shared" si="15"/>
        <v>9.0664516124822025</v>
      </c>
      <c r="Q155" s="25">
        <f t="shared" si="16"/>
        <v>46.31303568726603</v>
      </c>
      <c r="R155" s="24">
        <v>1578</v>
      </c>
      <c r="S155" s="28">
        <f t="shared" si="17"/>
        <v>1310820.6797451826</v>
      </c>
      <c r="T155" s="28">
        <f t="shared" si="23"/>
        <v>142568.21266328718</v>
      </c>
      <c r="U155" s="28">
        <f t="shared" si="18"/>
        <v>1453388.8924084697</v>
      </c>
      <c r="V155" s="24" t="str">
        <f>VLOOKUP(B155,NUTS_Europa!$B$2:$F$41,5,FALSE)</f>
        <v>Champagne-Ardenne</v>
      </c>
      <c r="W155" s="24" t="str">
        <f>VLOOKUP(C155,Puertos!$N$3:$O$27,2,FALSE)</f>
        <v>Le Havre</v>
      </c>
      <c r="X155" s="24" t="str">
        <f>VLOOKUP(D155,NUTS_Europa!$B$2:$F$41,5,FALSE)</f>
        <v>Midi-Pyrénées</v>
      </c>
      <c r="Y155" s="24" t="str">
        <f>VLOOKUP(E155,Puertos!$N$3:$O$27,2,FALSE)</f>
        <v>La Rochelle</v>
      </c>
    </row>
    <row r="156" spans="2:26" hidden="1" x14ac:dyDescent="0.25">
      <c r="B156" s="24" t="str">
        <f>VLOOKUP(G156,[1]NUTS_Europa!$A$2:$C$81,2,FALSE)</f>
        <v>FRD1</v>
      </c>
      <c r="C156" s="24">
        <f>VLOOKUP(G156,[1]NUTS_Europa!$A$2:$C$81,3,FALSE)</f>
        <v>269</v>
      </c>
      <c r="D156" s="24" t="str">
        <f>VLOOKUP(F156,[1]NUTS_Europa!$A$2:$C$81,2,FALSE)</f>
        <v>BE25</v>
      </c>
      <c r="E156" s="24">
        <f>VLOOKUP(F156,[1]NUTS_Europa!$A$2:$C$81,3,FALSE)</f>
        <v>220</v>
      </c>
      <c r="F156" s="24">
        <v>43</v>
      </c>
      <c r="G156" s="24">
        <v>59</v>
      </c>
      <c r="H156" s="28">
        <v>4091742.8962037307</v>
      </c>
      <c r="I156" s="59">
        <v>759198.79170450056</v>
      </c>
      <c r="J156" s="28">
        <f t="shared" si="14"/>
        <v>54228.48512175004</v>
      </c>
      <c r="K156" s="58">
        <v>199058.85825050285</v>
      </c>
      <c r="L156" s="25">
        <v>9.281538461538462</v>
      </c>
      <c r="M156" s="25">
        <v>11.358376815537301</v>
      </c>
      <c r="N156" s="25">
        <v>93.17083442699672</v>
      </c>
      <c r="O156" s="26">
        <v>15926.654740608226</v>
      </c>
      <c r="P156" s="25">
        <f t="shared" si="15"/>
        <v>9.2312905076628873</v>
      </c>
      <c r="Q156" s="25">
        <f t="shared" si="16"/>
        <v>29.871205784738653</v>
      </c>
      <c r="R156" s="24">
        <v>1578</v>
      </c>
      <c r="S156" s="28">
        <f t="shared" si="17"/>
        <v>405406.55871359137</v>
      </c>
      <c r="T156" s="28">
        <f t="shared" si="23"/>
        <v>108456.97024350008</v>
      </c>
      <c r="U156" s="28">
        <f t="shared" si="18"/>
        <v>513863.52895709145</v>
      </c>
      <c r="V156" s="24" t="str">
        <f>VLOOKUP(B156,NUTS_Europa!$B$2:$F$41,5,FALSE)</f>
        <v xml:space="preserve">Basse-Normandie </v>
      </c>
      <c r="W156" s="24" t="str">
        <f>VLOOKUP(C156,Puertos!$N$3:$O$27,2,FALSE)</f>
        <v>Le Havre</v>
      </c>
      <c r="X156" s="24" t="str">
        <f>VLOOKUP(D156,NUTS_Europa!$B$2:$F$41,5,FALSE)</f>
        <v>Prov. West-Vlaanderen</v>
      </c>
      <c r="Y156" s="24" t="str">
        <f>VLOOKUP(E156,Puertos!$N$3:$O$27,2,FALSE)</f>
        <v>Zeebrugge</v>
      </c>
    </row>
    <row r="157" spans="2:26" hidden="1" x14ac:dyDescent="0.25">
      <c r="B157" s="24" t="str">
        <f>VLOOKUP(F157,[1]NUTS_Europa!$A$2:$C$81,2,FALSE)</f>
        <v>BE25</v>
      </c>
      <c r="C157" s="24">
        <f>VLOOKUP(F157,[1]NUTS_Europa!$A$2:$C$81,3,FALSE)</f>
        <v>220</v>
      </c>
      <c r="D157" s="24" t="str">
        <f>VLOOKUP(G157,[1]NUTS_Europa!$A$2:$C$81,2,FALSE)</f>
        <v>PT18</v>
      </c>
      <c r="E157" s="24">
        <f>VLOOKUP(G157,[1]NUTS_Europa!$A$2:$C$81,3,FALSE)</f>
        <v>61</v>
      </c>
      <c r="F157" s="24">
        <v>43</v>
      </c>
      <c r="G157" s="24">
        <v>80</v>
      </c>
      <c r="H157" s="28">
        <v>13641093.316340309</v>
      </c>
      <c r="I157" s="59">
        <v>1579080.9040809465</v>
      </c>
      <c r="J157" s="28">
        <f t="shared" si="14"/>
        <v>112791.49314863903</v>
      </c>
      <c r="K157" s="58">
        <v>117768.50934211678</v>
      </c>
      <c r="L157" s="25">
        <v>69.418974358974367</v>
      </c>
      <c r="M157" s="25">
        <v>9.3782572597828189</v>
      </c>
      <c r="N157" s="25">
        <v>94.659378032007623</v>
      </c>
      <c r="O157" s="26">
        <v>20275.132014860137</v>
      </c>
      <c r="P157" s="25">
        <f t="shared" si="15"/>
        <v>7.3672762488071246</v>
      </c>
      <c r="Q157" s="25">
        <f t="shared" si="16"/>
        <v>86.164507867564311</v>
      </c>
      <c r="R157" s="24">
        <v>1578</v>
      </c>
      <c r="S157" s="28">
        <f t="shared" si="17"/>
        <v>1061677.1933918032</v>
      </c>
      <c r="T157" s="28">
        <f t="shared" si="23"/>
        <v>225582.98629727805</v>
      </c>
      <c r="U157" s="28">
        <f t="shared" si="18"/>
        <v>1287260.1796890812</v>
      </c>
      <c r="V157" s="24" t="str">
        <f>VLOOKUP(B157,NUTS_Europa!$B$2:$F$41,5,FALSE)</f>
        <v>Prov. West-Vlaanderen</v>
      </c>
      <c r="W157" s="24" t="str">
        <f>VLOOKUP(C157,Puertos!$N$3:$O$27,2,FALSE)</f>
        <v>Zeebrugge</v>
      </c>
      <c r="X157" s="24" t="str">
        <f>VLOOKUP(D157,NUTS_Europa!$B$2:$F$41,5,FALSE)</f>
        <v>Alentejo</v>
      </c>
      <c r="Y157" s="24" t="str">
        <f>VLOOKUP(E157,Puertos!$N$3:$O$27,2,FALSE)</f>
        <v>Algeciras</v>
      </c>
    </row>
    <row r="158" spans="2:26" hidden="1" x14ac:dyDescent="0.25">
      <c r="B158" s="24" t="str">
        <f>VLOOKUP(G158,[1]NUTS_Europa!$A$2:$C$81,2,FALSE)</f>
        <v>PT18</v>
      </c>
      <c r="C158" s="24">
        <f>VLOOKUP(G158,[1]NUTS_Europa!$A$2:$C$81,3,FALSE)</f>
        <v>61</v>
      </c>
      <c r="D158" s="24" t="str">
        <f>VLOOKUP(F158,[1]NUTS_Europa!$A$2:$C$81,2,FALSE)</f>
        <v>DE60</v>
      </c>
      <c r="E158" s="24">
        <f>VLOOKUP(F158,[1]NUTS_Europa!$A$2:$C$81,3,FALSE)</f>
        <v>1069</v>
      </c>
      <c r="F158" s="24">
        <v>5</v>
      </c>
      <c r="G158" s="24">
        <v>80</v>
      </c>
      <c r="H158" s="28">
        <v>12667566.868798733</v>
      </c>
      <c r="I158" s="59">
        <v>1890517.6741464585</v>
      </c>
      <c r="J158" s="28">
        <f t="shared" si="14"/>
        <v>135036.97672474704</v>
      </c>
      <c r="K158" s="58">
        <v>118487.95435333898</v>
      </c>
      <c r="L158" s="25">
        <v>85.783589743589744</v>
      </c>
      <c r="M158" s="25">
        <v>11.321648822841263</v>
      </c>
      <c r="N158" s="25">
        <v>88.792091272356132</v>
      </c>
      <c r="O158" s="26">
        <v>20275.132014860137</v>
      </c>
      <c r="P158" s="25">
        <f t="shared" si="15"/>
        <v>6.9106292341319939</v>
      </c>
      <c r="Q158" s="25">
        <f t="shared" si="16"/>
        <v>104.015867800563</v>
      </c>
      <c r="R158" s="24">
        <v>1578</v>
      </c>
      <c r="S158" s="28">
        <f t="shared" si="17"/>
        <v>985908.27937957039</v>
      </c>
      <c r="T158" s="28">
        <f t="shared" si="23"/>
        <v>270073.95344949409</v>
      </c>
      <c r="U158" s="28">
        <f t="shared" si="18"/>
        <v>1255982.2328290646</v>
      </c>
      <c r="V158" s="24" t="str">
        <f>VLOOKUP(B158,NUTS_Europa!$B$2:$F$41,5,FALSE)</f>
        <v>Alentejo</v>
      </c>
      <c r="W158" s="24" t="str">
        <f>VLOOKUP(C158,Puertos!$N$3:$O$27,2,FALSE)</f>
        <v>Algeciras</v>
      </c>
      <c r="X158" s="24" t="str">
        <f>VLOOKUP(D158,NUTS_Europa!$B$2:$F$41,5,FALSE)</f>
        <v>Hamburg</v>
      </c>
      <c r="Y158" s="24" t="str">
        <f>VLOOKUP(E158,Puertos!$N$3:$O$27,2,FALSE)</f>
        <v>Hamburgo</v>
      </c>
    </row>
    <row r="159" spans="2:26" hidden="1" x14ac:dyDescent="0.25">
      <c r="Q159" s="23">
        <f>Q122+Q123+Q124+Q127+Q128+Q129</f>
        <v>431.04639362797258</v>
      </c>
      <c r="R159" s="70">
        <f>R123/R129</f>
        <v>0.51743891296017919</v>
      </c>
      <c r="Z159" s="23">
        <f>(Z122+Z123+Z124+Z127+Z128+Z129)/6</f>
        <v>12.158934395337907</v>
      </c>
    </row>
    <row r="160" spans="2:26" x14ac:dyDescent="0.25">
      <c r="Q160" s="23">
        <f>Q122+Q123+Q124+Q127+Q128+Q129</f>
        <v>431.04639362797258</v>
      </c>
      <c r="Z160" s="23">
        <f>AVERAGE(Z122:Z129)</f>
        <v>13.344266580454063</v>
      </c>
    </row>
    <row r="161" spans="17:17" x14ac:dyDescent="0.25">
      <c r="Q161" s="23">
        <f>Q160/24</f>
        <v>17.960266401165523</v>
      </c>
    </row>
    <row r="162" spans="17:17" x14ac:dyDescent="0.25">
      <c r="Q162">
        <f>Q161/7</f>
        <v>2.5657523430236462</v>
      </c>
    </row>
  </sheetData>
  <autoFilter ref="B3:O83" xr:uid="{E7605AB6-2D0C-4DDC-A81F-9977BE15F153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48D6-2182-429F-B93B-46EC967291EB}">
  <dimension ref="B1:AD152"/>
  <sheetViews>
    <sheetView topLeftCell="A118" workbookViewId="0">
      <selection activeCell="V153" sqref="V153:Y158"/>
    </sheetView>
  </sheetViews>
  <sheetFormatPr baseColWidth="10" defaultColWidth="9.140625" defaultRowHeight="15" x14ac:dyDescent="0.25"/>
  <cols>
    <col min="6" max="7" width="5" customWidth="1"/>
    <col min="8" max="9" width="14.7109375" customWidth="1"/>
    <col min="10" max="10" width="16.140625" bestFit="1" customWidth="1"/>
    <col min="11" max="12" width="11.7109375" bestFit="1" customWidth="1"/>
    <col min="13" max="13" width="13.7109375" bestFit="1" customWidth="1"/>
    <col min="14" max="14" width="11.7109375" customWidth="1"/>
    <col min="15" max="15" width="9.140625" customWidth="1"/>
    <col min="16" max="16" width="11.42578125" bestFit="1" customWidth="1"/>
    <col min="19" max="19" width="13.85546875" bestFit="1" customWidth="1"/>
    <col min="20" max="20" width="12.28515625" bestFit="1" customWidth="1"/>
    <col min="21" max="21" width="13.85546875" customWidth="1"/>
  </cols>
  <sheetData>
    <row r="1" spans="2:14" x14ac:dyDescent="0.25">
      <c r="H1" t="s">
        <v>140</v>
      </c>
    </row>
    <row r="3" spans="2:14" x14ac:dyDescent="0.25">
      <c r="B3" t="s">
        <v>134</v>
      </c>
      <c r="C3" t="s">
        <v>135</v>
      </c>
      <c r="D3" t="s">
        <v>131</v>
      </c>
      <c r="E3" t="s">
        <v>136</v>
      </c>
      <c r="F3" t="s">
        <v>39</v>
      </c>
      <c r="G3" t="s">
        <v>40</v>
      </c>
      <c r="H3" t="s">
        <v>137</v>
      </c>
      <c r="I3" t="s">
        <v>133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76" customFormat="1" x14ac:dyDescent="0.25">
      <c r="B4" s="76" t="str">
        <f>VLOOKUP(F4,[1]NUTS_Europa!$A$2:$C$81,2,FALSE)</f>
        <v>BE21</v>
      </c>
      <c r="C4" s="76">
        <f>VLOOKUP(F4,[1]NUTS_Europa!$A$2:$C$81,3,FALSE)</f>
        <v>253</v>
      </c>
      <c r="D4" s="76" t="str">
        <f>VLOOKUP(G4,[1]NUTS_Europa!$A$2:$C$81,2,FALSE)</f>
        <v>BE25</v>
      </c>
      <c r="E4" s="76">
        <f>VLOOKUP(G4,[1]NUTS_Europa!$A$2:$C$81,3,FALSE)</f>
        <v>235</v>
      </c>
      <c r="F4" s="76">
        <v>1</v>
      </c>
      <c r="G4" s="76">
        <v>3</v>
      </c>
      <c r="H4" s="77">
        <v>309590.01496138563</v>
      </c>
      <c r="I4" s="77">
        <v>592060.58520590479</v>
      </c>
      <c r="J4" s="76">
        <v>135416.16142478216</v>
      </c>
      <c r="K4" s="76">
        <v>5.8785046728971961</v>
      </c>
      <c r="L4" s="76">
        <v>10.125193530434213</v>
      </c>
      <c r="M4" s="76">
        <v>9.8623551365503257</v>
      </c>
      <c r="N4" s="76">
        <v>1644.4693371086462</v>
      </c>
    </row>
    <row r="5" spans="2:14" s="76" customFormat="1" x14ac:dyDescent="0.25">
      <c r="B5" s="76" t="str">
        <f>VLOOKUP(F5,[1]NUTS_Europa!$A$2:$C$81,2,FALSE)</f>
        <v>BE21</v>
      </c>
      <c r="C5" s="76">
        <f>VLOOKUP(F5,[1]NUTS_Europa!$A$2:$C$81,3,FALSE)</f>
        <v>253</v>
      </c>
      <c r="D5" s="76" t="str">
        <f>VLOOKUP(G5,[1]NUTS_Europa!$A$2:$C$81,2,FALSE)</f>
        <v>NL32</v>
      </c>
      <c r="E5" s="76">
        <f>VLOOKUP(G5,[1]NUTS_Europa!$A$2:$C$81,3,FALSE)</f>
        <v>218</v>
      </c>
      <c r="F5" s="76">
        <v>1</v>
      </c>
      <c r="G5" s="76">
        <v>32</v>
      </c>
      <c r="H5" s="76">
        <v>475612.14405190101</v>
      </c>
      <c r="I5" s="76">
        <v>748236.21343443939</v>
      </c>
      <c r="J5" s="76">
        <v>198656.28734660565</v>
      </c>
      <c r="K5" s="76">
        <v>8.364018691588786</v>
      </c>
      <c r="L5" s="76">
        <v>9.9949557249884151</v>
      </c>
      <c r="M5" s="76">
        <v>29.92312130676439</v>
      </c>
      <c r="N5" s="76">
        <v>5283.3813751893604</v>
      </c>
    </row>
    <row r="6" spans="2:14" s="76" customFormat="1" x14ac:dyDescent="0.25">
      <c r="B6" s="76" t="str">
        <f>VLOOKUP(F6,[1]NUTS_Europa!$A$2:$C$81,2,FALSE)</f>
        <v>BE23</v>
      </c>
      <c r="C6" s="76">
        <f>VLOOKUP(F6,[1]NUTS_Europa!$A$2:$C$81,3,FALSE)</f>
        <v>253</v>
      </c>
      <c r="D6" s="76" t="str">
        <f>VLOOKUP(G6,[1]NUTS_Europa!$A$2:$C$81,2,FALSE)</f>
        <v>BE25</v>
      </c>
      <c r="E6" s="76">
        <f>VLOOKUP(G6,[1]NUTS_Europa!$A$2:$C$81,3,FALSE)</f>
        <v>235</v>
      </c>
      <c r="F6" s="76">
        <v>2</v>
      </c>
      <c r="G6" s="76">
        <v>3</v>
      </c>
      <c r="H6" s="76">
        <v>383002.4151085898</v>
      </c>
      <c r="I6" s="76">
        <v>592060.58520590479</v>
      </c>
      <c r="J6" s="76">
        <v>135416.16142478216</v>
      </c>
      <c r="K6" s="76">
        <v>5.8785046728971961</v>
      </c>
      <c r="L6" s="76">
        <v>10.125193530434213</v>
      </c>
      <c r="M6" s="76">
        <v>9.8623551365503257</v>
      </c>
      <c r="N6" s="76">
        <v>1644.4693371086462</v>
      </c>
    </row>
    <row r="7" spans="2:14" s="76" customFormat="1" x14ac:dyDescent="0.25">
      <c r="B7" s="76" t="str">
        <f>VLOOKUP(F7,[1]NUTS_Europa!$A$2:$C$81,2,FALSE)</f>
        <v>BE23</v>
      </c>
      <c r="C7" s="76">
        <f>VLOOKUP(F7,[1]NUTS_Europa!$A$2:$C$81,3,FALSE)</f>
        <v>253</v>
      </c>
      <c r="D7" s="76" t="str">
        <f>VLOOKUP(G7,[1]NUTS_Europa!$A$2:$C$81,2,FALSE)</f>
        <v>ES21</v>
      </c>
      <c r="E7" s="76">
        <f>VLOOKUP(G7,[1]NUTS_Europa!$A$2:$C$81,3,FALSE)</f>
        <v>163</v>
      </c>
      <c r="F7" s="76">
        <v>2</v>
      </c>
      <c r="G7" s="76">
        <v>14</v>
      </c>
      <c r="H7" s="76">
        <v>767561.75974487944</v>
      </c>
      <c r="I7" s="76">
        <v>1088568.038904808</v>
      </c>
      <c r="J7" s="76">
        <v>145277.79316174539</v>
      </c>
      <c r="K7" s="76">
        <v>36.257476635514017</v>
      </c>
      <c r="L7" s="76">
        <v>13.49697441256234</v>
      </c>
      <c r="M7" s="76">
        <v>21.317500593422743</v>
      </c>
      <c r="N7" s="76">
        <v>3085.040429338103</v>
      </c>
    </row>
    <row r="8" spans="2:14" s="76" customFormat="1" x14ac:dyDescent="0.25">
      <c r="B8" s="76" t="str">
        <f>VLOOKUP(F8,[1]NUTS_Europa!$A$2:$C$81,2,FALSE)</f>
        <v>DE50</v>
      </c>
      <c r="C8" s="76">
        <f>VLOOKUP(F8,[1]NUTS_Europa!$A$2:$C$81,3,FALSE)</f>
        <v>245</v>
      </c>
      <c r="D8" s="76" t="str">
        <f>VLOOKUP(G8,[1]NUTS_Europa!$A$2:$C$81,2,FALSE)</f>
        <v>ES12</v>
      </c>
      <c r="E8" s="76">
        <f>VLOOKUP(G8,[1]NUTS_Europa!$A$2:$C$81,3,FALSE)</f>
        <v>285</v>
      </c>
      <c r="F8" s="76">
        <v>4</v>
      </c>
      <c r="G8" s="76">
        <v>12</v>
      </c>
      <c r="H8" s="76">
        <v>55467.590571060922</v>
      </c>
      <c r="I8" s="76">
        <v>6998644.0957875242</v>
      </c>
      <c r="J8" s="76">
        <v>114346.85142443764</v>
      </c>
      <c r="K8" s="76">
        <v>47.006542056074771</v>
      </c>
      <c r="L8" s="76">
        <v>11.48638732080185</v>
      </c>
      <c r="M8" s="76">
        <v>9.347503527921551E-2</v>
      </c>
      <c r="N8" s="76">
        <v>15.60948133635801</v>
      </c>
    </row>
    <row r="9" spans="2:14" s="76" customFormat="1" x14ac:dyDescent="0.25">
      <c r="B9" s="76" t="str">
        <f>VLOOKUP(F9,[1]NUTS_Europa!$A$2:$C$81,2,FALSE)</f>
        <v>DE50</v>
      </c>
      <c r="C9" s="76">
        <f>VLOOKUP(F9,[1]NUTS_Europa!$A$2:$C$81,3,FALSE)</f>
        <v>245</v>
      </c>
      <c r="D9" s="76" t="str">
        <f>VLOOKUP(G9,[1]NUTS_Europa!$A$2:$C$81,2,FALSE)</f>
        <v>FRD1</v>
      </c>
      <c r="E9" s="76">
        <f>VLOOKUP(G9,[1]NUTS_Europa!$A$2:$C$81,3,FALSE)</f>
        <v>268</v>
      </c>
      <c r="F9" s="76">
        <v>4</v>
      </c>
      <c r="G9" s="76">
        <v>19</v>
      </c>
      <c r="H9" s="76">
        <v>383907.14892129676</v>
      </c>
      <c r="I9" s="76">
        <v>7332907.068549823</v>
      </c>
      <c r="J9" s="76">
        <v>163171.48832599766</v>
      </c>
      <c r="K9" s="76">
        <v>27.240186915887854</v>
      </c>
      <c r="L9" s="76">
        <v>12.529599505555362</v>
      </c>
      <c r="M9" s="76">
        <v>0.66750938457058195</v>
      </c>
      <c r="N9" s="76">
        <v>96.601073345259394</v>
      </c>
    </row>
    <row r="10" spans="2:14" s="76" customFormat="1" x14ac:dyDescent="0.25">
      <c r="B10" s="76" t="str">
        <f>VLOOKUP(F10,[1]NUTS_Europa!$A$2:$C$81,2,FALSE)</f>
        <v>DE60</v>
      </c>
      <c r="C10" s="76">
        <f>VLOOKUP(F10,[1]NUTS_Europa!$A$2:$C$81,3,FALSE)</f>
        <v>1069</v>
      </c>
      <c r="D10" s="76" t="str">
        <f>VLOOKUP(G10,[1]NUTS_Europa!$A$2:$C$81,2,FALSE)</f>
        <v>FRD2</v>
      </c>
      <c r="E10" s="76">
        <f>VLOOKUP(G10,[1]NUTS_Europa!$A$2:$C$81,3,FALSE)</f>
        <v>269</v>
      </c>
      <c r="F10" s="76">
        <v>5</v>
      </c>
      <c r="G10" s="76">
        <v>20</v>
      </c>
      <c r="H10" s="76">
        <v>2034575.4597043982</v>
      </c>
      <c r="I10" s="76">
        <v>962688.60977640771</v>
      </c>
      <c r="J10" s="76">
        <v>145277.79316174539</v>
      </c>
      <c r="K10" s="76">
        <v>24.348130841121495</v>
      </c>
      <c r="L10" s="76">
        <v>12.295624302212925</v>
      </c>
      <c r="M10" s="76">
        <v>88.796837099360161</v>
      </c>
      <c r="N10" s="76">
        <v>14828.264758497318</v>
      </c>
    </row>
    <row r="11" spans="2:14" s="76" customFormat="1" x14ac:dyDescent="0.25">
      <c r="B11" s="76" t="str">
        <f>VLOOKUP(F11,[1]NUTS_Europa!$A$2:$C$81,2,FALSE)</f>
        <v>DE60</v>
      </c>
      <c r="C11" s="76">
        <f>VLOOKUP(F11,[1]NUTS_Europa!$A$2:$C$81,3,FALSE)</f>
        <v>1069</v>
      </c>
      <c r="D11" s="76" t="str">
        <f>VLOOKUP(G11,[1]NUTS_Europa!$A$2:$C$81,2,FALSE)</f>
        <v>PT18</v>
      </c>
      <c r="E11" s="76">
        <f>VLOOKUP(G11,[1]NUTS_Europa!$A$2:$C$81,3,FALSE)</f>
        <v>61</v>
      </c>
      <c r="F11" s="76">
        <v>5</v>
      </c>
      <c r="G11" s="76">
        <v>80</v>
      </c>
      <c r="H11" s="76">
        <v>11581775.422901699</v>
      </c>
      <c r="I11" s="76">
        <v>1624170.1760585443</v>
      </c>
      <c r="J11" s="76">
        <v>118487.95435333898</v>
      </c>
      <c r="K11" s="76">
        <v>78.167289719626169</v>
      </c>
      <c r="L11" s="76">
        <v>8.7664017079319727</v>
      </c>
      <c r="M11" s="76">
        <v>87.426059098935269</v>
      </c>
      <c r="N11" s="76">
        <v>18537.263556443555</v>
      </c>
    </row>
    <row r="12" spans="2:14" s="76" customFormat="1" x14ac:dyDescent="0.25">
      <c r="B12" s="76" t="str">
        <f>VLOOKUP(F12,[1]NUTS_Europa!$A$2:$C$81,2,FALSE)</f>
        <v>DE80</v>
      </c>
      <c r="C12" s="76">
        <f>VLOOKUP(F12,[1]NUTS_Europa!$A$2:$C$81,3,FALSE)</f>
        <v>1069</v>
      </c>
      <c r="D12" s="76" t="str">
        <f>VLOOKUP(G12,[1]NUTS_Europa!$A$2:$C$81,2,FALSE)</f>
        <v>ES11</v>
      </c>
      <c r="E12" s="76">
        <f>VLOOKUP(G12,[1]NUTS_Europa!$A$2:$C$81,3,FALSE)</f>
        <v>288</v>
      </c>
      <c r="F12" s="76">
        <v>6</v>
      </c>
      <c r="G12" s="76">
        <v>11</v>
      </c>
      <c r="H12" s="76">
        <v>517213.26083615399</v>
      </c>
      <c r="I12" s="76">
        <v>1334641.2339221667</v>
      </c>
      <c r="J12" s="76">
        <v>142841.86171918266</v>
      </c>
      <c r="K12" s="76">
        <v>54.147196261682247</v>
      </c>
      <c r="L12" s="76">
        <v>8.5954211595160359</v>
      </c>
      <c r="M12" s="76">
        <v>4.8665143702230802</v>
      </c>
      <c r="N12" s="76">
        <v>960.4820809003329</v>
      </c>
    </row>
    <row r="13" spans="2:14" s="76" customFormat="1" x14ac:dyDescent="0.25">
      <c r="B13" s="76" t="str">
        <f>VLOOKUP(F13,[1]NUTS_Europa!$A$2:$C$81,2,FALSE)</f>
        <v>DE80</v>
      </c>
      <c r="C13" s="76">
        <f>VLOOKUP(F13,[1]NUTS_Europa!$A$2:$C$81,3,FALSE)</f>
        <v>1069</v>
      </c>
      <c r="D13" s="76" t="str">
        <f>VLOOKUP(G13,[1]NUTS_Europa!$A$2:$C$81,2,FALSE)</f>
        <v>ES13</v>
      </c>
      <c r="E13" s="76">
        <f>VLOOKUP(G13,[1]NUTS_Europa!$A$2:$C$81,3,FALSE)</f>
        <v>163</v>
      </c>
      <c r="F13" s="76">
        <v>6</v>
      </c>
      <c r="G13" s="76">
        <v>13</v>
      </c>
      <c r="H13" s="76">
        <v>1647461.0791990904</v>
      </c>
      <c r="I13" s="76">
        <v>1266736.1563087874</v>
      </c>
      <c r="J13" s="76">
        <v>135416.16142478216</v>
      </c>
      <c r="K13" s="76">
        <v>48.97429906542056</v>
      </c>
      <c r="L13" s="76">
        <v>13.883559257604411</v>
      </c>
      <c r="M13" s="76">
        <v>18.474301404140604</v>
      </c>
      <c r="N13" s="76">
        <v>3085.040429338103</v>
      </c>
    </row>
    <row r="14" spans="2:14" s="76" customFormat="1" x14ac:dyDescent="0.25">
      <c r="B14" s="76" t="str">
        <f>VLOOKUP(F14,[1]NUTS_Europa!$A$2:$C$81,2,FALSE)</f>
        <v>DE93</v>
      </c>
      <c r="C14" s="76">
        <f>VLOOKUP(F14,[1]NUTS_Europa!$A$2:$C$81,3,FALSE)</f>
        <v>1069</v>
      </c>
      <c r="D14" s="76" t="str">
        <f>VLOOKUP(G14,[1]NUTS_Europa!$A$2:$C$81,2,FALSE)</f>
        <v>NL12</v>
      </c>
      <c r="E14" s="76">
        <f>VLOOKUP(G14,[1]NUTS_Europa!$A$2:$C$81,3,FALSE)</f>
        <v>218</v>
      </c>
      <c r="F14" s="76">
        <v>7</v>
      </c>
      <c r="G14" s="76">
        <v>31</v>
      </c>
      <c r="H14" s="76">
        <v>1411182.1000128717</v>
      </c>
      <c r="I14" s="76">
        <v>803399.62703673262</v>
      </c>
      <c r="J14" s="76">
        <v>163171.48832599766</v>
      </c>
      <c r="K14" s="76">
        <v>12.615420560747665</v>
      </c>
      <c r="L14" s="76">
        <v>10.381540570030488</v>
      </c>
      <c r="M14" s="76">
        <v>25.053912624844571</v>
      </c>
      <c r="N14" s="76">
        <v>5283.3813751893604</v>
      </c>
    </row>
    <row r="15" spans="2:14" s="76" customFormat="1" x14ac:dyDescent="0.25">
      <c r="B15" s="76" t="str">
        <f>VLOOKUP(F15,[1]NUTS_Europa!$A$2:$C$81,2,FALSE)</f>
        <v>DE93</v>
      </c>
      <c r="C15" s="76">
        <f>VLOOKUP(F15,[1]NUTS_Europa!$A$2:$C$81,3,FALSE)</f>
        <v>1069</v>
      </c>
      <c r="D15" s="76" t="str">
        <f>VLOOKUP(G15,[1]NUTS_Europa!$A$2:$C$81,2,FALSE)</f>
        <v>NL32</v>
      </c>
      <c r="E15" s="76">
        <f>VLOOKUP(G15,[1]NUTS_Europa!$A$2:$C$81,3,FALSE)</f>
        <v>218</v>
      </c>
      <c r="F15" s="76">
        <v>7</v>
      </c>
      <c r="G15" s="76">
        <v>32</v>
      </c>
      <c r="H15" s="76">
        <v>594687.81395297032</v>
      </c>
      <c r="I15" s="76">
        <v>803399.62703673262</v>
      </c>
      <c r="J15" s="76">
        <v>199058.85825050285</v>
      </c>
      <c r="K15" s="76">
        <v>12.615420560747665</v>
      </c>
      <c r="L15" s="76">
        <v>10.381540570030488</v>
      </c>
      <c r="M15" s="76">
        <v>25.053912624844571</v>
      </c>
      <c r="N15" s="76">
        <v>5283.3813751893604</v>
      </c>
    </row>
    <row r="16" spans="2:14" s="76" customFormat="1" x14ac:dyDescent="0.25">
      <c r="B16" s="76" t="str">
        <f>VLOOKUP(F16,[1]NUTS_Europa!$A$2:$C$81,2,FALSE)</f>
        <v>DE94</v>
      </c>
      <c r="C16" s="76">
        <f>VLOOKUP(F16,[1]NUTS_Europa!$A$2:$C$81,3,FALSE)</f>
        <v>245</v>
      </c>
      <c r="D16" s="76" t="str">
        <f>VLOOKUP(G16,[1]NUTS_Europa!$A$2:$C$81,2,FALSE)</f>
        <v>ES12</v>
      </c>
      <c r="E16" s="76">
        <f>VLOOKUP(G16,[1]NUTS_Europa!$A$2:$C$81,3,FALSE)</f>
        <v>285</v>
      </c>
      <c r="F16" s="76">
        <v>8</v>
      </c>
      <c r="G16" s="76">
        <v>12</v>
      </c>
      <c r="H16" s="76">
        <v>55750.425007186932</v>
      </c>
      <c r="I16" s="76">
        <v>6998644.0957875242</v>
      </c>
      <c r="J16" s="76">
        <v>117061.71481038857</v>
      </c>
      <c r="K16" s="76">
        <v>47.006542056074771</v>
      </c>
      <c r="L16" s="76">
        <v>11.48638732080185</v>
      </c>
      <c r="M16" s="76">
        <v>9.347503527921551E-2</v>
      </c>
      <c r="N16" s="76">
        <v>15.60948133635801</v>
      </c>
    </row>
    <row r="17" spans="2:14" s="76" customFormat="1" x14ac:dyDescent="0.25">
      <c r="B17" s="76" t="str">
        <f>VLOOKUP(F17,[1]NUTS_Europa!$A$2:$C$81,2,FALSE)</f>
        <v>DE94</v>
      </c>
      <c r="C17" s="76">
        <f>VLOOKUP(F17,[1]NUTS_Europa!$A$2:$C$81,3,FALSE)</f>
        <v>245</v>
      </c>
      <c r="D17" s="76" t="str">
        <f>VLOOKUP(G17,[1]NUTS_Europa!$A$2:$C$81,2,FALSE)</f>
        <v>FRD1</v>
      </c>
      <c r="E17" s="76">
        <f>VLOOKUP(G17,[1]NUTS_Europa!$A$2:$C$81,3,FALSE)</f>
        <v>268</v>
      </c>
      <c r="F17" s="76">
        <v>8</v>
      </c>
      <c r="G17" s="76">
        <v>19</v>
      </c>
      <c r="H17" s="76">
        <v>385657.50240966887</v>
      </c>
      <c r="I17" s="76">
        <v>7332907.068549823</v>
      </c>
      <c r="J17" s="76">
        <v>113696.3812050019</v>
      </c>
      <c r="K17" s="76">
        <v>27.240186915887854</v>
      </c>
      <c r="L17" s="76">
        <v>12.529599505555362</v>
      </c>
      <c r="M17" s="76">
        <v>0.66750938457058195</v>
      </c>
      <c r="N17" s="76">
        <v>96.601073345259394</v>
      </c>
    </row>
    <row r="18" spans="2:14" s="76" customFormat="1" x14ac:dyDescent="0.25">
      <c r="B18" s="76" t="str">
        <f>VLOOKUP(F18,[1]NUTS_Europa!$A$2:$C$81,2,FALSE)</f>
        <v>DEA1</v>
      </c>
      <c r="C18" s="76">
        <f>VLOOKUP(F18,[1]NUTS_Europa!$A$2:$C$81,3,FALSE)</f>
        <v>253</v>
      </c>
      <c r="D18" s="76" t="str">
        <f>VLOOKUP(G18,[1]NUTS_Europa!$A$2:$C$81,2,FALSE)</f>
        <v>ES11</v>
      </c>
      <c r="E18" s="76">
        <f>VLOOKUP(G18,[1]NUTS_Europa!$A$2:$C$81,3,FALSE)</f>
        <v>288</v>
      </c>
      <c r="F18" s="76">
        <v>9</v>
      </c>
      <c r="G18" s="76">
        <v>11</v>
      </c>
      <c r="H18" s="76">
        <v>538562.41891311097</v>
      </c>
      <c r="I18" s="76">
        <v>1154224.8527864006</v>
      </c>
      <c r="J18" s="76">
        <v>142392.8717171422</v>
      </c>
      <c r="K18" s="76">
        <v>41.455607476635514</v>
      </c>
      <c r="L18" s="76">
        <v>8.2088363144739649</v>
      </c>
      <c r="M18" s="76">
        <v>5.7517027287826972</v>
      </c>
      <c r="N18" s="76">
        <v>960.4820809003329</v>
      </c>
    </row>
    <row r="19" spans="2:14" s="76" customFormat="1" x14ac:dyDescent="0.25">
      <c r="B19" s="76" t="str">
        <f>VLOOKUP(F19,[1]NUTS_Europa!$A$2:$C$81,2,FALSE)</f>
        <v>DEA1</v>
      </c>
      <c r="C19" s="76">
        <f>VLOOKUP(F19,[1]NUTS_Europa!$A$2:$C$81,3,FALSE)</f>
        <v>253</v>
      </c>
      <c r="D19" s="76" t="str">
        <f>VLOOKUP(G19,[1]NUTS_Europa!$A$2:$C$81,2,FALSE)</f>
        <v>FRI3</v>
      </c>
      <c r="E19" s="76">
        <f>VLOOKUP(G19,[1]NUTS_Europa!$A$2:$C$81,3,FALSE)</f>
        <v>283</v>
      </c>
      <c r="F19" s="76">
        <v>9</v>
      </c>
      <c r="G19" s="76">
        <v>25</v>
      </c>
      <c r="H19" s="76">
        <v>989257.4352958689</v>
      </c>
      <c r="I19" s="76">
        <v>982746.55538623664</v>
      </c>
      <c r="J19" s="76">
        <v>127001.21695280854</v>
      </c>
      <c r="K19" s="76">
        <v>32.271028037383182</v>
      </c>
      <c r="L19" s="76">
        <v>11.521677570429262</v>
      </c>
      <c r="M19" s="76">
        <v>13.0577619813547</v>
      </c>
      <c r="N19" s="76">
        <v>2110.3462423469391</v>
      </c>
    </row>
    <row r="20" spans="2:14" s="76" customFormat="1" x14ac:dyDescent="0.25">
      <c r="B20" s="76" t="str">
        <f>VLOOKUP(F20,[1]NUTS_Europa!$A$2:$C$81,2,FALSE)</f>
        <v>DEF0</v>
      </c>
      <c r="C20" s="76">
        <f>VLOOKUP(F20,[1]NUTS_Europa!$A$2:$C$81,3,FALSE)</f>
        <v>1069</v>
      </c>
      <c r="D20" s="76" t="str">
        <f>VLOOKUP(G20,[1]NUTS_Europa!$A$2:$C$81,2,FALSE)</f>
        <v>ES13</v>
      </c>
      <c r="E20" s="76">
        <f>VLOOKUP(G20,[1]NUTS_Europa!$A$2:$C$81,3,FALSE)</f>
        <v>163</v>
      </c>
      <c r="F20" s="76">
        <v>10</v>
      </c>
      <c r="G20" s="76">
        <v>13</v>
      </c>
      <c r="H20" s="76">
        <v>1079963.8816697879</v>
      </c>
      <c r="I20" s="76">
        <v>1266736.1563087874</v>
      </c>
      <c r="J20" s="76">
        <v>163171.48832599766</v>
      </c>
      <c r="K20" s="76">
        <v>48.97429906542056</v>
      </c>
      <c r="L20" s="76">
        <v>13.883559257604411</v>
      </c>
      <c r="M20" s="76">
        <v>18.474301404140604</v>
      </c>
      <c r="N20" s="76">
        <v>3085.040429338103</v>
      </c>
    </row>
    <row r="21" spans="2:14" s="76" customFormat="1" x14ac:dyDescent="0.25">
      <c r="B21" s="76" t="str">
        <f>VLOOKUP(F21,[1]NUTS_Europa!$A$2:$C$81,2,FALSE)</f>
        <v>DEF0</v>
      </c>
      <c r="C21" s="76">
        <f>VLOOKUP(F21,[1]NUTS_Europa!$A$2:$C$81,3,FALSE)</f>
        <v>1069</v>
      </c>
      <c r="D21" s="76" t="str">
        <f>VLOOKUP(G21,[1]NUTS_Europa!$A$2:$C$81,2,FALSE)</f>
        <v>ES21</v>
      </c>
      <c r="E21" s="76">
        <f>VLOOKUP(G21,[1]NUTS_Europa!$A$2:$C$81,3,FALSE)</f>
        <v>163</v>
      </c>
      <c r="F21" s="76">
        <v>10</v>
      </c>
      <c r="G21" s="76">
        <v>14</v>
      </c>
      <c r="H21" s="76">
        <v>898494.39951909042</v>
      </c>
      <c r="I21" s="76">
        <v>1266736.1563087874</v>
      </c>
      <c r="J21" s="76">
        <v>199058.85825050285</v>
      </c>
      <c r="K21" s="76">
        <v>48.97429906542056</v>
      </c>
      <c r="L21" s="76">
        <v>13.883559257604411</v>
      </c>
      <c r="M21" s="76">
        <v>18.474301404140604</v>
      </c>
      <c r="N21" s="76">
        <v>3085.040429338103</v>
      </c>
    </row>
    <row r="22" spans="2:14" s="76" customFormat="1" x14ac:dyDescent="0.25">
      <c r="B22" s="76" t="str">
        <f>VLOOKUP(F22,[1]NUTS_Europa!$A$2:$C$81,2,FALSE)</f>
        <v>ES51</v>
      </c>
      <c r="C22" s="76">
        <f>VLOOKUP(F22,[1]NUTS_Europa!$A$2:$C$81,3,FALSE)</f>
        <v>1063</v>
      </c>
      <c r="D22" s="76" t="str">
        <f>VLOOKUP(G22,[1]NUTS_Europa!$A$2:$C$81,2,FALSE)</f>
        <v>ES52</v>
      </c>
      <c r="E22" s="76">
        <f>VLOOKUP(G22,[1]NUTS_Europa!$A$2:$C$81,3,FALSE)</f>
        <v>1064</v>
      </c>
      <c r="F22" s="76">
        <v>15</v>
      </c>
      <c r="G22" s="76">
        <v>16</v>
      </c>
      <c r="H22" s="76">
        <v>2946788.4388877219</v>
      </c>
      <c r="I22" s="76">
        <v>4232832.0079839891</v>
      </c>
      <c r="J22" s="76">
        <v>135416.16142478216</v>
      </c>
      <c r="K22" s="76">
        <v>7.5700934579439254</v>
      </c>
      <c r="L22" s="76">
        <v>9.1742284846152842</v>
      </c>
      <c r="M22" s="76">
        <v>57.77573108619324</v>
      </c>
      <c r="N22" s="76">
        <v>11402.936516277287</v>
      </c>
    </row>
    <row r="23" spans="2:14" s="76" customFormat="1" x14ac:dyDescent="0.25">
      <c r="B23" s="76" t="str">
        <f>VLOOKUP(F23,[1]NUTS_Europa!$A$2:$C$81,2,FALSE)</f>
        <v>ES51</v>
      </c>
      <c r="C23" s="76">
        <f>VLOOKUP(F23,[1]NUTS_Europa!$A$2:$C$81,3,FALSE)</f>
        <v>1063</v>
      </c>
      <c r="D23" s="76" t="str">
        <f>VLOOKUP(G23,[1]NUTS_Europa!$A$2:$C$81,2,FALSE)</f>
        <v>PT15</v>
      </c>
      <c r="E23" s="76">
        <f>VLOOKUP(G23,[1]NUTS_Europa!$A$2:$C$81,3,FALSE)</f>
        <v>1065</v>
      </c>
      <c r="F23" s="76">
        <v>15</v>
      </c>
      <c r="G23" s="76">
        <v>37</v>
      </c>
      <c r="H23" s="76">
        <v>3423760.792866671</v>
      </c>
      <c r="I23" s="76">
        <v>4718076.0643160585</v>
      </c>
      <c r="J23" s="76">
        <v>123614.25510828695</v>
      </c>
      <c r="K23" s="76">
        <v>37.336448598130843</v>
      </c>
      <c r="L23" s="76">
        <v>10.884038973663616</v>
      </c>
      <c r="M23" s="76">
        <v>40.67444884255729</v>
      </c>
      <c r="N23" s="76">
        <v>8027.7332586984066</v>
      </c>
    </row>
    <row r="24" spans="2:14" s="76" customFormat="1" x14ac:dyDescent="0.25">
      <c r="B24" s="76" t="str">
        <f>VLOOKUP(F24,[1]NUTS_Europa!$A$2:$C$81,2,FALSE)</f>
        <v>ES52</v>
      </c>
      <c r="C24" s="76">
        <f>VLOOKUP(F24,[1]NUTS_Europa!$A$2:$C$81,3,FALSE)</f>
        <v>1064</v>
      </c>
      <c r="D24" s="76" t="str">
        <f>VLOOKUP(G24,[1]NUTS_Europa!$A$2:$C$81,2,FALSE)</f>
        <v>PT18</v>
      </c>
      <c r="E24" s="76">
        <f>VLOOKUP(G24,[1]NUTS_Europa!$A$2:$C$81,3,FALSE)</f>
        <v>1065</v>
      </c>
      <c r="F24" s="76">
        <v>16</v>
      </c>
      <c r="G24" s="76">
        <v>40</v>
      </c>
      <c r="H24" s="76">
        <v>2437577.6010879078</v>
      </c>
      <c r="I24" s="76">
        <v>929320.59275904903</v>
      </c>
      <c r="J24" s="76">
        <v>117923.68175590989</v>
      </c>
      <c r="K24" s="76">
        <v>26.92196261682243</v>
      </c>
      <c r="L24" s="76">
        <v>12.10269438846893</v>
      </c>
      <c r="M24" s="76">
        <v>40.67444884255729</v>
      </c>
      <c r="N24" s="76">
        <v>8027.7332586984066</v>
      </c>
    </row>
    <row r="25" spans="2:14" s="76" customFormat="1" x14ac:dyDescent="0.25">
      <c r="B25" s="76" t="str">
        <f>VLOOKUP(F25,[1]NUTS_Europa!$A$2:$C$81,2,FALSE)</f>
        <v>ES61</v>
      </c>
      <c r="C25" s="76">
        <f>VLOOKUP(F25,[1]NUTS_Europa!$A$2:$C$81,3,FALSE)</f>
        <v>61</v>
      </c>
      <c r="D25" s="76" t="str">
        <f>VLOOKUP(G25,[1]NUTS_Europa!$A$2:$C$81,2,FALSE)</f>
        <v>FRG0</v>
      </c>
      <c r="E25" s="76">
        <f>VLOOKUP(G25,[1]NUTS_Europa!$A$2:$C$81,3,FALSE)</f>
        <v>282</v>
      </c>
      <c r="F25" s="76">
        <v>17</v>
      </c>
      <c r="G25" s="76">
        <v>22</v>
      </c>
      <c r="H25" s="76">
        <v>498801.44996569399</v>
      </c>
      <c r="I25" s="76">
        <v>1186176.745407714</v>
      </c>
      <c r="J25" s="76">
        <v>115262.59218235347</v>
      </c>
      <c r="K25" s="76">
        <v>49.15121495327103</v>
      </c>
      <c r="L25" s="76">
        <v>9.740719225634459</v>
      </c>
      <c r="M25" s="76">
        <v>4.2859265742247219</v>
      </c>
      <c r="N25" s="76">
        <v>760.20697674418614</v>
      </c>
    </row>
    <row r="26" spans="2:14" s="76" customFormat="1" x14ac:dyDescent="0.25">
      <c r="B26" s="76" t="str">
        <f>VLOOKUP(F26,[1]NUTS_Europa!$A$2:$C$81,2,FALSE)</f>
        <v>ES61</v>
      </c>
      <c r="C26" s="76">
        <f>VLOOKUP(F26,[1]NUTS_Europa!$A$2:$C$81,3,FALSE)</f>
        <v>61</v>
      </c>
      <c r="D26" s="76" t="str">
        <f>VLOOKUP(G26,[1]NUTS_Europa!$A$2:$C$81,2,FALSE)</f>
        <v>FRH0</v>
      </c>
      <c r="E26" s="76">
        <f>VLOOKUP(G26,[1]NUTS_Europa!$A$2:$C$81,3,FALSE)</f>
        <v>283</v>
      </c>
      <c r="F26" s="76">
        <v>17</v>
      </c>
      <c r="G26" s="76">
        <v>23</v>
      </c>
      <c r="H26" s="76">
        <v>1559704.4653885039</v>
      </c>
      <c r="I26" s="76">
        <v>1149820.2025404749</v>
      </c>
      <c r="J26" s="76">
        <v>191087.21980936834</v>
      </c>
      <c r="K26" s="76">
        <v>47.940186915887857</v>
      </c>
      <c r="L26" s="76">
        <v>9.9780798506329909</v>
      </c>
      <c r="M26" s="76">
        <v>10.3731555264457</v>
      </c>
      <c r="N26" s="76">
        <v>2110.3462423469391</v>
      </c>
    </row>
    <row r="27" spans="2:14" s="76" customFormat="1" x14ac:dyDescent="0.25">
      <c r="B27" s="76" t="str">
        <f>VLOOKUP(F27,[1]NUTS_Europa!$A$2:$C$81,2,FALSE)</f>
        <v>ES62</v>
      </c>
      <c r="C27" s="76">
        <f>VLOOKUP(F27,[1]NUTS_Europa!$A$2:$C$81,3,FALSE)</f>
        <v>1064</v>
      </c>
      <c r="D27" s="76" t="str">
        <f>VLOOKUP(G27,[1]NUTS_Europa!$A$2:$C$81,2,FALSE)</f>
        <v>FRG0</v>
      </c>
      <c r="E27" s="76">
        <f>VLOOKUP(G27,[1]NUTS_Europa!$A$2:$C$81,3,FALSE)</f>
        <v>282</v>
      </c>
      <c r="F27" s="76">
        <v>18</v>
      </c>
      <c r="G27" s="76">
        <v>22</v>
      </c>
      <c r="H27" s="76">
        <v>478205.13874160807</v>
      </c>
      <c r="I27" s="76">
        <v>1358214.8187077369</v>
      </c>
      <c r="J27" s="76">
        <v>135416.16142478216</v>
      </c>
      <c r="K27" s="76">
        <v>58.739205607476642</v>
      </c>
      <c r="L27" s="76">
        <v>11.519051603797942</v>
      </c>
      <c r="M27" s="76">
        <v>4.5523853380799331</v>
      </c>
      <c r="N27" s="76">
        <v>760.20697674418614</v>
      </c>
    </row>
    <row r="28" spans="2:14" s="76" customFormat="1" x14ac:dyDescent="0.25">
      <c r="B28" s="76" t="str">
        <f>VLOOKUP(F28,[1]NUTS_Europa!$A$2:$C$81,2,FALSE)</f>
        <v>ES62</v>
      </c>
      <c r="C28" s="76">
        <f>VLOOKUP(F28,[1]NUTS_Europa!$A$2:$C$81,3,FALSE)</f>
        <v>1064</v>
      </c>
      <c r="D28" s="76" t="str">
        <f>VLOOKUP(G28,[1]NUTS_Europa!$A$2:$C$81,2,FALSE)</f>
        <v>FRI1</v>
      </c>
      <c r="E28" s="76">
        <f>VLOOKUP(G28,[1]NUTS_Europa!$A$2:$C$81,3,FALSE)</f>
        <v>283</v>
      </c>
      <c r="F28" s="76">
        <v>18</v>
      </c>
      <c r="G28" s="76">
        <v>24</v>
      </c>
      <c r="H28" s="76">
        <v>1324833.2573473104</v>
      </c>
      <c r="I28" s="76">
        <v>1451221.0636392727</v>
      </c>
      <c r="J28" s="76">
        <v>199597.7643046609</v>
      </c>
      <c r="K28" s="76">
        <v>66.384392523364482</v>
      </c>
      <c r="L28" s="76">
        <v>11.756412228796474</v>
      </c>
      <c r="M28" s="76">
        <v>11.112849147057497</v>
      </c>
      <c r="N28" s="76">
        <v>2110.3462423469391</v>
      </c>
    </row>
    <row r="29" spans="2:14" s="76" customFormat="1" x14ac:dyDescent="0.25">
      <c r="B29" s="76" t="str">
        <f>VLOOKUP(F29,[1]NUTS_Europa!$A$2:$C$81,2,FALSE)</f>
        <v>FRD2</v>
      </c>
      <c r="C29" s="76">
        <f>VLOOKUP(F29,[1]NUTS_Europa!$A$2:$C$81,3,FALSE)</f>
        <v>269</v>
      </c>
      <c r="D29" s="76" t="str">
        <f>VLOOKUP(G29,[1]NUTS_Europa!$A$2:$C$81,2,FALSE)</f>
        <v>FRI1</v>
      </c>
      <c r="E29" s="76">
        <f>VLOOKUP(G29,[1]NUTS_Europa!$A$2:$C$81,3,FALSE)</f>
        <v>283</v>
      </c>
      <c r="F29" s="76">
        <v>20</v>
      </c>
      <c r="G29" s="76">
        <v>24</v>
      </c>
      <c r="H29" s="76">
        <v>838086.53337468195</v>
      </c>
      <c r="I29" s="76">
        <v>891080.16048730002</v>
      </c>
      <c r="J29" s="76">
        <v>114346.85142443764</v>
      </c>
      <c r="K29" s="76">
        <v>21.635514018691591</v>
      </c>
      <c r="L29" s="76">
        <v>13.507302444913943</v>
      </c>
      <c r="M29" s="76">
        <v>13.0577619813547</v>
      </c>
      <c r="N29" s="76">
        <v>2110.3462423469391</v>
      </c>
    </row>
    <row r="30" spans="2:14" s="76" customFormat="1" x14ac:dyDescent="0.25">
      <c r="B30" s="76" t="str">
        <f>VLOOKUP(F30,[1]NUTS_Europa!$A$2:$C$81,2,FALSE)</f>
        <v>FRE1</v>
      </c>
      <c r="C30" s="76">
        <f>VLOOKUP(F30,[1]NUTS_Europa!$A$2:$C$81,3,FALSE)</f>
        <v>220</v>
      </c>
      <c r="D30" s="76" t="str">
        <f>VLOOKUP(G30,[1]NUTS_Europa!$A$2:$C$81,2,FALSE)</f>
        <v>FRH0</v>
      </c>
      <c r="E30" s="76">
        <f>VLOOKUP(G30,[1]NUTS_Europa!$A$2:$C$81,3,FALSE)</f>
        <v>283</v>
      </c>
      <c r="F30" s="76">
        <v>21</v>
      </c>
      <c r="G30" s="76">
        <v>23</v>
      </c>
      <c r="H30" s="76">
        <v>1139981.0228684307</v>
      </c>
      <c r="I30" s="76">
        <v>903844.26648073853</v>
      </c>
      <c r="J30" s="76">
        <v>156784.57749147405</v>
      </c>
      <c r="K30" s="76">
        <v>28.130373831775703</v>
      </c>
      <c r="L30" s="76">
        <v>14.932612347014217</v>
      </c>
      <c r="M30" s="76">
        <v>11.770525190782786</v>
      </c>
      <c r="N30" s="76">
        <v>2110.3462423469391</v>
      </c>
    </row>
    <row r="31" spans="2:14" s="76" customFormat="1" x14ac:dyDescent="0.25">
      <c r="B31" s="76" t="str">
        <f>VLOOKUP(F31,[1]NUTS_Europa!$A$2:$C$81,2,FALSE)</f>
        <v>FRE1</v>
      </c>
      <c r="C31" s="76">
        <f>VLOOKUP(F31,[1]NUTS_Europa!$A$2:$C$81,3,FALSE)</f>
        <v>220</v>
      </c>
      <c r="D31" s="76" t="str">
        <f>VLOOKUP(G31,[1]NUTS_Europa!$A$2:$C$81,2,FALSE)</f>
        <v>FRI3</v>
      </c>
      <c r="E31" s="76">
        <f>VLOOKUP(G31,[1]NUTS_Europa!$A$2:$C$81,3,FALSE)</f>
        <v>283</v>
      </c>
      <c r="F31" s="76">
        <v>21</v>
      </c>
      <c r="G31" s="76">
        <v>25</v>
      </c>
      <c r="H31" s="76">
        <v>628752.81117924838</v>
      </c>
      <c r="I31" s="76">
        <v>903844.26648073853</v>
      </c>
      <c r="J31" s="76">
        <v>117061.71481038857</v>
      </c>
      <c r="K31" s="76">
        <v>28.130373831775703</v>
      </c>
      <c r="L31" s="76">
        <v>14.932612347014217</v>
      </c>
      <c r="M31" s="76">
        <v>11.770525190782786</v>
      </c>
      <c r="N31" s="76">
        <v>2110.3462423469391</v>
      </c>
    </row>
    <row r="32" spans="2:14" s="76" customFormat="1" x14ac:dyDescent="0.25">
      <c r="B32" s="76" t="str">
        <f>VLOOKUP(F32,[1]NUTS_Europa!$A$2:$C$81,2,FALSE)</f>
        <v>FRJ1</v>
      </c>
      <c r="C32" s="76">
        <f>VLOOKUP(F32,[1]NUTS_Europa!$A$2:$C$81,3,FALSE)</f>
        <v>1063</v>
      </c>
      <c r="D32" s="76" t="str">
        <f>VLOOKUP(G32,[1]NUTS_Europa!$A$2:$C$81,2,FALSE)</f>
        <v>FRJ2</v>
      </c>
      <c r="E32" s="76">
        <f>VLOOKUP(G32,[1]NUTS_Europa!$A$2:$C$81,3,FALSE)</f>
        <v>283</v>
      </c>
      <c r="F32" s="76">
        <v>26</v>
      </c>
      <c r="G32" s="76">
        <v>28</v>
      </c>
      <c r="H32" s="76">
        <v>2153678.672634393</v>
      </c>
      <c r="I32" s="76">
        <v>5174079.7605383052</v>
      </c>
      <c r="J32" s="76">
        <v>142841.86171918266</v>
      </c>
      <c r="K32" s="76">
        <v>72.137242990654215</v>
      </c>
      <c r="L32" s="76">
        <v>10.537756813991161</v>
      </c>
      <c r="M32" s="76">
        <v>11.112849147057497</v>
      </c>
      <c r="N32" s="76">
        <v>2110.3462423469391</v>
      </c>
    </row>
    <row r="33" spans="2:14" s="76" customFormat="1" x14ac:dyDescent="0.25">
      <c r="B33" s="76" t="str">
        <f>VLOOKUP(F33,[1]NUTS_Europa!$A$2:$C$81,2,FALSE)</f>
        <v>FRJ1</v>
      </c>
      <c r="C33" s="76">
        <f>VLOOKUP(F33,[1]NUTS_Europa!$A$2:$C$81,3,FALSE)</f>
        <v>1063</v>
      </c>
      <c r="D33" s="76" t="str">
        <f>VLOOKUP(G33,[1]NUTS_Europa!$A$2:$C$81,2,FALSE)</f>
        <v>PT17</v>
      </c>
      <c r="E33" s="76">
        <f>VLOOKUP(G33,[1]NUTS_Europa!$A$2:$C$81,3,FALSE)</f>
        <v>294</v>
      </c>
      <c r="F33" s="76">
        <v>26</v>
      </c>
      <c r="G33" s="76">
        <v>39</v>
      </c>
      <c r="H33" s="76">
        <v>1689922.0173776895</v>
      </c>
      <c r="I33" s="76">
        <v>4671856.52071907</v>
      </c>
      <c r="J33" s="76">
        <v>137713.62258431225</v>
      </c>
      <c r="K33" s="76">
        <v>38.037383177570099</v>
      </c>
      <c r="L33" s="76">
        <v>8.1744148829246637</v>
      </c>
      <c r="M33" s="76">
        <v>16.223546246838538</v>
      </c>
      <c r="N33" s="76">
        <v>3201.9684466753083</v>
      </c>
    </row>
    <row r="34" spans="2:14" s="76" customFormat="1" x14ac:dyDescent="0.25">
      <c r="B34" s="76" t="str">
        <f>VLOOKUP(F34,[1]NUTS_Europa!$A$2:$C$81,2,FALSE)</f>
        <v>FRF2</v>
      </c>
      <c r="C34" s="76">
        <f>VLOOKUP(F34,[1]NUTS_Europa!$A$2:$C$81,3,FALSE)</f>
        <v>269</v>
      </c>
      <c r="D34" s="76" t="str">
        <f>VLOOKUP(G34,[1]NUTS_Europa!$A$2:$C$81,2,FALSE)</f>
        <v>FRJ2</v>
      </c>
      <c r="E34" s="76">
        <f>VLOOKUP(G34,[1]NUTS_Europa!$A$2:$C$81,3,FALSE)</f>
        <v>283</v>
      </c>
      <c r="F34" s="76">
        <v>27</v>
      </c>
      <c r="G34" s="76">
        <v>28</v>
      </c>
      <c r="H34" s="76">
        <v>1753032.6336444276</v>
      </c>
      <c r="I34" s="76">
        <v>891080.16048730002</v>
      </c>
      <c r="J34" s="76">
        <v>176841.96373917855</v>
      </c>
      <c r="K34" s="76">
        <v>21.635514018691591</v>
      </c>
      <c r="L34" s="76">
        <v>13.507302444913943</v>
      </c>
      <c r="M34" s="76">
        <v>13.0577619813547</v>
      </c>
      <c r="N34" s="76">
        <v>2110.3462423469391</v>
      </c>
    </row>
    <row r="35" spans="2:14" s="76" customFormat="1" x14ac:dyDescent="0.25">
      <c r="B35" s="76" t="str">
        <f>VLOOKUP(F35,[1]NUTS_Europa!$A$2:$C$81,2,FALSE)</f>
        <v>FRF2</v>
      </c>
      <c r="C35" s="76">
        <f>VLOOKUP(F35,[1]NUTS_Europa!$A$2:$C$81,3,FALSE)</f>
        <v>269</v>
      </c>
      <c r="D35" s="76" t="str">
        <f>VLOOKUP(G35,[1]NUTS_Europa!$A$2:$C$81,2,FALSE)</f>
        <v>FRG0</v>
      </c>
      <c r="E35" s="76">
        <f>VLOOKUP(G35,[1]NUTS_Europa!$A$2:$C$81,3,FALSE)</f>
        <v>283</v>
      </c>
      <c r="F35" s="76">
        <v>27</v>
      </c>
      <c r="G35" s="76">
        <v>62</v>
      </c>
      <c r="H35" s="76">
        <v>1259815.1719605552</v>
      </c>
      <c r="I35" s="76">
        <v>891080.16048730002</v>
      </c>
      <c r="J35" s="76">
        <v>141512.315270936</v>
      </c>
      <c r="K35" s="76">
        <v>21.635514018691591</v>
      </c>
      <c r="L35" s="76">
        <v>13.507302444913943</v>
      </c>
      <c r="M35" s="76">
        <v>13.0577619813547</v>
      </c>
      <c r="N35" s="76">
        <v>2110.3462423469391</v>
      </c>
    </row>
    <row r="36" spans="2:14" s="76" customFormat="1" x14ac:dyDescent="0.25">
      <c r="B36" s="76" t="str">
        <f>VLOOKUP(F36,[1]NUTS_Europa!$A$2:$C$81,2,FALSE)</f>
        <v>FRI2</v>
      </c>
      <c r="C36" s="76">
        <f>VLOOKUP(F36,[1]NUTS_Europa!$A$2:$C$81,3,FALSE)</f>
        <v>269</v>
      </c>
      <c r="D36" s="76" t="str">
        <f>VLOOKUP(G36,[1]NUTS_Europa!$A$2:$C$81,2,FALSE)</f>
        <v>NL12</v>
      </c>
      <c r="E36" s="76">
        <f>VLOOKUP(G36,[1]NUTS_Europa!$A$2:$C$81,3,FALSE)</f>
        <v>218</v>
      </c>
      <c r="F36" s="76">
        <v>29</v>
      </c>
      <c r="G36" s="76">
        <v>31</v>
      </c>
      <c r="H36" s="76">
        <v>2546416.4030488646</v>
      </c>
      <c r="I36" s="76">
        <v>878693.77621181333</v>
      </c>
      <c r="J36" s="76">
        <v>154854.30087154222</v>
      </c>
      <c r="K36" s="76">
        <v>12.850467289719626</v>
      </c>
      <c r="L36" s="76">
        <v>11.980580599473099</v>
      </c>
      <c r="M36" s="76">
        <v>29.92312130676439</v>
      </c>
      <c r="N36" s="76">
        <v>5283.3813751893604</v>
      </c>
    </row>
    <row r="37" spans="2:14" s="76" customFormat="1" x14ac:dyDescent="0.25">
      <c r="B37" s="76" t="str">
        <f>VLOOKUP(F37,[1]NUTS_Europa!$A$2:$C$81,2,FALSE)</f>
        <v>FRI2</v>
      </c>
      <c r="C37" s="76">
        <f>VLOOKUP(F37,[1]NUTS_Europa!$A$2:$C$81,3,FALSE)</f>
        <v>269</v>
      </c>
      <c r="D37" s="76" t="str">
        <f>VLOOKUP(G37,[1]NUTS_Europa!$A$2:$C$81,2,FALSE)</f>
        <v>FRG0</v>
      </c>
      <c r="E37" s="76">
        <f>VLOOKUP(G37,[1]NUTS_Europa!$A$2:$C$81,3,FALSE)</f>
        <v>283</v>
      </c>
      <c r="F37" s="76">
        <v>29</v>
      </c>
      <c r="G37" s="76">
        <v>62</v>
      </c>
      <c r="H37" s="76">
        <v>1270898.7104253613</v>
      </c>
      <c r="I37" s="76">
        <v>891080.16048730002</v>
      </c>
      <c r="J37" s="76">
        <v>118487.95435333898</v>
      </c>
      <c r="K37" s="76">
        <v>21.635514018691591</v>
      </c>
      <c r="L37" s="76">
        <v>13.507302444913943</v>
      </c>
      <c r="M37" s="76">
        <v>13.0577619813547</v>
      </c>
      <c r="N37" s="76">
        <v>2110.3462423469391</v>
      </c>
    </row>
    <row r="38" spans="2:14" s="76" customFormat="1" x14ac:dyDescent="0.25">
      <c r="B38" s="76" t="str">
        <f>VLOOKUP(F38,[1]NUTS_Europa!$A$2:$C$81,2,FALSE)</f>
        <v>NL11</v>
      </c>
      <c r="C38" s="76">
        <f>VLOOKUP(F38,[1]NUTS_Europa!$A$2:$C$81,3,FALSE)</f>
        <v>245</v>
      </c>
      <c r="D38" s="76" t="str">
        <f>VLOOKUP(G38,[1]NUTS_Europa!$A$2:$C$81,2,FALSE)</f>
        <v>FRI1</v>
      </c>
      <c r="E38" s="76">
        <f>VLOOKUP(G38,[1]NUTS_Europa!$A$2:$C$81,3,FALSE)</f>
        <v>275</v>
      </c>
      <c r="F38" s="76">
        <v>30</v>
      </c>
      <c r="G38" s="76">
        <v>64</v>
      </c>
      <c r="H38" s="76">
        <v>819518.10857696494</v>
      </c>
      <c r="I38" s="76">
        <v>6967499.8193113431</v>
      </c>
      <c r="J38" s="76">
        <v>114346.85142443764</v>
      </c>
      <c r="K38" s="76">
        <v>55.607476635514026</v>
      </c>
      <c r="L38" s="76">
        <v>11.200056454504889</v>
      </c>
      <c r="M38" s="76">
        <v>1.3350187691411639</v>
      </c>
      <c r="N38" s="76">
        <v>193.20214669051879</v>
      </c>
    </row>
    <row r="39" spans="2:14" s="76" customFormat="1" x14ac:dyDescent="0.25">
      <c r="B39" s="76" t="str">
        <f>VLOOKUP(F39,[1]NUTS_Europa!$A$2:$C$81,2,FALSE)</f>
        <v>NL11</v>
      </c>
      <c r="C39" s="76">
        <f>VLOOKUP(F39,[1]NUTS_Europa!$A$2:$C$81,3,FALSE)</f>
        <v>245</v>
      </c>
      <c r="D39" s="76" t="str">
        <f>VLOOKUP(G39,[1]NUTS_Europa!$A$2:$C$81,2,FALSE)</f>
        <v>FRI2</v>
      </c>
      <c r="E39" s="76">
        <f>VLOOKUP(G39,[1]NUTS_Europa!$A$2:$C$81,3,FALSE)</f>
        <v>275</v>
      </c>
      <c r="F39" s="76">
        <v>30</v>
      </c>
      <c r="G39" s="76">
        <v>69</v>
      </c>
      <c r="H39" s="76">
        <v>786033.08532115084</v>
      </c>
      <c r="I39" s="76">
        <v>6967499.8193113431</v>
      </c>
      <c r="J39" s="76">
        <v>145277.79316174539</v>
      </c>
      <c r="K39" s="76">
        <v>55.607476635514026</v>
      </c>
      <c r="L39" s="76">
        <v>11.200056454504889</v>
      </c>
      <c r="M39" s="76">
        <v>1.3350187691411639</v>
      </c>
      <c r="N39" s="76">
        <v>193.20214669051879</v>
      </c>
    </row>
    <row r="40" spans="2:14" s="76" customFormat="1" x14ac:dyDescent="0.25">
      <c r="B40" s="76" t="str">
        <f>VLOOKUP(F40,[1]NUTS_Europa!$A$2:$C$81,2,FALSE)</f>
        <v>NL33</v>
      </c>
      <c r="C40" s="76">
        <f>VLOOKUP(F40,[1]NUTS_Europa!$A$2:$C$81,3,FALSE)</f>
        <v>250</v>
      </c>
      <c r="D40" s="76" t="str">
        <f>VLOOKUP(G40,[1]NUTS_Europa!$A$2:$C$81,2,FALSE)</f>
        <v>PT11</v>
      </c>
      <c r="E40" s="76">
        <f>VLOOKUP(G40,[1]NUTS_Europa!$A$2:$C$81,3,FALSE)</f>
        <v>111</v>
      </c>
      <c r="F40" s="76">
        <v>33</v>
      </c>
      <c r="G40" s="76">
        <v>36</v>
      </c>
      <c r="H40" s="76">
        <v>1049992.3451373091</v>
      </c>
      <c r="I40" s="76">
        <v>1297737.8806143082</v>
      </c>
      <c r="J40" s="76">
        <v>159445.52860932166</v>
      </c>
      <c r="K40" s="76">
        <v>45.038317757009352</v>
      </c>
      <c r="L40" s="76">
        <v>11.238684927632169</v>
      </c>
      <c r="M40" s="76">
        <v>19.174507279672543</v>
      </c>
      <c r="N40" s="76">
        <v>3201.9684466753083</v>
      </c>
    </row>
    <row r="41" spans="2:14" s="76" customFormat="1" x14ac:dyDescent="0.25">
      <c r="B41" s="76" t="str">
        <f>VLOOKUP(F41,[1]NUTS_Europa!$A$2:$C$81,2,FALSE)</f>
        <v>NL33</v>
      </c>
      <c r="C41" s="76">
        <f>VLOOKUP(F41,[1]NUTS_Europa!$A$2:$C$81,3,FALSE)</f>
        <v>250</v>
      </c>
      <c r="D41" s="76" t="str">
        <f>VLOOKUP(G41,[1]NUTS_Europa!$A$2:$C$81,2,FALSE)</f>
        <v>PT18</v>
      </c>
      <c r="E41" s="76">
        <f>VLOOKUP(G41,[1]NUTS_Europa!$A$2:$C$81,3,FALSE)</f>
        <v>1065</v>
      </c>
      <c r="F41" s="76">
        <v>33</v>
      </c>
      <c r="G41" s="76">
        <v>40</v>
      </c>
      <c r="H41" s="76">
        <v>2541416.7847597827</v>
      </c>
      <c r="I41" s="76">
        <v>1504548.9503004611</v>
      </c>
      <c r="J41" s="76">
        <v>137713.62258431225</v>
      </c>
      <c r="K41" s="76">
        <v>54.47476635514019</v>
      </c>
      <c r="L41" s="76">
        <v>13.541672621466873</v>
      </c>
      <c r="M41" s="76">
        <v>48.072875286453709</v>
      </c>
      <c r="N41" s="76">
        <v>8027.7332586984066</v>
      </c>
    </row>
    <row r="42" spans="2:14" s="76" customFormat="1" x14ac:dyDescent="0.25">
      <c r="B42" s="76" t="str">
        <f>VLOOKUP(F42,[1]NUTS_Europa!$A$2:$C$81,2,FALSE)</f>
        <v>NL34</v>
      </c>
      <c r="C42" s="76">
        <f>VLOOKUP(F42,[1]NUTS_Europa!$A$2:$C$81,3,FALSE)</f>
        <v>250</v>
      </c>
      <c r="D42" s="76" t="str">
        <f>VLOOKUP(G42,[1]NUTS_Europa!$A$2:$C$81,2,FALSE)</f>
        <v>PT16</v>
      </c>
      <c r="E42" s="76">
        <f>VLOOKUP(G42,[1]NUTS_Europa!$A$2:$C$81,3,FALSE)</f>
        <v>111</v>
      </c>
      <c r="F42" s="76">
        <v>34</v>
      </c>
      <c r="G42" s="76">
        <v>38</v>
      </c>
      <c r="H42" s="76">
        <v>1294675.8871395176</v>
      </c>
      <c r="I42" s="76">
        <v>1297737.8806143082</v>
      </c>
      <c r="J42" s="76">
        <v>199058.85825050285</v>
      </c>
      <c r="K42" s="76">
        <v>45.038317757009352</v>
      </c>
      <c r="L42" s="76">
        <v>11.238684927632169</v>
      </c>
      <c r="M42" s="76">
        <v>19.174507279672543</v>
      </c>
      <c r="N42" s="76">
        <v>3201.9684466753083</v>
      </c>
    </row>
    <row r="43" spans="2:14" s="76" customFormat="1" x14ac:dyDescent="0.25">
      <c r="B43" s="76" t="str">
        <f>VLOOKUP(F43,[1]NUTS_Europa!$A$2:$C$81,2,FALSE)</f>
        <v>NL34</v>
      </c>
      <c r="C43" s="76">
        <f>VLOOKUP(F43,[1]NUTS_Europa!$A$2:$C$81,3,FALSE)</f>
        <v>250</v>
      </c>
      <c r="D43" s="76" t="str">
        <f>VLOOKUP(G43,[1]NUTS_Europa!$A$2:$C$81,2,FALSE)</f>
        <v>FRH0</v>
      </c>
      <c r="E43" s="76">
        <f>VLOOKUP(G43,[1]NUTS_Europa!$A$2:$C$81,3,FALSE)</f>
        <v>282</v>
      </c>
      <c r="F43" s="76">
        <v>34</v>
      </c>
      <c r="G43" s="76">
        <v>63</v>
      </c>
      <c r="H43" s="76">
        <v>349813.28227254003</v>
      </c>
      <c r="I43" s="76">
        <v>910473.59379511338</v>
      </c>
      <c r="J43" s="76">
        <v>135416.16142478216</v>
      </c>
      <c r="K43" s="76">
        <v>16.962616822429908</v>
      </c>
      <c r="L43" s="76">
        <v>12.958029836795884</v>
      </c>
      <c r="M43" s="76">
        <v>5.2529984773474236</v>
      </c>
      <c r="N43" s="76">
        <v>760.20697674418614</v>
      </c>
    </row>
    <row r="44" spans="2:14" s="76" customFormat="1" x14ac:dyDescent="0.25">
      <c r="B44" s="76" t="str">
        <f>VLOOKUP(F44,[1]NUTS_Europa!$A$2:$C$81,2,FALSE)</f>
        <v>NL41</v>
      </c>
      <c r="C44" s="76">
        <f>VLOOKUP(F44,[1]NUTS_Europa!$A$2:$C$81,3,FALSE)</f>
        <v>253</v>
      </c>
      <c r="D44" s="76" t="str">
        <f>VLOOKUP(G44,[1]NUTS_Europa!$A$2:$C$81,2,FALSE)</f>
        <v>PT11</v>
      </c>
      <c r="E44" s="76">
        <f>VLOOKUP(G44,[1]NUTS_Europa!$A$2:$C$81,3,FALSE)</f>
        <v>111</v>
      </c>
      <c r="F44" s="76">
        <v>35</v>
      </c>
      <c r="G44" s="76">
        <v>36</v>
      </c>
      <c r="H44" s="76">
        <v>1089296.7212784274</v>
      </c>
      <c r="I44" s="76">
        <v>1176681.3835260358</v>
      </c>
      <c r="J44" s="76">
        <v>163029.68053166996</v>
      </c>
      <c r="K44" s="76">
        <v>45.088785046728972</v>
      </c>
      <c r="L44" s="76">
        <v>9.5649720362670134</v>
      </c>
      <c r="M44" s="76">
        <v>19.174507279672543</v>
      </c>
      <c r="N44" s="76">
        <v>3201.9684466753083</v>
      </c>
    </row>
    <row r="45" spans="2:14" s="76" customFormat="1" x14ac:dyDescent="0.25">
      <c r="B45" s="76" t="str">
        <f>VLOOKUP(F45,[1]NUTS_Europa!$A$2:$C$81,2,FALSE)</f>
        <v>NL41</v>
      </c>
      <c r="C45" s="76">
        <f>VLOOKUP(F45,[1]NUTS_Europa!$A$2:$C$81,3,FALSE)</f>
        <v>253</v>
      </c>
      <c r="D45" s="76" t="str">
        <f>VLOOKUP(G45,[1]NUTS_Europa!$A$2:$C$81,2,FALSE)</f>
        <v>PT16</v>
      </c>
      <c r="E45" s="76">
        <f>VLOOKUP(G45,[1]NUTS_Europa!$A$2:$C$81,3,FALSE)</f>
        <v>111</v>
      </c>
      <c r="F45" s="76">
        <v>35</v>
      </c>
      <c r="G45" s="76">
        <v>38</v>
      </c>
      <c r="H45" s="76">
        <v>984192.10701631045</v>
      </c>
      <c r="I45" s="76">
        <v>1176681.3835260358</v>
      </c>
      <c r="J45" s="76">
        <v>122072.63094995193</v>
      </c>
      <c r="K45" s="76">
        <v>45.088785046728972</v>
      </c>
      <c r="L45" s="76">
        <v>9.5649720362670134</v>
      </c>
      <c r="M45" s="76">
        <v>19.174507279672543</v>
      </c>
      <c r="N45" s="76">
        <v>3201.9684466753083</v>
      </c>
    </row>
    <row r="46" spans="2:14" s="76" customFormat="1" x14ac:dyDescent="0.25">
      <c r="B46" s="76" t="str">
        <f>VLOOKUP(F46,[1]NUTS_Europa!$A$2:$C$81,2,FALSE)</f>
        <v>PT15</v>
      </c>
      <c r="C46" s="76">
        <f>VLOOKUP(F46,[1]NUTS_Europa!$A$2:$C$81,3,FALSE)</f>
        <v>1065</v>
      </c>
      <c r="D46" s="76" t="str">
        <f>VLOOKUP(G46,[1]NUTS_Europa!$A$2:$C$81,2,FALSE)</f>
        <v>PT17</v>
      </c>
      <c r="E46" s="76">
        <f>VLOOKUP(G46,[1]NUTS_Europa!$A$2:$C$81,3,FALSE)</f>
        <v>294</v>
      </c>
      <c r="F46" s="76">
        <v>37</v>
      </c>
      <c r="G46" s="76">
        <v>39</v>
      </c>
      <c r="H46" s="76">
        <v>1040547.5162789753</v>
      </c>
      <c r="I46" s="76">
        <v>557959.81695527548</v>
      </c>
      <c r="J46" s="76">
        <v>507158.32774652442</v>
      </c>
      <c r="K46" s="76">
        <v>2.1028037383177574</v>
      </c>
      <c r="L46" s="76">
        <v>11.102880786778311</v>
      </c>
      <c r="M46" s="76">
        <v>16.223546246838538</v>
      </c>
      <c r="N46" s="76">
        <v>3201.9684466753083</v>
      </c>
    </row>
    <row r="47" spans="2:14" s="76" customFormat="1" x14ac:dyDescent="0.25">
      <c r="B47" s="76" t="str">
        <f>VLOOKUP(F47,[1]NUTS_Europa!$A$2:$C$81,2,FALSE)</f>
        <v>BE21</v>
      </c>
      <c r="C47" s="76">
        <f>VLOOKUP(F47,[1]NUTS_Europa!$A$2:$C$81,3,FALSE)</f>
        <v>250</v>
      </c>
      <c r="D47" s="76" t="str">
        <f>VLOOKUP(G47,[1]NUTS_Europa!$A$2:$C$81,2,FALSE)</f>
        <v>FRE1</v>
      </c>
      <c r="E47" s="76">
        <f>VLOOKUP(G47,[1]NUTS_Europa!$A$2:$C$81,3,FALSE)</f>
        <v>235</v>
      </c>
      <c r="F47" s="76">
        <v>41</v>
      </c>
      <c r="G47" s="76">
        <v>61</v>
      </c>
      <c r="H47" s="76">
        <v>592216.4625886688</v>
      </c>
      <c r="I47" s="76">
        <v>728215.08368975949</v>
      </c>
      <c r="J47" s="76">
        <v>142392.8717171422</v>
      </c>
      <c r="K47" s="76">
        <v>6.5887850467289724</v>
      </c>
      <c r="L47" s="76">
        <v>11.798906421799369</v>
      </c>
      <c r="M47" s="76">
        <v>9.8623551365503257</v>
      </c>
      <c r="N47" s="76">
        <v>1644.4693371086462</v>
      </c>
    </row>
    <row r="48" spans="2:14" s="76" customFormat="1" x14ac:dyDescent="0.25">
      <c r="B48" s="76" t="str">
        <f>VLOOKUP(F48,[1]NUTS_Europa!$A$2:$C$81,2,FALSE)</f>
        <v>BE21</v>
      </c>
      <c r="C48" s="76">
        <f>VLOOKUP(F48,[1]NUTS_Europa!$A$2:$C$81,3,FALSE)</f>
        <v>250</v>
      </c>
      <c r="D48" s="76" t="str">
        <f>VLOOKUP(G48,[1]NUTS_Europa!$A$2:$C$81,2,FALSE)</f>
        <v>FRF2</v>
      </c>
      <c r="E48" s="76">
        <f>VLOOKUP(G48,[1]NUTS_Europa!$A$2:$C$81,3,FALSE)</f>
        <v>235</v>
      </c>
      <c r="F48" s="76">
        <v>41</v>
      </c>
      <c r="G48" s="76">
        <v>67</v>
      </c>
      <c r="H48" s="76">
        <v>1128558.821311184</v>
      </c>
      <c r="I48" s="76">
        <v>728215.08368975949</v>
      </c>
      <c r="J48" s="76">
        <v>156784.57749147405</v>
      </c>
      <c r="K48" s="76">
        <v>6.5887850467289724</v>
      </c>
      <c r="L48" s="76">
        <v>11.798906421799369</v>
      </c>
      <c r="M48" s="76">
        <v>9.8623551365503257</v>
      </c>
      <c r="N48" s="76">
        <v>1644.4693371086462</v>
      </c>
    </row>
    <row r="49" spans="2:14" s="76" customFormat="1" x14ac:dyDescent="0.25">
      <c r="B49" s="76" t="str">
        <f>VLOOKUP(F49,[1]NUTS_Europa!$A$2:$C$81,2,FALSE)</f>
        <v>BE23</v>
      </c>
      <c r="C49" s="76">
        <f>VLOOKUP(F49,[1]NUTS_Europa!$A$2:$C$81,3,FALSE)</f>
        <v>220</v>
      </c>
      <c r="D49" s="76" t="str">
        <f>VLOOKUP(G49,[1]NUTS_Europa!$A$2:$C$81,2,FALSE)</f>
        <v>ES12</v>
      </c>
      <c r="E49" s="76">
        <f>VLOOKUP(G49,[1]NUTS_Europa!$A$2:$C$81,3,FALSE)</f>
        <v>163</v>
      </c>
      <c r="F49" s="76">
        <v>42</v>
      </c>
      <c r="G49" s="76">
        <v>52</v>
      </c>
      <c r="H49" s="76">
        <v>1553350.2235938688</v>
      </c>
      <c r="I49" s="76">
        <v>1038953.8716489282</v>
      </c>
      <c r="J49" s="76">
        <v>137713.62258431225</v>
      </c>
      <c r="K49" s="76">
        <v>34.112149532710283</v>
      </c>
      <c r="L49" s="76">
        <v>16.907909189147297</v>
      </c>
      <c r="M49" s="76">
        <v>19.435734719482838</v>
      </c>
      <c r="N49" s="76">
        <v>3085.040429338103</v>
      </c>
    </row>
    <row r="50" spans="2:14" s="76" customFormat="1" x14ac:dyDescent="0.25">
      <c r="B50" s="76" t="str">
        <f>VLOOKUP(F50,[1]NUTS_Europa!$A$2:$C$81,2,FALSE)</f>
        <v>BE23</v>
      </c>
      <c r="C50" s="76">
        <f>VLOOKUP(F50,[1]NUTS_Europa!$A$2:$C$81,3,FALSE)</f>
        <v>220</v>
      </c>
      <c r="D50" s="76" t="str">
        <f>VLOOKUP(G50,[1]NUTS_Europa!$A$2:$C$81,2,FALSE)</f>
        <v>NL11</v>
      </c>
      <c r="E50" s="76">
        <f>VLOOKUP(G50,[1]NUTS_Europa!$A$2:$C$81,3,FALSE)</f>
        <v>218</v>
      </c>
      <c r="F50" s="76">
        <v>42</v>
      </c>
      <c r="G50" s="76">
        <v>70</v>
      </c>
      <c r="H50" s="76">
        <v>1882131.7337616603</v>
      </c>
      <c r="I50" s="76">
        <v>692776.97767357959</v>
      </c>
      <c r="J50" s="76">
        <v>117061.71481038857</v>
      </c>
      <c r="K50" s="76">
        <v>5.8411214953271031</v>
      </c>
      <c r="L50" s="76">
        <v>13.405890501573371</v>
      </c>
      <c r="M50" s="76">
        <v>26.700444976077176</v>
      </c>
      <c r="N50" s="76">
        <v>5283.3813751893604</v>
      </c>
    </row>
    <row r="51" spans="2:14" s="76" customFormat="1" x14ac:dyDescent="0.25">
      <c r="B51" s="76" t="str">
        <f>VLOOKUP(F51,[1]NUTS_Europa!$A$2:$C$81,2,FALSE)</f>
        <v>BE25</v>
      </c>
      <c r="C51" s="76">
        <f>VLOOKUP(F51,[1]NUTS_Europa!$A$2:$C$81,3,FALSE)</f>
        <v>220</v>
      </c>
      <c r="D51" s="76" t="str">
        <f>VLOOKUP(G51,[1]NUTS_Europa!$A$2:$C$81,2,FALSE)</f>
        <v>FRD1</v>
      </c>
      <c r="E51" s="76">
        <f>VLOOKUP(G51,[1]NUTS_Europa!$A$2:$C$81,3,FALSE)</f>
        <v>269</v>
      </c>
      <c r="F51" s="76">
        <v>43</v>
      </c>
      <c r="G51" s="76">
        <v>59</v>
      </c>
      <c r="H51" s="76">
        <v>3809553.730948302</v>
      </c>
      <c r="I51" s="76">
        <v>719200.61185330292</v>
      </c>
      <c r="J51" s="76">
        <v>199058.85825050285</v>
      </c>
      <c r="K51" s="76">
        <v>8.4574766355140198</v>
      </c>
      <c r="L51" s="76">
        <v>15.319974233755808</v>
      </c>
      <c r="M51" s="76">
        <v>93.417971918845552</v>
      </c>
      <c r="N51" s="76">
        <v>14828.264758497318</v>
      </c>
    </row>
    <row r="52" spans="2:14" s="76" customFormat="1" x14ac:dyDescent="0.25">
      <c r="B52" s="76" t="str">
        <f>VLOOKUP(F52,[1]NUTS_Europa!$A$2:$C$81,2,FALSE)</f>
        <v>BE25</v>
      </c>
      <c r="C52" s="76">
        <f>VLOOKUP(F52,[1]NUTS_Europa!$A$2:$C$81,3,FALSE)</f>
        <v>220</v>
      </c>
      <c r="D52" s="76" t="str">
        <f>VLOOKUP(G52,[1]NUTS_Europa!$A$2:$C$81,2,FALSE)</f>
        <v>PT18</v>
      </c>
      <c r="E52" s="76">
        <f>VLOOKUP(G52,[1]NUTS_Europa!$A$2:$C$81,3,FALSE)</f>
        <v>61</v>
      </c>
      <c r="F52" s="76">
        <v>43</v>
      </c>
      <c r="G52" s="76">
        <v>80</v>
      </c>
      <c r="H52" s="76">
        <v>12471856.746368283</v>
      </c>
      <c r="I52" s="76">
        <v>1393547.1994389992</v>
      </c>
      <c r="J52" s="76">
        <v>117768.50934211678</v>
      </c>
      <c r="K52" s="76">
        <v>63.255607476635518</v>
      </c>
      <c r="L52" s="76">
        <v>11.790751639474855</v>
      </c>
      <c r="M52" s="76">
        <v>93.203079908438283</v>
      </c>
      <c r="N52" s="76">
        <v>18537.263556443555</v>
      </c>
    </row>
    <row r="53" spans="2:14" s="76" customFormat="1" x14ac:dyDescent="0.25">
      <c r="B53" s="76" t="str">
        <f>VLOOKUP(F53,[1]NUTS_Europa!$A$2:$C$81,2,FALSE)</f>
        <v>DE50</v>
      </c>
      <c r="C53" s="76">
        <f>VLOOKUP(F53,[1]NUTS_Europa!$A$2:$C$81,3,FALSE)</f>
        <v>1069</v>
      </c>
      <c r="D53" s="76" t="str">
        <f>VLOOKUP(G53,[1]NUTS_Europa!$A$2:$C$81,2,FALSE)</f>
        <v>ES12</v>
      </c>
      <c r="E53" s="76">
        <f>VLOOKUP(G53,[1]NUTS_Europa!$A$2:$C$81,3,FALSE)</f>
        <v>163</v>
      </c>
      <c r="F53" s="76">
        <v>44</v>
      </c>
      <c r="G53" s="76">
        <v>52</v>
      </c>
      <c r="H53" s="76">
        <v>1700119.6342874623</v>
      </c>
      <c r="I53" s="76">
        <v>1266736.1563087874</v>
      </c>
      <c r="J53" s="76">
        <v>120125.80522925351</v>
      </c>
      <c r="K53" s="76">
        <v>48.97429906542056</v>
      </c>
      <c r="L53" s="76">
        <v>13.883559257604411</v>
      </c>
      <c r="M53" s="76">
        <v>18.474301404140604</v>
      </c>
      <c r="N53" s="76">
        <v>3085.040429338103</v>
      </c>
    </row>
    <row r="54" spans="2:14" s="76" customFormat="1" x14ac:dyDescent="0.25">
      <c r="B54" s="76" t="str">
        <f>VLOOKUP(F54,[1]NUTS_Europa!$A$2:$C$81,2,FALSE)</f>
        <v>DE50</v>
      </c>
      <c r="C54" s="76">
        <f>VLOOKUP(F54,[1]NUTS_Europa!$A$2:$C$81,3,FALSE)</f>
        <v>1069</v>
      </c>
      <c r="D54" s="76" t="str">
        <f>VLOOKUP(G54,[1]NUTS_Europa!$A$2:$C$81,2,FALSE)</f>
        <v>NL11</v>
      </c>
      <c r="E54" s="76">
        <f>VLOOKUP(G54,[1]NUTS_Europa!$A$2:$C$81,3,FALSE)</f>
        <v>218</v>
      </c>
      <c r="F54" s="76">
        <v>44</v>
      </c>
      <c r="G54" s="76">
        <v>70</v>
      </c>
      <c r="H54" s="76">
        <v>2136106.9334305408</v>
      </c>
      <c r="I54" s="76">
        <v>803399.62703673262</v>
      </c>
      <c r="J54" s="76">
        <v>120437.35243536306</v>
      </c>
      <c r="K54" s="76">
        <v>12.615420560747665</v>
      </c>
      <c r="L54" s="76">
        <v>10.381540570030488</v>
      </c>
      <c r="M54" s="76">
        <v>25.053912624844571</v>
      </c>
      <c r="N54" s="76">
        <v>5283.3813751893604</v>
      </c>
    </row>
    <row r="55" spans="2:14" s="76" customFormat="1" x14ac:dyDescent="0.25">
      <c r="B55" s="76" t="str">
        <f>VLOOKUP(F55,[1]NUTS_Europa!$A$2:$C$81,2,FALSE)</f>
        <v>DE60</v>
      </c>
      <c r="C55" s="76">
        <f>VLOOKUP(F55,[1]NUTS_Europa!$A$2:$C$81,3,FALSE)</f>
        <v>245</v>
      </c>
      <c r="D55" s="76" t="str">
        <f>VLOOKUP(G55,[1]NUTS_Europa!$A$2:$C$81,2,FALSE)</f>
        <v>ES61</v>
      </c>
      <c r="E55" s="76">
        <f>VLOOKUP(G55,[1]NUTS_Europa!$A$2:$C$81,3,FALSE)</f>
        <v>297</v>
      </c>
      <c r="F55" s="76">
        <v>45</v>
      </c>
      <c r="G55" s="76">
        <v>57</v>
      </c>
      <c r="H55" s="76">
        <v>3280360.6999294455</v>
      </c>
      <c r="I55" s="76">
        <v>7432636.9679982755</v>
      </c>
      <c r="J55" s="76">
        <v>159445.52860932166</v>
      </c>
      <c r="K55" s="76">
        <v>73.020093457943929</v>
      </c>
      <c r="L55" s="76">
        <v>11.634665158633542</v>
      </c>
      <c r="M55" s="76">
        <v>5.4009027039472723</v>
      </c>
      <c r="N55" s="76">
        <v>901.90166502666227</v>
      </c>
    </row>
    <row r="56" spans="2:14" s="76" customFormat="1" x14ac:dyDescent="0.25">
      <c r="B56" s="76" t="str">
        <f>VLOOKUP(F56,[1]NUTS_Europa!$A$2:$C$81,2,FALSE)</f>
        <v>DE60</v>
      </c>
      <c r="C56" s="76">
        <f>VLOOKUP(F56,[1]NUTS_Europa!$A$2:$C$81,3,FALSE)</f>
        <v>245</v>
      </c>
      <c r="D56" s="76" t="str">
        <f>VLOOKUP(G56,[1]NUTS_Europa!$A$2:$C$81,2,FALSE)</f>
        <v>FRI3</v>
      </c>
      <c r="E56" s="76">
        <f>VLOOKUP(G56,[1]NUTS_Europa!$A$2:$C$81,3,FALSE)</f>
        <v>282</v>
      </c>
      <c r="F56" s="76">
        <v>45</v>
      </c>
      <c r="G56" s="76">
        <v>65</v>
      </c>
      <c r="H56" s="76">
        <v>3158952.8406568002</v>
      </c>
      <c r="I56" s="76">
        <v>8238851.0970364315</v>
      </c>
      <c r="J56" s="76">
        <v>163171.48832599766</v>
      </c>
      <c r="K56" s="76">
        <v>41.405140186915894</v>
      </c>
      <c r="L56" s="76">
        <v>14.046328555459198</v>
      </c>
      <c r="M56" s="76">
        <v>5.2529984773474236</v>
      </c>
      <c r="N56" s="76">
        <v>760.20697674418614</v>
      </c>
    </row>
    <row r="57" spans="2:14" s="76" customFormat="1" x14ac:dyDescent="0.25">
      <c r="B57" s="76" t="str">
        <f>VLOOKUP(F57,[1]NUTS_Europa!$A$2:$C$81,2,FALSE)</f>
        <v>DE80</v>
      </c>
      <c r="C57" s="76">
        <f>VLOOKUP(F57,[1]NUTS_Europa!$A$2:$C$81,3,FALSE)</f>
        <v>245</v>
      </c>
      <c r="D57" s="76" t="str">
        <f>VLOOKUP(G57,[1]NUTS_Europa!$A$2:$C$81,2,FALSE)</f>
        <v>ES11</v>
      </c>
      <c r="E57" s="76">
        <f>VLOOKUP(G57,[1]NUTS_Europa!$A$2:$C$81,3,FALSE)</f>
        <v>285</v>
      </c>
      <c r="F57" s="76">
        <v>46</v>
      </c>
      <c r="G57" s="76">
        <v>51</v>
      </c>
      <c r="H57" s="76">
        <v>59259.211635068961</v>
      </c>
      <c r="I57" s="76">
        <v>6998644.0957875242</v>
      </c>
      <c r="J57" s="76">
        <v>127001.21695280854</v>
      </c>
      <c r="K57" s="76">
        <v>47.006542056074771</v>
      </c>
      <c r="L57" s="76">
        <v>11.48638732080185</v>
      </c>
      <c r="M57" s="76">
        <v>9.347503527921551E-2</v>
      </c>
      <c r="N57" s="76">
        <v>15.60948133635801</v>
      </c>
    </row>
    <row r="58" spans="2:14" s="76" customFormat="1" x14ac:dyDescent="0.25">
      <c r="B58" s="76" t="str">
        <f>VLOOKUP(F58,[1]NUTS_Europa!$A$2:$C$81,2,FALSE)</f>
        <v>DE80</v>
      </c>
      <c r="C58" s="76">
        <f>VLOOKUP(F58,[1]NUTS_Europa!$A$2:$C$81,3,FALSE)</f>
        <v>245</v>
      </c>
      <c r="D58" s="76" t="str">
        <f>VLOOKUP(G58,[1]NUTS_Europa!$A$2:$C$81,2,FALSE)</f>
        <v>ES13</v>
      </c>
      <c r="E58" s="76">
        <f>VLOOKUP(G58,[1]NUTS_Europa!$A$2:$C$81,3,FALSE)</f>
        <v>285</v>
      </c>
      <c r="F58" s="76">
        <v>46</v>
      </c>
      <c r="G58" s="76">
        <v>53</v>
      </c>
      <c r="H58" s="76">
        <v>66002.148554304891</v>
      </c>
      <c r="I58" s="76">
        <v>6998644.0957875242</v>
      </c>
      <c r="J58" s="76">
        <v>117768.50934211678</v>
      </c>
      <c r="K58" s="76">
        <v>47.006542056074771</v>
      </c>
      <c r="L58" s="76">
        <v>11.48638732080185</v>
      </c>
      <c r="M58" s="76">
        <v>9.347503527921551E-2</v>
      </c>
      <c r="N58" s="76">
        <v>15.60948133635801</v>
      </c>
    </row>
    <row r="59" spans="2:14" s="76" customFormat="1" x14ac:dyDescent="0.25">
      <c r="B59" s="76" t="str">
        <f>VLOOKUP(F59,[1]NUTS_Europa!$A$2:$C$81,2,FALSE)</f>
        <v>DE93</v>
      </c>
      <c r="C59" s="76">
        <f>VLOOKUP(F59,[1]NUTS_Europa!$A$2:$C$81,3,FALSE)</f>
        <v>245</v>
      </c>
      <c r="D59" s="76" t="str">
        <f>VLOOKUP(G59,[1]NUTS_Europa!$A$2:$C$81,2,FALSE)</f>
        <v>FRI1</v>
      </c>
      <c r="E59" s="76">
        <f>VLOOKUP(G59,[1]NUTS_Europa!$A$2:$C$81,3,FALSE)</f>
        <v>275</v>
      </c>
      <c r="F59" s="76">
        <v>47</v>
      </c>
      <c r="G59" s="76">
        <v>64</v>
      </c>
      <c r="H59" s="76">
        <v>821547.50392580195</v>
      </c>
      <c r="I59" s="76">
        <v>6967499.8193113431</v>
      </c>
      <c r="J59" s="76">
        <v>154854.30087154222</v>
      </c>
      <c r="K59" s="76">
        <v>55.607476635514026</v>
      </c>
      <c r="L59" s="76">
        <v>11.200056454504889</v>
      </c>
      <c r="M59" s="76">
        <v>1.3350187691411639</v>
      </c>
      <c r="N59" s="76">
        <v>193.20214669051879</v>
      </c>
    </row>
    <row r="60" spans="2:14" s="76" customFormat="1" x14ac:dyDescent="0.25">
      <c r="B60" s="76" t="str">
        <f>VLOOKUP(F60,[1]NUTS_Europa!$A$2:$C$81,2,FALSE)</f>
        <v>DE93</v>
      </c>
      <c r="C60" s="76">
        <f>VLOOKUP(F60,[1]NUTS_Europa!$A$2:$C$81,3,FALSE)</f>
        <v>245</v>
      </c>
      <c r="D60" s="76" t="str">
        <f>VLOOKUP(G60,[1]NUTS_Europa!$A$2:$C$81,2,FALSE)</f>
        <v>FRI2</v>
      </c>
      <c r="E60" s="76">
        <f>VLOOKUP(G60,[1]NUTS_Europa!$A$2:$C$81,3,FALSE)</f>
        <v>275</v>
      </c>
      <c r="F60" s="76">
        <v>47</v>
      </c>
      <c r="G60" s="76">
        <v>69</v>
      </c>
      <c r="H60" s="76">
        <v>788062.4806699882</v>
      </c>
      <c r="I60" s="76">
        <v>6967499.8193113431</v>
      </c>
      <c r="J60" s="76">
        <v>114346.85142443764</v>
      </c>
      <c r="K60" s="76">
        <v>55.607476635514026</v>
      </c>
      <c r="L60" s="76">
        <v>11.200056454504889</v>
      </c>
      <c r="M60" s="76">
        <v>1.3350187691411639</v>
      </c>
      <c r="N60" s="76">
        <v>193.20214669051879</v>
      </c>
    </row>
    <row r="61" spans="2:14" s="76" customFormat="1" x14ac:dyDescent="0.25">
      <c r="B61" s="76" t="str">
        <f>VLOOKUP(F61,[1]NUTS_Europa!$A$2:$C$81,2,FALSE)</f>
        <v>DE94</v>
      </c>
      <c r="C61" s="76">
        <f>VLOOKUP(F61,[1]NUTS_Europa!$A$2:$C$81,3,FALSE)</f>
        <v>1069</v>
      </c>
      <c r="D61" s="76" t="str">
        <f>VLOOKUP(G61,[1]NUTS_Europa!$A$2:$C$81,2,FALSE)</f>
        <v>FRE1</v>
      </c>
      <c r="E61" s="76">
        <f>VLOOKUP(G61,[1]NUTS_Europa!$A$2:$C$81,3,FALSE)</f>
        <v>235</v>
      </c>
      <c r="F61" s="76">
        <v>48</v>
      </c>
      <c r="G61" s="76">
        <v>61</v>
      </c>
      <c r="H61" s="76">
        <v>617480.51857033547</v>
      </c>
      <c r="I61" s="76">
        <v>777954.6764686997</v>
      </c>
      <c r="J61" s="76">
        <v>507158.32774652442</v>
      </c>
      <c r="K61" s="76">
        <v>19.049532710280378</v>
      </c>
      <c r="L61" s="76">
        <v>10.511778375476284</v>
      </c>
      <c r="M61" s="76">
        <v>8.3467983737918612</v>
      </c>
      <c r="N61" s="76">
        <v>1644.4693371086462</v>
      </c>
    </row>
    <row r="62" spans="2:14" s="76" customFormat="1" x14ac:dyDescent="0.25">
      <c r="B62" s="76" t="str">
        <f>VLOOKUP(F62,[1]NUTS_Europa!$A$2:$C$81,2,FALSE)</f>
        <v>DE94</v>
      </c>
      <c r="C62" s="76">
        <f>VLOOKUP(F62,[1]NUTS_Europa!$A$2:$C$81,3,FALSE)</f>
        <v>1069</v>
      </c>
      <c r="D62" s="76" t="str">
        <f>VLOOKUP(G62,[1]NUTS_Europa!$A$2:$C$81,2,FALSE)</f>
        <v>FRF2</v>
      </c>
      <c r="E62" s="76">
        <f>VLOOKUP(G62,[1]NUTS_Europa!$A$2:$C$81,3,FALSE)</f>
        <v>235</v>
      </c>
      <c r="F62" s="76">
        <v>48</v>
      </c>
      <c r="G62" s="76">
        <v>67</v>
      </c>
      <c r="H62" s="76">
        <v>1153822.8772928508</v>
      </c>
      <c r="I62" s="76">
        <v>777954.6764686997</v>
      </c>
      <c r="J62" s="76">
        <v>126450.71705482846</v>
      </c>
      <c r="K62" s="76">
        <v>19.049532710280378</v>
      </c>
      <c r="L62" s="76">
        <v>10.511778375476284</v>
      </c>
      <c r="M62" s="76">
        <v>8.3467983737918612</v>
      </c>
      <c r="N62" s="76">
        <v>1644.4693371086462</v>
      </c>
    </row>
    <row r="63" spans="2:14" s="76" customFormat="1" x14ac:dyDescent="0.25">
      <c r="B63" s="76" t="str">
        <f>VLOOKUP(F63,[1]NUTS_Europa!$A$2:$C$81,2,FALSE)</f>
        <v>DEA1</v>
      </c>
      <c r="C63" s="76">
        <f>VLOOKUP(F63,[1]NUTS_Europa!$A$2:$C$81,3,FALSE)</f>
        <v>245</v>
      </c>
      <c r="D63" s="76" t="str">
        <f>VLOOKUP(G63,[1]NUTS_Europa!$A$2:$C$81,2,FALSE)</f>
        <v>ES11</v>
      </c>
      <c r="E63" s="76">
        <f>VLOOKUP(G63,[1]NUTS_Europa!$A$2:$C$81,3,FALSE)</f>
        <v>285</v>
      </c>
      <c r="F63" s="76">
        <v>49</v>
      </c>
      <c r="G63" s="76">
        <v>51</v>
      </c>
      <c r="H63" s="76">
        <v>58049.991944385321</v>
      </c>
      <c r="I63" s="76">
        <v>6998644.0957875242</v>
      </c>
      <c r="J63" s="76">
        <v>176841.96373917855</v>
      </c>
      <c r="K63" s="76">
        <v>47.006542056074771</v>
      </c>
      <c r="L63" s="76">
        <v>11.48638732080185</v>
      </c>
      <c r="M63" s="76">
        <v>9.347503527921551E-2</v>
      </c>
      <c r="N63" s="76">
        <v>15.60948133635801</v>
      </c>
    </row>
    <row r="64" spans="2:14" s="76" customFormat="1" x14ac:dyDescent="0.25">
      <c r="B64" s="76" t="str">
        <f>VLOOKUP(F64,[1]NUTS_Europa!$A$2:$C$81,2,FALSE)</f>
        <v>DEA1</v>
      </c>
      <c r="C64" s="76">
        <f>VLOOKUP(F64,[1]NUTS_Europa!$A$2:$C$81,3,FALSE)</f>
        <v>245</v>
      </c>
      <c r="D64" s="76" t="str">
        <f>VLOOKUP(G64,[1]NUTS_Europa!$A$2:$C$81,2,FALSE)</f>
        <v>ES13</v>
      </c>
      <c r="E64" s="76">
        <f>VLOOKUP(G64,[1]NUTS_Europa!$A$2:$C$81,3,FALSE)</f>
        <v>285</v>
      </c>
      <c r="F64" s="76">
        <v>49</v>
      </c>
      <c r="G64" s="76">
        <v>53</v>
      </c>
      <c r="H64" s="76">
        <v>64792.928863621244</v>
      </c>
      <c r="I64" s="76">
        <v>6998644.0957875242</v>
      </c>
      <c r="J64" s="76">
        <v>199058.85825050285</v>
      </c>
      <c r="K64" s="76">
        <v>47.006542056074771</v>
      </c>
      <c r="L64" s="76">
        <v>11.48638732080185</v>
      </c>
      <c r="M64" s="76">
        <v>9.347503527921551E-2</v>
      </c>
      <c r="N64" s="76">
        <v>15.60948133635801</v>
      </c>
    </row>
    <row r="65" spans="2:14" s="76" customFormat="1" x14ac:dyDescent="0.25">
      <c r="B65" s="76" t="str">
        <f>VLOOKUP(F65,[1]NUTS_Europa!$A$2:$C$81,2,FALSE)</f>
        <v>DEF0</v>
      </c>
      <c r="C65" s="76">
        <f>VLOOKUP(F65,[1]NUTS_Europa!$A$2:$C$81,3,FALSE)</f>
        <v>245</v>
      </c>
      <c r="D65" s="76" t="str">
        <f>VLOOKUP(G65,[1]NUTS_Europa!$A$2:$C$81,2,FALSE)</f>
        <v>ES61</v>
      </c>
      <c r="E65" s="76">
        <f>VLOOKUP(G65,[1]NUTS_Europa!$A$2:$C$81,3,FALSE)</f>
        <v>297</v>
      </c>
      <c r="F65" s="76">
        <v>50</v>
      </c>
      <c r="G65" s="76">
        <v>57</v>
      </c>
      <c r="H65" s="76">
        <v>3234177.0213684249</v>
      </c>
      <c r="I65" s="76">
        <v>7432636.9679982755</v>
      </c>
      <c r="J65" s="76">
        <v>137713.62258431225</v>
      </c>
      <c r="K65" s="76">
        <v>73.020093457943929</v>
      </c>
      <c r="L65" s="76">
        <v>11.634665158633542</v>
      </c>
      <c r="M65" s="76">
        <v>5.4009027039472723</v>
      </c>
      <c r="N65" s="76">
        <v>901.90166502666227</v>
      </c>
    </row>
    <row r="66" spans="2:14" s="76" customFormat="1" x14ac:dyDescent="0.25">
      <c r="B66" s="76" t="str">
        <f>VLOOKUP(F66,[1]NUTS_Europa!$A$2:$C$81,2,FALSE)</f>
        <v>DEF0</v>
      </c>
      <c r="C66" s="76">
        <f>VLOOKUP(F66,[1]NUTS_Europa!$A$2:$C$81,3,FALSE)</f>
        <v>245</v>
      </c>
      <c r="D66" s="76" t="str">
        <f>VLOOKUP(G66,[1]NUTS_Europa!$A$2:$C$81,2,FALSE)</f>
        <v>PT11</v>
      </c>
      <c r="E66" s="76">
        <f>VLOOKUP(G66,[1]NUTS_Europa!$A$2:$C$81,3,FALSE)</f>
        <v>288</v>
      </c>
      <c r="F66" s="76">
        <v>50</v>
      </c>
      <c r="G66" s="76">
        <v>76</v>
      </c>
      <c r="H66" s="76">
        <v>3449576.1374711539</v>
      </c>
      <c r="I66" s="76">
        <v>6863830.2653798778</v>
      </c>
      <c r="J66" s="76">
        <v>114203.52260471623</v>
      </c>
      <c r="K66" s="76">
        <v>51.901869158878512</v>
      </c>
      <c r="L66" s="76">
        <v>10.970847924502435</v>
      </c>
      <c r="M66" s="76">
        <v>5.7517027287826972</v>
      </c>
      <c r="N66" s="76">
        <v>960.4820809003329</v>
      </c>
    </row>
    <row r="67" spans="2:14" s="76" customFormat="1" x14ac:dyDescent="0.25">
      <c r="B67" s="76" t="str">
        <f>VLOOKUP(F67,[1]NUTS_Europa!$A$2:$C$81,2,FALSE)</f>
        <v>ES21</v>
      </c>
      <c r="C67" s="76">
        <f>VLOOKUP(F67,[1]NUTS_Europa!$A$2:$C$81,3,FALSE)</f>
        <v>1063</v>
      </c>
      <c r="D67" s="76" t="str">
        <f>VLOOKUP(G67,[1]NUTS_Europa!$A$2:$C$81,2,FALSE)</f>
        <v>FRD2</v>
      </c>
      <c r="E67" s="76">
        <f>VLOOKUP(G67,[1]NUTS_Europa!$A$2:$C$81,3,FALSE)</f>
        <v>271</v>
      </c>
      <c r="F67" s="76">
        <v>54</v>
      </c>
      <c r="G67" s="76">
        <v>60</v>
      </c>
      <c r="H67" s="76">
        <v>282554.70060206804</v>
      </c>
      <c r="I67" s="76">
        <v>5298561.5591671756</v>
      </c>
      <c r="J67" s="76">
        <v>159445.52860932166</v>
      </c>
      <c r="K67" s="76">
        <v>77.990654205607484</v>
      </c>
      <c r="L67" s="76">
        <v>11.904369270095346</v>
      </c>
      <c r="M67" s="76">
        <v>1.9375932639899145</v>
      </c>
      <c r="N67" s="76">
        <v>323.56046511627909</v>
      </c>
    </row>
    <row r="68" spans="2:14" s="76" customFormat="1" x14ac:dyDescent="0.25">
      <c r="B68" s="76" t="str">
        <f>VLOOKUP(F68,[1]NUTS_Europa!$A$2:$C$81,2,FALSE)</f>
        <v>ES21</v>
      </c>
      <c r="C68" s="76">
        <f>VLOOKUP(F68,[1]NUTS_Europa!$A$2:$C$81,3,FALSE)</f>
        <v>1063</v>
      </c>
      <c r="D68" s="76" t="str">
        <f>VLOOKUP(G68,[1]NUTS_Europa!$A$2:$C$81,2,FALSE)</f>
        <v>FRI3</v>
      </c>
      <c r="E68" s="76">
        <f>VLOOKUP(G68,[1]NUTS_Europa!$A$2:$C$81,3,FALSE)</f>
        <v>282</v>
      </c>
      <c r="F68" s="76">
        <v>54</v>
      </c>
      <c r="G68" s="76">
        <v>65</v>
      </c>
      <c r="H68" s="76">
        <v>937803.26026062458</v>
      </c>
      <c r="I68" s="76">
        <v>5141747.5506369798</v>
      </c>
      <c r="J68" s="76">
        <v>117923.68175590989</v>
      </c>
      <c r="K68" s="76">
        <v>68.691588785046733</v>
      </c>
      <c r="L68" s="76">
        <v>10.300396188992629</v>
      </c>
      <c r="M68" s="76">
        <v>4.5523853380799331</v>
      </c>
      <c r="N68" s="76">
        <v>760.20697674418614</v>
      </c>
    </row>
    <row r="69" spans="2:14" s="76" customFormat="1" x14ac:dyDescent="0.25">
      <c r="B69" s="76" t="str">
        <f>VLOOKUP(F69,[1]NUTS_Europa!$A$2:$C$81,2,FALSE)</f>
        <v>ES51</v>
      </c>
      <c r="C69" s="76">
        <f>VLOOKUP(F69,[1]NUTS_Europa!$A$2:$C$81,3,FALSE)</f>
        <v>1064</v>
      </c>
      <c r="D69" s="76" t="str">
        <f>VLOOKUP(G69,[1]NUTS_Europa!$A$2:$C$81,2,FALSE)</f>
        <v>ES62</v>
      </c>
      <c r="E69" s="76">
        <f>VLOOKUP(G69,[1]NUTS_Europa!$A$2:$C$81,3,FALSE)</f>
        <v>462</v>
      </c>
      <c r="F69" s="76">
        <v>55</v>
      </c>
      <c r="G69" s="76">
        <v>58</v>
      </c>
      <c r="H69" s="76">
        <v>1052995.6815304749</v>
      </c>
      <c r="I69" s="76">
        <v>716082.28318986262</v>
      </c>
      <c r="J69" s="76">
        <v>114203.52260471623</v>
      </c>
      <c r="K69" s="76">
        <v>15.560747663551403</v>
      </c>
      <c r="L69" s="76">
        <v>10.204496255262157</v>
      </c>
      <c r="M69" s="76">
        <v>4.9407811285803138</v>
      </c>
      <c r="N69" s="76">
        <v>975.13977739150903</v>
      </c>
    </row>
    <row r="70" spans="2:14" s="76" customFormat="1" x14ac:dyDescent="0.25">
      <c r="B70" s="76" t="str">
        <f>VLOOKUP(F70,[1]NUTS_Europa!$A$2:$C$81,2,FALSE)</f>
        <v>ES51</v>
      </c>
      <c r="C70" s="76">
        <f>VLOOKUP(F70,[1]NUTS_Europa!$A$2:$C$81,3,FALSE)</f>
        <v>1064</v>
      </c>
      <c r="D70" s="76" t="str">
        <f>VLOOKUP(G70,[1]NUTS_Europa!$A$2:$C$81,2,FALSE)</f>
        <v>FRH0</v>
      </c>
      <c r="E70" s="76">
        <f>VLOOKUP(G70,[1]NUTS_Europa!$A$2:$C$81,3,FALSE)</f>
        <v>282</v>
      </c>
      <c r="F70" s="76">
        <v>55</v>
      </c>
      <c r="G70" s="76">
        <v>63</v>
      </c>
      <c r="H70" s="76">
        <v>538094.2443695151</v>
      </c>
      <c r="I70" s="76">
        <v>1358214.8187077369</v>
      </c>
      <c r="J70" s="76">
        <v>127001.21695280854</v>
      </c>
      <c r="K70" s="76">
        <v>58.739205607476642</v>
      </c>
      <c r="L70" s="76">
        <v>11.519051603797942</v>
      </c>
      <c r="M70" s="76">
        <v>4.5523853380799331</v>
      </c>
      <c r="N70" s="76">
        <v>760.20697674418614</v>
      </c>
    </row>
    <row r="71" spans="2:14" s="76" customFormat="1" x14ac:dyDescent="0.25">
      <c r="B71" s="76" t="str">
        <f>VLOOKUP(F71,[1]NUTS_Europa!$A$2:$C$81,2,FALSE)</f>
        <v>ES52</v>
      </c>
      <c r="C71" s="76">
        <f>VLOOKUP(F71,[1]NUTS_Europa!$A$2:$C$81,3,FALSE)</f>
        <v>1063</v>
      </c>
      <c r="D71" s="76" t="str">
        <f>VLOOKUP(G71,[1]NUTS_Europa!$A$2:$C$81,2,FALSE)</f>
        <v>ES62</v>
      </c>
      <c r="E71" s="76">
        <f>VLOOKUP(G71,[1]NUTS_Europa!$A$2:$C$81,3,FALSE)</f>
        <v>462</v>
      </c>
      <c r="F71" s="76">
        <v>56</v>
      </c>
      <c r="G71" s="76">
        <v>58</v>
      </c>
      <c r="H71" s="76">
        <v>1070616.0969089533</v>
      </c>
      <c r="I71" s="76">
        <v>4435764.1283202898</v>
      </c>
      <c r="J71" s="76">
        <v>163171.48832599766</v>
      </c>
      <c r="K71" s="76">
        <v>21.495327102803738</v>
      </c>
      <c r="L71" s="76">
        <v>8.9858408404568433</v>
      </c>
      <c r="M71" s="76">
        <v>4.9407811285803138</v>
      </c>
      <c r="N71" s="76">
        <v>975.13977739150903</v>
      </c>
    </row>
    <row r="72" spans="2:14" s="76" customFormat="1" x14ac:dyDescent="0.25">
      <c r="B72" s="76" t="str">
        <f>VLOOKUP(F72,[1]NUTS_Europa!$A$2:$C$81,2,FALSE)</f>
        <v>ES52</v>
      </c>
      <c r="C72" s="76">
        <f>VLOOKUP(F72,[1]NUTS_Europa!$A$2:$C$81,3,FALSE)</f>
        <v>1063</v>
      </c>
      <c r="D72" s="76" t="str">
        <f>VLOOKUP(G72,[1]NUTS_Europa!$A$2:$C$81,2,FALSE)</f>
        <v>FRD2</v>
      </c>
      <c r="E72" s="76">
        <f>VLOOKUP(G72,[1]NUTS_Europa!$A$2:$C$81,3,FALSE)</f>
        <v>271</v>
      </c>
      <c r="F72" s="76">
        <v>56</v>
      </c>
      <c r="G72" s="76">
        <v>60</v>
      </c>
      <c r="H72" s="76">
        <v>178894.98727183545</v>
      </c>
      <c r="I72" s="76">
        <v>5298561.5591671756</v>
      </c>
      <c r="J72" s="76">
        <v>145035.59769143321</v>
      </c>
      <c r="K72" s="76">
        <v>77.990654205607484</v>
      </c>
      <c r="L72" s="76">
        <v>11.904369270095346</v>
      </c>
      <c r="M72" s="76">
        <v>1.9375932639899145</v>
      </c>
      <c r="N72" s="76">
        <v>323.56046511627909</v>
      </c>
    </row>
    <row r="73" spans="2:14" s="76" customFormat="1" x14ac:dyDescent="0.25">
      <c r="B73" s="76" t="str">
        <f>VLOOKUP(F73,[1]NUTS_Europa!$A$2:$C$81,2,FALSE)</f>
        <v>FRD1</v>
      </c>
      <c r="C73" s="76">
        <f>VLOOKUP(F73,[1]NUTS_Europa!$A$2:$C$81,3,FALSE)</f>
        <v>269</v>
      </c>
      <c r="D73" s="76" t="str">
        <f>VLOOKUP(G73,[1]NUTS_Europa!$A$2:$C$81,2,FALSE)</f>
        <v>FRJ2</v>
      </c>
      <c r="E73" s="76">
        <f>VLOOKUP(G73,[1]NUTS_Europa!$A$2:$C$81,3,FALSE)</f>
        <v>163</v>
      </c>
      <c r="F73" s="76">
        <v>59</v>
      </c>
      <c r="G73" s="76">
        <v>68</v>
      </c>
      <c r="H73" s="76">
        <v>2809942.48947111</v>
      </c>
      <c r="I73" s="76">
        <v>1036804.9565742621</v>
      </c>
      <c r="J73" s="76">
        <v>145277.79316174539</v>
      </c>
      <c r="K73" s="76">
        <v>28.410747663551405</v>
      </c>
      <c r="L73" s="76">
        <v>15.482599287047023</v>
      </c>
      <c r="M73" s="76">
        <v>21.317500593422743</v>
      </c>
      <c r="N73" s="76">
        <v>3085.040429338103</v>
      </c>
    </row>
    <row r="74" spans="2:14" s="76" customFormat="1" x14ac:dyDescent="0.25">
      <c r="B74" s="76" t="str">
        <f>VLOOKUP(F74,[1]NUTS_Europa!$A$2:$C$81,2,FALSE)</f>
        <v>FRJ1</v>
      </c>
      <c r="C74" s="76">
        <f>VLOOKUP(F74,[1]NUTS_Europa!$A$2:$C$81,3,FALSE)</f>
        <v>1064</v>
      </c>
      <c r="D74" s="76" t="str">
        <f>VLOOKUP(G74,[1]NUTS_Europa!$A$2:$C$81,2,FALSE)</f>
        <v>FRJ2</v>
      </c>
      <c r="E74" s="76">
        <f>VLOOKUP(G74,[1]NUTS_Europa!$A$2:$C$81,3,FALSE)</f>
        <v>163</v>
      </c>
      <c r="F74" s="76">
        <v>66</v>
      </c>
      <c r="G74" s="76">
        <v>68</v>
      </c>
      <c r="H74" s="76">
        <v>3703382.2214772352</v>
      </c>
      <c r="I74" s="76">
        <v>1378490.2519875877</v>
      </c>
      <c r="J74" s="76">
        <v>163171.48832599766</v>
      </c>
      <c r="K74" s="76">
        <v>58.224299065420567</v>
      </c>
      <c r="L74" s="76">
        <v>13.731709070929554</v>
      </c>
      <c r="M74" s="76">
        <v>18.474301404140604</v>
      </c>
      <c r="N74" s="76">
        <v>3085.040429338103</v>
      </c>
    </row>
    <row r="75" spans="2:14" s="76" customFormat="1" x14ac:dyDescent="0.25">
      <c r="B75" s="76" t="str">
        <f>VLOOKUP(F75,[1]NUTS_Europa!$A$2:$C$81,2,FALSE)</f>
        <v>FRJ1</v>
      </c>
      <c r="C75" s="76">
        <f>VLOOKUP(F75,[1]NUTS_Europa!$A$2:$C$81,3,FALSE)</f>
        <v>1064</v>
      </c>
      <c r="D75" s="76" t="str">
        <f>VLOOKUP(G75,[1]NUTS_Europa!$A$2:$C$81,2,FALSE)</f>
        <v>PT17</v>
      </c>
      <c r="E75" s="76">
        <f>VLOOKUP(G75,[1]NUTS_Europa!$A$2:$C$81,3,FALSE)</f>
        <v>297</v>
      </c>
      <c r="F75" s="76">
        <v>66</v>
      </c>
      <c r="G75" s="76">
        <v>79</v>
      </c>
      <c r="H75" s="76">
        <v>840207.86279779742</v>
      </c>
      <c r="I75" s="76">
        <v>765536.13847430807</v>
      </c>
      <c r="J75" s="76">
        <v>192445.71807502842</v>
      </c>
      <c r="K75" s="76">
        <v>21.635514018691591</v>
      </c>
      <c r="L75" s="76">
        <v>9.1073882069722867</v>
      </c>
      <c r="M75" s="76">
        <v>4.5697025490221757</v>
      </c>
      <c r="N75" s="76">
        <v>901.90166502666227</v>
      </c>
    </row>
    <row r="76" spans="2:14" s="76" customFormat="1" x14ac:dyDescent="0.25">
      <c r="B76" s="76" t="str">
        <f>VLOOKUP(F76,[1]NUTS_Europa!$A$2:$C$81,2,FALSE)</f>
        <v>NL12</v>
      </c>
      <c r="C76" s="76">
        <f>VLOOKUP(F76,[1]NUTS_Europa!$A$2:$C$81,3,FALSE)</f>
        <v>250</v>
      </c>
      <c r="D76" s="76" t="str">
        <f>VLOOKUP(G76,[1]NUTS_Europa!$A$2:$C$81,2,FALSE)</f>
        <v>PT11</v>
      </c>
      <c r="E76" s="76">
        <f>VLOOKUP(G76,[1]NUTS_Europa!$A$2:$C$81,3,FALSE)</f>
        <v>288</v>
      </c>
      <c r="F76" s="76">
        <v>71</v>
      </c>
      <c r="G76" s="76">
        <v>76</v>
      </c>
      <c r="H76" s="76">
        <v>703958.80993704603</v>
      </c>
      <c r="I76" s="76">
        <v>1287561.2353663184</v>
      </c>
      <c r="J76" s="76">
        <v>142841.86171918266</v>
      </c>
      <c r="K76" s="76">
        <v>42.514953271028041</v>
      </c>
      <c r="L76" s="76">
        <v>9.8825492058391209</v>
      </c>
      <c r="M76" s="76">
        <v>5.7517027287826972</v>
      </c>
      <c r="N76" s="76">
        <v>960.4820809003329</v>
      </c>
    </row>
    <row r="77" spans="2:14" s="76" customFormat="1" x14ac:dyDescent="0.25">
      <c r="B77" s="76" t="str">
        <f>VLOOKUP(F77,[1]NUTS_Europa!$A$2:$C$81,2,FALSE)</f>
        <v>NL12</v>
      </c>
      <c r="C77" s="76">
        <f>VLOOKUP(F77,[1]NUTS_Europa!$A$2:$C$81,3,FALSE)</f>
        <v>250</v>
      </c>
      <c r="D77" s="76" t="str">
        <f>VLOOKUP(G77,[1]NUTS_Europa!$A$2:$C$81,2,FALSE)</f>
        <v>PT16</v>
      </c>
      <c r="E77" s="76">
        <f>VLOOKUP(G77,[1]NUTS_Europa!$A$2:$C$81,3,FALSE)</f>
        <v>294</v>
      </c>
      <c r="F77" s="76">
        <v>71</v>
      </c>
      <c r="G77" s="76">
        <v>78</v>
      </c>
      <c r="H77" s="76">
        <v>2585807.2836563722</v>
      </c>
      <c r="I77" s="76">
        <v>1396295.0536434655</v>
      </c>
      <c r="J77" s="76">
        <v>135416.16142478216</v>
      </c>
      <c r="K77" s="76">
        <v>52.229439252336455</v>
      </c>
      <c r="L77" s="76">
        <v>10.832048530727921</v>
      </c>
      <c r="M77" s="76">
        <v>19.174507279672543</v>
      </c>
      <c r="N77" s="76">
        <v>3201.9684466753083</v>
      </c>
    </row>
    <row r="78" spans="2:14" s="76" customFormat="1" x14ac:dyDescent="0.25">
      <c r="B78" s="76" t="str">
        <f>VLOOKUP(F78,[1]NUTS_Europa!$A$2:$C$81,2,FALSE)</f>
        <v>NL32</v>
      </c>
      <c r="C78" s="76">
        <f>VLOOKUP(F78,[1]NUTS_Europa!$A$2:$C$81,3,FALSE)</f>
        <v>253</v>
      </c>
      <c r="D78" s="76" t="str">
        <f>VLOOKUP(G78,[1]NUTS_Europa!$A$2:$C$81,2,FALSE)</f>
        <v>NL34</v>
      </c>
      <c r="E78" s="76">
        <f>VLOOKUP(G78,[1]NUTS_Europa!$A$2:$C$81,3,FALSE)</f>
        <v>218</v>
      </c>
      <c r="F78" s="76">
        <v>72</v>
      </c>
      <c r="G78" s="76">
        <v>74</v>
      </c>
      <c r="H78" s="76">
        <v>2689927.9988549636</v>
      </c>
      <c r="I78" s="76">
        <v>748236.21343443939</v>
      </c>
      <c r="J78" s="76">
        <v>120125.80522925351</v>
      </c>
      <c r="K78" s="76">
        <v>8.364018691588786</v>
      </c>
      <c r="L78" s="76">
        <v>9.9949557249884151</v>
      </c>
      <c r="M78" s="76">
        <v>29.92312130676439</v>
      </c>
      <c r="N78" s="76">
        <v>5283.3813751893604</v>
      </c>
    </row>
    <row r="79" spans="2:14" s="76" customFormat="1" x14ac:dyDescent="0.25">
      <c r="B79" s="76" t="str">
        <f>VLOOKUP(F79,[1]NUTS_Europa!$A$2:$C$81,2,FALSE)</f>
        <v>NL32</v>
      </c>
      <c r="C79" s="76">
        <f>VLOOKUP(F79,[1]NUTS_Europa!$A$2:$C$81,3,FALSE)</f>
        <v>253</v>
      </c>
      <c r="D79" s="76" t="str">
        <f>VLOOKUP(G79,[1]NUTS_Europa!$A$2:$C$81,2,FALSE)</f>
        <v>NL41</v>
      </c>
      <c r="E79" s="76">
        <f>VLOOKUP(G79,[1]NUTS_Europa!$A$2:$C$81,3,FALSE)</f>
        <v>218</v>
      </c>
      <c r="F79" s="76">
        <v>72</v>
      </c>
      <c r="G79" s="76">
        <v>75</v>
      </c>
      <c r="H79" s="76">
        <v>2308388.6128456639</v>
      </c>
      <c r="I79" s="76">
        <v>748236.21343443939</v>
      </c>
      <c r="J79" s="76">
        <v>159445.52860932166</v>
      </c>
      <c r="K79" s="76">
        <v>8.364018691588786</v>
      </c>
      <c r="L79" s="76">
        <v>9.9949557249884151</v>
      </c>
      <c r="M79" s="76">
        <v>29.92312130676439</v>
      </c>
      <c r="N79" s="76">
        <v>5283.3813751893604</v>
      </c>
    </row>
    <row r="80" spans="2:14" s="76" customFormat="1" x14ac:dyDescent="0.25">
      <c r="B80" s="76" t="str">
        <f>VLOOKUP(F80,[1]NUTS_Europa!$A$2:$C$81,2,FALSE)</f>
        <v>NL33</v>
      </c>
      <c r="C80" s="76">
        <f>VLOOKUP(F80,[1]NUTS_Europa!$A$2:$C$81,3,FALSE)</f>
        <v>220</v>
      </c>
      <c r="D80" s="76" t="str">
        <f>VLOOKUP(G80,[1]NUTS_Europa!$A$2:$C$81,2,FALSE)</f>
        <v>NL34</v>
      </c>
      <c r="E80" s="76">
        <f>VLOOKUP(G80,[1]NUTS_Europa!$A$2:$C$81,3,FALSE)</f>
        <v>218</v>
      </c>
      <c r="F80" s="76">
        <v>73</v>
      </c>
      <c r="G80" s="76">
        <v>74</v>
      </c>
      <c r="H80" s="76">
        <v>2848466.9423270319</v>
      </c>
      <c r="I80" s="76">
        <v>692776.97767357959</v>
      </c>
      <c r="J80" s="76">
        <v>145277.79316174539</v>
      </c>
      <c r="K80" s="76">
        <v>5.8411214953271031</v>
      </c>
      <c r="L80" s="76">
        <v>13.405890501573371</v>
      </c>
      <c r="M80" s="76">
        <v>26.700444976077176</v>
      </c>
      <c r="N80" s="76">
        <v>5283.3813751893604</v>
      </c>
    </row>
    <row r="81" spans="2:25" s="76" customFormat="1" x14ac:dyDescent="0.25">
      <c r="B81" s="76" t="str">
        <f>VLOOKUP(F81,[1]NUTS_Europa!$A$2:$C$81,2,FALSE)</f>
        <v>NL33</v>
      </c>
      <c r="C81" s="76">
        <f>VLOOKUP(F81,[1]NUTS_Europa!$A$2:$C$81,3,FALSE)</f>
        <v>220</v>
      </c>
      <c r="D81" s="76" t="str">
        <f>VLOOKUP(G81,[1]NUTS_Europa!$A$2:$C$81,2,FALSE)</f>
        <v>NL41</v>
      </c>
      <c r="E81" s="76">
        <f>VLOOKUP(G81,[1]NUTS_Europa!$A$2:$C$81,3,FALSE)</f>
        <v>218</v>
      </c>
      <c r="F81" s="76">
        <v>73</v>
      </c>
      <c r="G81" s="76">
        <v>75</v>
      </c>
      <c r="H81" s="76">
        <v>2466927.5563177322</v>
      </c>
      <c r="I81" s="76">
        <v>692776.97767357959</v>
      </c>
      <c r="J81" s="76">
        <v>176841.96373917855</v>
      </c>
      <c r="K81" s="76">
        <v>5.8411214953271031</v>
      </c>
      <c r="L81" s="76">
        <v>13.405890501573371</v>
      </c>
      <c r="M81" s="76">
        <v>26.700444976077176</v>
      </c>
      <c r="N81" s="76">
        <v>5283.3813751893604</v>
      </c>
    </row>
    <row r="82" spans="2:25" s="76" customFormat="1" x14ac:dyDescent="0.25">
      <c r="B82" s="76" t="str">
        <f>VLOOKUP(F82,[1]NUTS_Europa!$A$2:$C$81,2,FALSE)</f>
        <v>PT15</v>
      </c>
      <c r="C82" s="76">
        <f>VLOOKUP(F82,[1]NUTS_Europa!$A$2:$C$81,3,FALSE)</f>
        <v>61</v>
      </c>
      <c r="D82" s="76" t="str">
        <f>VLOOKUP(G82,[1]NUTS_Europa!$A$2:$C$81,2,FALSE)</f>
        <v>PT16</v>
      </c>
      <c r="E82" s="76">
        <f>VLOOKUP(G82,[1]NUTS_Europa!$A$2:$C$81,3,FALSE)</f>
        <v>294</v>
      </c>
      <c r="F82" s="76">
        <v>77</v>
      </c>
      <c r="G82" s="76">
        <v>78</v>
      </c>
      <c r="H82" s="76">
        <v>2688149.2279872634</v>
      </c>
      <c r="I82" s="76">
        <v>661493.5485084292</v>
      </c>
      <c r="J82" s="76">
        <v>127001.21695280854</v>
      </c>
      <c r="K82" s="76">
        <v>14.378504672897197</v>
      </c>
      <c r="L82" s="76">
        <v>7.6147379195664939</v>
      </c>
      <c r="M82" s="76">
        <v>15.101230114120911</v>
      </c>
      <c r="N82" s="76">
        <v>3201.9684466753083</v>
      </c>
    </row>
    <row r="83" spans="2:25" s="76" customFormat="1" x14ac:dyDescent="0.25">
      <c r="B83" s="76" t="str">
        <f>VLOOKUP(F83,[1]NUTS_Europa!$A$2:$C$81,2,FALSE)</f>
        <v>PT15</v>
      </c>
      <c r="C83" s="76">
        <f>VLOOKUP(F83,[1]NUTS_Europa!$A$2:$C$81,3,FALSE)</f>
        <v>61</v>
      </c>
      <c r="D83" s="76" t="str">
        <f>VLOOKUP(G83,[1]NUTS_Europa!$A$2:$C$81,2,FALSE)</f>
        <v>PT17</v>
      </c>
      <c r="E83" s="76">
        <f>VLOOKUP(G83,[1]NUTS_Europa!$A$2:$C$81,3,FALSE)</f>
        <v>297</v>
      </c>
      <c r="F83" s="76">
        <v>77</v>
      </c>
      <c r="G83" s="76">
        <v>79</v>
      </c>
      <c r="H83" s="76">
        <v>768916.21823423519</v>
      </c>
      <c r="I83" s="76">
        <v>469157.06002524542</v>
      </c>
      <c r="J83" s="76">
        <v>113696.3812050019</v>
      </c>
      <c r="K83" s="76">
        <v>3.504672897196262</v>
      </c>
      <c r="L83" s="76">
        <v>7.3290558288088024</v>
      </c>
      <c r="M83" s="76">
        <v>4.2535786378589266</v>
      </c>
      <c r="N83" s="76">
        <v>901.90166502666227</v>
      </c>
    </row>
    <row r="84" spans="2:25" s="76" customFormat="1" x14ac:dyDescent="0.25"/>
    <row r="85" spans="2:25" s="76" customFormat="1" x14ac:dyDescent="0.25"/>
    <row r="86" spans="2:25" s="76" customFormat="1" x14ac:dyDescent="0.25">
      <c r="B86" s="76" t="s">
        <v>132</v>
      </c>
    </row>
    <row r="87" spans="2:25" s="76" customFormat="1" x14ac:dyDescent="0.25">
      <c r="B87" s="76" t="s">
        <v>134</v>
      </c>
      <c r="C87" s="76" t="s">
        <v>135</v>
      </c>
      <c r="D87" s="76" t="s">
        <v>131</v>
      </c>
      <c r="E87" s="76" t="s">
        <v>136</v>
      </c>
      <c r="F87" s="76" t="s">
        <v>39</v>
      </c>
      <c r="G87" s="76" t="s">
        <v>40</v>
      </c>
      <c r="H87" s="76" t="s">
        <v>137</v>
      </c>
      <c r="I87" s="76" t="s">
        <v>133</v>
      </c>
      <c r="J87" s="76" t="s">
        <v>154</v>
      </c>
      <c r="K87" s="76" t="s">
        <v>41</v>
      </c>
      <c r="L87" s="76" t="s">
        <v>42</v>
      </c>
      <c r="M87" s="76" t="s">
        <v>43</v>
      </c>
      <c r="N87" s="76" t="s">
        <v>44</v>
      </c>
      <c r="O87" s="76" t="s">
        <v>45</v>
      </c>
      <c r="P87" s="76" t="str">
        <f>'14 buques 19.5 kn 25000 charter'!P95</f>
        <v>Tiempo C/D</v>
      </c>
      <c r="Q87" s="76" t="str">
        <f>'14 buques 19.5 kn 25000 charter'!Q95</f>
        <v>Tiempo total</v>
      </c>
      <c r="R87" s="76" t="str">
        <f>'14 buques 19.5 kn 25000 charter'!R95</f>
        <v>TEUs/buque</v>
      </c>
      <c r="S87" s="76" t="str">
        <f>'14 buques 19.5 kn 25000 charter'!S95</f>
        <v>Coste variable</v>
      </c>
      <c r="T87" s="76" t="str">
        <f>'14 buques 19.5 kn 25000 charter'!T95</f>
        <v>Coste fijo</v>
      </c>
      <c r="U87" s="76" t="str">
        <f>'14 buques 19.5 kn 25000 charter'!U95</f>
        <v>Coste Total</v>
      </c>
      <c r="V87" s="76" t="str">
        <f>'14 buques 19.5 kn 25000 charter'!V95</f>
        <v>Nodo inicial</v>
      </c>
      <c r="W87" s="76" t="str">
        <f>'14 buques 19.5 kn 25000 charter'!W95</f>
        <v>Puerto O</v>
      </c>
      <c r="X87" s="76" t="str">
        <f>'14 buques 19.5 kn 25000 charter'!X95</f>
        <v>Nodo final</v>
      </c>
      <c r="Y87" s="76" t="str">
        <f>'14 buques 19.5 kn 25000 charter'!Y95</f>
        <v>Puerto D</v>
      </c>
    </row>
    <row r="88" spans="2:25" s="76" customFormat="1" x14ac:dyDescent="0.25">
      <c r="B88" s="76" t="str">
        <f>VLOOKUP(F88,[1]NUTS_Europa!$A$2:$C$81,2,FALSE)</f>
        <v>DE50</v>
      </c>
      <c r="C88" s="76">
        <f>VLOOKUP(F88,[1]NUTS_Europa!$A$2:$C$81,3,FALSE)</f>
        <v>1069</v>
      </c>
      <c r="D88" s="76" t="str">
        <f>VLOOKUP(G88,[1]NUTS_Europa!$A$2:$C$81,2,FALSE)</f>
        <v>NL11</v>
      </c>
      <c r="E88" s="76">
        <f>VLOOKUP(G88,[1]NUTS_Europa!$A$2:$C$81,3,FALSE)</f>
        <v>218</v>
      </c>
      <c r="F88" s="76">
        <v>44</v>
      </c>
      <c r="G88" s="76">
        <v>70</v>
      </c>
      <c r="H88" s="78">
        <v>2136106.9334305408</v>
      </c>
      <c r="I88" s="78">
        <v>803399.62703673262</v>
      </c>
      <c r="J88" s="78">
        <f>I88/13</f>
        <v>61799.971310517896</v>
      </c>
      <c r="K88" s="79">
        <v>120437.35243536306</v>
      </c>
      <c r="L88" s="80">
        <v>12.615420560747665</v>
      </c>
      <c r="M88" s="80">
        <v>10.381540570030488</v>
      </c>
      <c r="N88" s="80">
        <v>25.053912624844571</v>
      </c>
      <c r="O88" s="79">
        <v>5283.3813751893604</v>
      </c>
      <c r="P88" s="80">
        <f>N88*(R88/O88)</f>
        <v>7.5730097111232588</v>
      </c>
      <c r="Q88" s="80">
        <f>L88+M88+P88</f>
        <v>30.569970841901412</v>
      </c>
      <c r="R88" s="76">
        <v>1597</v>
      </c>
      <c r="S88" s="78">
        <f>H88*(R88/O88)</f>
        <v>645677.93434489821</v>
      </c>
      <c r="T88" s="78">
        <f>J88</f>
        <v>61799.971310517896</v>
      </c>
      <c r="U88" s="78">
        <f>T88+S88</f>
        <v>707477.90565541608</v>
      </c>
      <c r="V88" s="76" t="str">
        <f>VLOOKUP(B88,NUTS_Europa!$B$2:$F$41,5,FALSE)</f>
        <v>Bremen</v>
      </c>
      <c r="W88" s="76" t="str">
        <f>VLOOKUP(C88,Puertos!$N$3:$O$27,2,FALSE)</f>
        <v>Hamburgo</v>
      </c>
      <c r="X88" s="76" t="str">
        <f>VLOOKUP(D88,NUTS_Europa!$B$2:$F$41,5,FALSE)</f>
        <v>Groningen</v>
      </c>
      <c r="Y88" s="76" t="str">
        <f>VLOOKUP(E88,Puertos!$N$3:$O$27,2,FALSE)</f>
        <v>Amsterdam</v>
      </c>
    </row>
    <row r="89" spans="2:25" s="76" customFormat="1" x14ac:dyDescent="0.25">
      <c r="B89" s="76" t="str">
        <f>VLOOKUP(G89,[1]NUTS_Europa!$A$2:$C$81,2,FALSE)</f>
        <v>NL11</v>
      </c>
      <c r="C89" s="76">
        <f>VLOOKUP(G89,[1]NUTS_Europa!$A$2:$C$81,3,FALSE)</f>
        <v>218</v>
      </c>
      <c r="D89" s="76" t="str">
        <f>VLOOKUP(F89,[1]NUTS_Europa!$A$2:$C$81,2,FALSE)</f>
        <v>BE23</v>
      </c>
      <c r="E89" s="76">
        <f>VLOOKUP(F89,[1]NUTS_Europa!$A$2:$C$81,3,FALSE)</f>
        <v>220</v>
      </c>
      <c r="F89" s="76">
        <v>42</v>
      </c>
      <c r="G89" s="76">
        <v>70</v>
      </c>
      <c r="H89" s="78">
        <v>1882131.7337616603</v>
      </c>
      <c r="I89" s="78">
        <v>692776.97767357959</v>
      </c>
      <c r="J89" s="78">
        <f>I89/13</f>
        <v>53290.536744121506</v>
      </c>
      <c r="K89" s="79">
        <v>117061.71481038857</v>
      </c>
      <c r="L89" s="80">
        <v>5.8411214953271031</v>
      </c>
      <c r="M89" s="80">
        <v>13.405890501573371</v>
      </c>
      <c r="N89" s="80">
        <v>26.700444976077176</v>
      </c>
      <c r="O89" s="79">
        <v>5283.3813751893604</v>
      </c>
      <c r="P89" s="80">
        <f>N89*(R89/O89)</f>
        <v>8.0707046489270287</v>
      </c>
      <c r="Q89" s="80">
        <f>L89+M89+P89</f>
        <v>27.317716645827502</v>
      </c>
      <c r="R89" s="76">
        <v>1597</v>
      </c>
      <c r="S89" s="78">
        <f>H89*(R89/O89)</f>
        <v>568909.220320981</v>
      </c>
      <c r="T89" s="78">
        <f>J89</f>
        <v>53290.536744121506</v>
      </c>
      <c r="U89" s="78">
        <f>T89+S89</f>
        <v>622199.75706510246</v>
      </c>
      <c r="V89" s="76" t="str">
        <f>VLOOKUP(B89,NUTS_Europa!$B$2:$F$41,5,FALSE)</f>
        <v>Groningen</v>
      </c>
      <c r="W89" s="76" t="str">
        <f>VLOOKUP(C89,Puertos!$N$3:$O$27,2,FALSE)</f>
        <v>Amsterdam</v>
      </c>
      <c r="X89" s="76" t="str">
        <f>VLOOKUP(D89,NUTS_Europa!$B$2:$F$41,5,FALSE)</f>
        <v>Prov. Oost-Vlaanderen</v>
      </c>
      <c r="Y89" s="76" t="str">
        <f>VLOOKUP(E89,Puertos!$N$3:$O$27,2,FALSE)</f>
        <v>Zeebrugge</v>
      </c>
    </row>
    <row r="90" spans="2:25" s="76" customFormat="1" x14ac:dyDescent="0.25">
      <c r="B90" s="76" t="str">
        <f>VLOOKUP(F90,[1]NUTS_Europa!$A$2:$C$81,2,FALSE)</f>
        <v>BE23</v>
      </c>
      <c r="C90" s="76">
        <f>VLOOKUP(F90,[1]NUTS_Europa!$A$2:$C$81,3,FALSE)</f>
        <v>220</v>
      </c>
      <c r="D90" s="76" t="str">
        <f>VLOOKUP(G90,[1]NUTS_Europa!$A$2:$C$81,2,FALSE)</f>
        <v>ES12</v>
      </c>
      <c r="E90" s="76">
        <f>VLOOKUP(G90,[1]NUTS_Europa!$A$2:$C$81,3,FALSE)</f>
        <v>163</v>
      </c>
      <c r="F90" s="76">
        <v>42</v>
      </c>
      <c r="G90" s="76">
        <v>52</v>
      </c>
      <c r="H90" s="78">
        <v>1553350.2235938688</v>
      </c>
      <c r="I90" s="78">
        <v>1038953.8716489282</v>
      </c>
      <c r="J90" s="78">
        <f>I90/13</f>
        <v>79919.528588379093</v>
      </c>
      <c r="K90" s="79">
        <v>137713.62258431225</v>
      </c>
      <c r="L90" s="80">
        <v>34.112149532710283</v>
      </c>
      <c r="M90" s="80">
        <v>16.907909189147297</v>
      </c>
      <c r="N90" s="80">
        <v>19.435734719482838</v>
      </c>
      <c r="O90" s="79">
        <v>3085.040429338103</v>
      </c>
      <c r="P90" s="80">
        <f>N90*(R90/O90)</f>
        <v>10.061089654398305</v>
      </c>
      <c r="Q90" s="80">
        <f>L90+M90+P90</f>
        <v>61.081148376255882</v>
      </c>
      <c r="R90" s="76">
        <v>1597</v>
      </c>
      <c r="S90" s="78">
        <f>H90*(R90/O90)</f>
        <v>804106.25529845781</v>
      </c>
      <c r="T90" s="78">
        <f>J90</f>
        <v>79919.528588379093</v>
      </c>
      <c r="U90" s="78">
        <f>T90+S90</f>
        <v>884025.78388683684</v>
      </c>
      <c r="V90" s="76" t="str">
        <f>VLOOKUP(B90,NUTS_Europa!$B$2:$F$41,5,FALSE)</f>
        <v>Prov. Oost-Vlaanderen</v>
      </c>
      <c r="W90" s="76" t="str">
        <f>VLOOKUP(C90,Puertos!$N$3:$O$27,2,FALSE)</f>
        <v>Zeebrugge</v>
      </c>
      <c r="X90" s="76" t="str">
        <f>VLOOKUP(D90,NUTS_Europa!$B$2:$F$41,5,FALSE)</f>
        <v>Principado de Asturias</v>
      </c>
      <c r="Y90" s="76" t="str">
        <f>VLOOKUP(E90,Puertos!$N$3:$O$27,2,FALSE)</f>
        <v>Bilbao</v>
      </c>
    </row>
    <row r="91" spans="2:25" s="76" customFormat="1" x14ac:dyDescent="0.25">
      <c r="B91" s="76" t="str">
        <f>VLOOKUP(G91,[1]NUTS_Europa!$A$2:$C$81,2,FALSE)</f>
        <v>ES12</v>
      </c>
      <c r="C91" s="76">
        <f>VLOOKUP(G91,[1]NUTS_Europa!$A$2:$C$81,3,FALSE)</f>
        <v>163</v>
      </c>
      <c r="D91" s="76" t="str">
        <f>VLOOKUP(F91,[1]NUTS_Europa!$A$2:$C$81,2,FALSE)</f>
        <v>DE50</v>
      </c>
      <c r="E91" s="76">
        <f>VLOOKUP(F91,[1]NUTS_Europa!$A$2:$C$81,3,FALSE)</f>
        <v>1069</v>
      </c>
      <c r="F91" s="76">
        <v>44</v>
      </c>
      <c r="G91" s="76">
        <v>52</v>
      </c>
      <c r="H91" s="78">
        <v>1700119.6342874623</v>
      </c>
      <c r="I91" s="78">
        <v>1266736.1563087874</v>
      </c>
      <c r="J91" s="78">
        <f>I91/13</f>
        <v>97441.242792983641</v>
      </c>
      <c r="K91" s="79">
        <v>120125.80522925351</v>
      </c>
      <c r="L91" s="80">
        <v>48.97429906542056</v>
      </c>
      <c r="M91" s="80">
        <v>13.883559257604411</v>
      </c>
      <c r="N91" s="80">
        <v>18.474301404140604</v>
      </c>
      <c r="O91" s="79">
        <v>3085.040429338103</v>
      </c>
      <c r="P91" s="80">
        <f>N91*(R91/O91)</f>
        <v>9.5633947165945337</v>
      </c>
      <c r="Q91" s="80">
        <f>L91+M91+P91</f>
        <v>72.421253039619501</v>
      </c>
      <c r="R91" s="76">
        <v>1597</v>
      </c>
      <c r="S91" s="78">
        <f>H91*(R91/O91)</f>
        <v>880082.81192593696</v>
      </c>
      <c r="T91" s="78">
        <f>J91</f>
        <v>97441.242792983641</v>
      </c>
      <c r="U91" s="78">
        <f>T91+S91</f>
        <v>977524.05471892061</v>
      </c>
      <c r="V91" s="76" t="str">
        <f>VLOOKUP(B91,NUTS_Europa!$B$2:$F$41,5,FALSE)</f>
        <v>Principado de Asturias</v>
      </c>
      <c r="W91" s="76" t="str">
        <f>VLOOKUP(C91,Puertos!$N$3:$O$27,2,FALSE)</f>
        <v>Bilbao</v>
      </c>
      <c r="X91" s="76" t="str">
        <f>VLOOKUP(D91,NUTS_Europa!$B$2:$F$41,5,FALSE)</f>
        <v>Bremen</v>
      </c>
      <c r="Y91" s="76" t="str">
        <f>VLOOKUP(E91,Puertos!$N$3:$O$27,2,FALSE)</f>
        <v>Hamburgo</v>
      </c>
    </row>
    <row r="92" spans="2:25" s="76" customFormat="1" x14ac:dyDescent="0.25">
      <c r="Q92" s="80">
        <f>SUM(Q88:Q91)</f>
        <v>191.39008890360429</v>
      </c>
    </row>
    <row r="93" spans="2:25" s="76" customFormat="1" x14ac:dyDescent="0.25">
      <c r="B93" s="76" t="s">
        <v>138</v>
      </c>
      <c r="Q93" s="80">
        <f>Q92/24</f>
        <v>7.9745870376501786</v>
      </c>
      <c r="R93" s="76">
        <f>Q93/7</f>
        <v>1.1392267196643113</v>
      </c>
    </row>
    <row r="94" spans="2:25" s="76" customFormat="1" x14ac:dyDescent="0.25">
      <c r="B94" s="76" t="s">
        <v>134</v>
      </c>
      <c r="C94" s="76" t="s">
        <v>135</v>
      </c>
      <c r="D94" s="76" t="s">
        <v>131</v>
      </c>
      <c r="E94" s="76" t="s">
        <v>136</v>
      </c>
      <c r="F94" s="76" t="s">
        <v>39</v>
      </c>
      <c r="G94" s="76" t="s">
        <v>40</v>
      </c>
      <c r="H94" s="76" t="s">
        <v>137</v>
      </c>
      <c r="I94" s="76" t="s">
        <v>133</v>
      </c>
      <c r="J94" s="76" t="str">
        <f>J87</f>
        <v>Coste fijo/buque</v>
      </c>
      <c r="K94" s="76" t="s">
        <v>41</v>
      </c>
      <c r="L94" s="76" t="s">
        <v>42</v>
      </c>
      <c r="M94" s="76" t="s">
        <v>43</v>
      </c>
      <c r="N94" s="76" t="s">
        <v>44</v>
      </c>
      <c r="O94" s="76" t="s">
        <v>45</v>
      </c>
      <c r="P94" s="76" t="str">
        <f t="shared" ref="P94:Y94" si="0">P87</f>
        <v>Tiempo C/D</v>
      </c>
      <c r="Q94" s="76" t="str">
        <f t="shared" si="0"/>
        <v>Tiempo total</v>
      </c>
      <c r="R94" s="76" t="str">
        <f t="shared" si="0"/>
        <v>TEUs/buque</v>
      </c>
      <c r="S94" s="76" t="str">
        <f t="shared" si="0"/>
        <v>Coste variable</v>
      </c>
      <c r="T94" s="76" t="str">
        <f t="shared" si="0"/>
        <v>Coste fijo</v>
      </c>
      <c r="U94" s="76" t="str">
        <f t="shared" si="0"/>
        <v>Coste Total</v>
      </c>
      <c r="V94" s="76" t="str">
        <f t="shared" si="0"/>
        <v>Nodo inicial</v>
      </c>
      <c r="W94" s="76" t="str">
        <f t="shared" si="0"/>
        <v>Puerto O</v>
      </c>
      <c r="X94" s="76" t="str">
        <f t="shared" si="0"/>
        <v>Nodo final</v>
      </c>
      <c r="Y94" s="76" t="str">
        <f t="shared" si="0"/>
        <v>Puerto D</v>
      </c>
    </row>
    <row r="95" spans="2:25" s="76" customFormat="1" x14ac:dyDescent="0.25">
      <c r="B95" s="76" t="str">
        <f>VLOOKUP(F95,[1]NUTS_Europa!$A$2:$C$81,2,FALSE)</f>
        <v>BE21</v>
      </c>
      <c r="C95" s="76">
        <f>VLOOKUP(F95,[1]NUTS_Europa!$A$2:$C$81,3,FALSE)</f>
        <v>253</v>
      </c>
      <c r="D95" s="76" t="str">
        <f>VLOOKUP(G95,[1]NUTS_Europa!$A$2:$C$81,2,FALSE)</f>
        <v>BE25</v>
      </c>
      <c r="E95" s="76">
        <f>VLOOKUP(G95,[1]NUTS_Europa!$A$2:$C$81,3,FALSE)</f>
        <v>235</v>
      </c>
      <c r="F95" s="76">
        <v>1</v>
      </c>
      <c r="G95" s="76">
        <v>3</v>
      </c>
      <c r="H95" s="77">
        <v>309590.01496138563</v>
      </c>
      <c r="I95" s="77">
        <v>592060.58520590479</v>
      </c>
      <c r="K95" s="76">
        <v>135416.16142478216</v>
      </c>
      <c r="L95" s="76">
        <v>5.8785046728971961</v>
      </c>
      <c r="M95" s="76">
        <v>10.125193530434213</v>
      </c>
      <c r="N95" s="76">
        <v>9.8623551365503257</v>
      </c>
      <c r="O95" s="76">
        <v>1644.4693371086462</v>
      </c>
    </row>
    <row r="96" spans="2:25" s="76" customFormat="1" x14ac:dyDescent="0.25">
      <c r="B96" s="76" t="str">
        <f>VLOOKUP(G96,[1]NUTS_Europa!$A$2:$C$81,2,FALSE)</f>
        <v>BE25</v>
      </c>
      <c r="C96" s="76">
        <f>VLOOKUP(G96,[1]NUTS_Europa!$A$2:$C$81,3,FALSE)</f>
        <v>235</v>
      </c>
      <c r="D96" s="76" t="str">
        <f>VLOOKUP(F96,[1]NUTS_Europa!$A$2:$C$81,2,FALSE)</f>
        <v>BE23</v>
      </c>
      <c r="E96" s="76">
        <f>VLOOKUP(F96,[1]NUTS_Europa!$A$2:$C$81,3,FALSE)</f>
        <v>253</v>
      </c>
      <c r="F96" s="76">
        <v>2</v>
      </c>
      <c r="G96" s="76">
        <v>3</v>
      </c>
      <c r="H96" s="76">
        <v>383002.4151085898</v>
      </c>
      <c r="I96" s="76">
        <v>592060.58520590479</v>
      </c>
      <c r="K96" s="76">
        <v>135416.16142478216</v>
      </c>
      <c r="L96" s="76">
        <v>5.8785046728971961</v>
      </c>
      <c r="M96" s="76">
        <v>10.125193530434213</v>
      </c>
      <c r="N96" s="76">
        <v>9.8623551365503257</v>
      </c>
      <c r="O96" s="76">
        <v>1644.4693371086462</v>
      </c>
    </row>
    <row r="97" spans="2:30" s="76" customFormat="1" x14ac:dyDescent="0.25">
      <c r="B97" s="76" t="str">
        <f>VLOOKUP(F97,[1]NUTS_Europa!$A$2:$C$81,2,FALSE)</f>
        <v>BE23</v>
      </c>
      <c r="C97" s="76">
        <f>VLOOKUP(F97,[1]NUTS_Europa!$A$2:$C$81,3,FALSE)</f>
        <v>253</v>
      </c>
      <c r="D97" s="76" t="str">
        <f>VLOOKUP(G97,[1]NUTS_Europa!$A$2:$C$81,2,FALSE)</f>
        <v>ES21</v>
      </c>
      <c r="E97" s="76">
        <f>VLOOKUP(G97,[1]NUTS_Europa!$A$2:$C$81,3,FALSE)</f>
        <v>163</v>
      </c>
      <c r="F97" s="76">
        <v>2</v>
      </c>
      <c r="G97" s="76">
        <v>14</v>
      </c>
      <c r="H97" s="78">
        <v>767561.75974487944</v>
      </c>
      <c r="I97" s="78">
        <v>1088568.038904808</v>
      </c>
      <c r="J97" s="78">
        <f t="shared" ref="J97:J131" si="1">I97/13</f>
        <v>83736.002992677531</v>
      </c>
      <c r="K97" s="79">
        <v>145277.79316174539</v>
      </c>
      <c r="L97" s="80">
        <v>36.257476635514017</v>
      </c>
      <c r="M97" s="80">
        <v>13.49697441256234</v>
      </c>
      <c r="N97" s="80">
        <v>21.317500593422743</v>
      </c>
      <c r="O97" s="79">
        <v>3085.040429338103</v>
      </c>
      <c r="P97" s="80">
        <f t="shared" ref="P97:P131" si="2">N97*(R97/O97)</f>
        <v>11.035203339296363</v>
      </c>
      <c r="Q97" s="80">
        <f t="shared" ref="Q97:Q103" si="3">P97+M97+L97</f>
        <v>60.789654387372721</v>
      </c>
      <c r="R97" s="76">
        <f>R$88</f>
        <v>1597</v>
      </c>
      <c r="S97" s="78">
        <f t="shared" ref="S97:S103" si="4">H97*(R97/O97)</f>
        <v>397335.51581869146</v>
      </c>
      <c r="T97" s="78">
        <f t="shared" ref="T97:T103" si="5">J97*3</f>
        <v>251208.00897803259</v>
      </c>
      <c r="U97" s="78">
        <f t="shared" ref="U97:U103" si="6">T97+S97</f>
        <v>648543.52479672409</v>
      </c>
      <c r="V97" s="76" t="str">
        <f>VLOOKUP(B97,NUTS_Europa!$B$2:$F$41,5,FALSE)</f>
        <v>Prov. Oost-Vlaanderen</v>
      </c>
      <c r="W97" s="76" t="str">
        <f>VLOOKUP(C97,Puertos!$N$3:$O$27,2,FALSE)</f>
        <v>Amberes</v>
      </c>
      <c r="X97" s="76" t="str">
        <f>VLOOKUP(D97,NUTS_Europa!$B$2:$F$41,5,FALSE)</f>
        <v>País Vasco</v>
      </c>
      <c r="Y97" s="76" t="str">
        <f>VLOOKUP(E97,Puertos!$N$3:$O$27,2,FALSE)</f>
        <v>Bilbao</v>
      </c>
    </row>
    <row r="98" spans="2:30" s="76" customFormat="1" x14ac:dyDescent="0.25">
      <c r="B98" s="76" t="str">
        <f>VLOOKUP(G98,[1]NUTS_Europa!$A$2:$C$81,2,FALSE)</f>
        <v>ES21</v>
      </c>
      <c r="C98" s="76">
        <f>VLOOKUP(G98,[1]NUTS_Europa!$A$2:$C$81,3,FALSE)</f>
        <v>163</v>
      </c>
      <c r="D98" s="76" t="str">
        <f>VLOOKUP(F98,[1]NUTS_Europa!$A$2:$C$81,2,FALSE)</f>
        <v>DEF0</v>
      </c>
      <c r="E98" s="76">
        <f>VLOOKUP(F98,[1]NUTS_Europa!$A$2:$C$81,3,FALSE)</f>
        <v>1069</v>
      </c>
      <c r="F98" s="76">
        <v>10</v>
      </c>
      <c r="G98" s="76">
        <v>14</v>
      </c>
      <c r="H98" s="78">
        <v>898494.39951909042</v>
      </c>
      <c r="I98" s="78">
        <v>1266736.1563087874</v>
      </c>
      <c r="J98" s="78">
        <f t="shared" si="1"/>
        <v>97441.242792983641</v>
      </c>
      <c r="K98" s="76">
        <v>199058.85825050285</v>
      </c>
      <c r="L98" s="76">
        <v>48.97429906542056</v>
      </c>
      <c r="M98" s="76">
        <v>13.883559257604411</v>
      </c>
      <c r="N98" s="76">
        <v>18.474301404140604</v>
      </c>
      <c r="O98" s="79">
        <v>3085.040429338103</v>
      </c>
      <c r="P98" s="80">
        <f t="shared" si="2"/>
        <v>9.5633947165945337</v>
      </c>
      <c r="Q98" s="80">
        <f t="shared" si="3"/>
        <v>72.421253039619501</v>
      </c>
      <c r="R98" s="76">
        <f>R$88</f>
        <v>1597</v>
      </c>
      <c r="S98" s="78">
        <f t="shared" si="4"/>
        <v>465114.02002593689</v>
      </c>
      <c r="T98" s="78">
        <f t="shared" si="5"/>
        <v>292323.72837895091</v>
      </c>
      <c r="U98" s="78">
        <f t="shared" si="6"/>
        <v>757437.74840488774</v>
      </c>
      <c r="V98" s="76" t="str">
        <f>VLOOKUP(B98,NUTS_Europa!$B$2:$F$41,5,FALSE)</f>
        <v>País Vasco</v>
      </c>
      <c r="W98" s="76" t="str">
        <f>VLOOKUP(C98,Puertos!$N$3:$O$27,2,FALSE)</f>
        <v>Bilbao</v>
      </c>
      <c r="X98" s="76" t="str">
        <f>VLOOKUP(D98,NUTS_Europa!$B$2:$F$41,5,FALSE)</f>
        <v>Schleswig-Holstein</v>
      </c>
      <c r="Y98" s="76" t="str">
        <f>VLOOKUP(E98,Puertos!$N$3:$O$27,2,FALSE)</f>
        <v>Hamburgo</v>
      </c>
    </row>
    <row r="99" spans="2:30" s="76" customFormat="1" x14ac:dyDescent="0.25">
      <c r="B99" s="76" t="str">
        <f>VLOOKUP(F99,[1]NUTS_Europa!$A$2:$C$81,2,FALSE)</f>
        <v>DEF0</v>
      </c>
      <c r="C99" s="76">
        <f>VLOOKUP(F99,[1]NUTS_Europa!$A$2:$C$81,3,FALSE)</f>
        <v>1069</v>
      </c>
      <c r="D99" s="76" t="str">
        <f>VLOOKUP(G99,[1]NUTS_Europa!$A$2:$C$81,2,FALSE)</f>
        <v>ES13</v>
      </c>
      <c r="E99" s="76">
        <f>VLOOKUP(G99,[1]NUTS_Europa!$A$2:$C$81,3,FALSE)</f>
        <v>163</v>
      </c>
      <c r="F99" s="76">
        <v>10</v>
      </c>
      <c r="G99" s="76">
        <v>13</v>
      </c>
      <c r="H99" s="78">
        <v>1079963.8816697879</v>
      </c>
      <c r="I99" s="78">
        <v>1266736.1563087874</v>
      </c>
      <c r="J99" s="78">
        <f t="shared" si="1"/>
        <v>97441.242792983641</v>
      </c>
      <c r="K99" s="76">
        <v>163171.48832599766</v>
      </c>
      <c r="L99" s="76">
        <v>48.97429906542056</v>
      </c>
      <c r="M99" s="76">
        <v>13.883559257604411</v>
      </c>
      <c r="N99" s="76">
        <v>18.474301404140604</v>
      </c>
      <c r="O99" s="79">
        <v>3085.040429338103</v>
      </c>
      <c r="P99" s="80">
        <f t="shared" si="2"/>
        <v>9.5633947165945337</v>
      </c>
      <c r="Q99" s="80">
        <f t="shared" si="3"/>
        <v>72.421253039619501</v>
      </c>
      <c r="R99" s="76">
        <f>R$88</f>
        <v>1597</v>
      </c>
      <c r="S99" s="78">
        <f t="shared" si="4"/>
        <v>559053.39282593678</v>
      </c>
      <c r="T99" s="78">
        <f t="shared" si="5"/>
        <v>292323.72837895091</v>
      </c>
      <c r="U99" s="78">
        <f t="shared" si="6"/>
        <v>851377.12120488775</v>
      </c>
      <c r="V99" s="76" t="str">
        <f>VLOOKUP(B99,NUTS_Europa!$B$2:$F$41,5,FALSE)</f>
        <v>Schleswig-Holstein</v>
      </c>
      <c r="W99" s="76" t="str">
        <f>VLOOKUP(C99,Puertos!$N$3:$O$27,2,FALSE)</f>
        <v>Hamburgo</v>
      </c>
      <c r="X99" s="76" t="str">
        <f>VLOOKUP(D99,NUTS_Europa!$B$2:$F$41,5,FALSE)</f>
        <v>Cantabria</v>
      </c>
      <c r="Y99" s="76" t="str">
        <f>VLOOKUP(E99,Puertos!$N$3:$O$27,2,FALSE)</f>
        <v>Bilbao</v>
      </c>
    </row>
    <row r="100" spans="2:30" s="76" customFormat="1" x14ac:dyDescent="0.25">
      <c r="B100" s="76" t="str">
        <f>VLOOKUP(G100,[1]NUTS_Europa!$A$2:$C$81,2,FALSE)</f>
        <v>ES13</v>
      </c>
      <c r="C100" s="76">
        <f>VLOOKUP(G100,[1]NUTS_Europa!$A$2:$C$81,3,FALSE)</f>
        <v>163</v>
      </c>
      <c r="D100" s="76" t="str">
        <f>VLOOKUP(F100,[1]NUTS_Europa!$A$2:$C$81,2,FALSE)</f>
        <v>DE80</v>
      </c>
      <c r="E100" s="76">
        <f>VLOOKUP(F100,[1]NUTS_Europa!$A$2:$C$81,3,FALSE)</f>
        <v>1069</v>
      </c>
      <c r="F100" s="76">
        <v>6</v>
      </c>
      <c r="G100" s="76">
        <v>13</v>
      </c>
      <c r="H100" s="78">
        <v>1647461.0791990904</v>
      </c>
      <c r="I100" s="78">
        <v>1266736.1563087874</v>
      </c>
      <c r="J100" s="78">
        <f t="shared" si="1"/>
        <v>97441.242792983641</v>
      </c>
      <c r="K100" s="79">
        <v>135416.16142478216</v>
      </c>
      <c r="L100" s="80">
        <v>48.97429906542056</v>
      </c>
      <c r="M100" s="80">
        <v>13.883559257604411</v>
      </c>
      <c r="N100" s="80">
        <v>18.474301404140604</v>
      </c>
      <c r="O100" s="79">
        <v>3085.040429338103</v>
      </c>
      <c r="P100" s="80">
        <f t="shared" si="2"/>
        <v>9.5633947165945337</v>
      </c>
      <c r="Q100" s="80">
        <f t="shared" si="3"/>
        <v>72.421253039619501</v>
      </c>
      <c r="R100" s="76">
        <f>R$88</f>
        <v>1597</v>
      </c>
      <c r="S100" s="78">
        <f t="shared" si="4"/>
        <v>852823.61892593699</v>
      </c>
      <c r="T100" s="78">
        <f t="shared" si="5"/>
        <v>292323.72837895091</v>
      </c>
      <c r="U100" s="78">
        <f t="shared" si="6"/>
        <v>1145147.3473048878</v>
      </c>
      <c r="V100" s="76" t="str">
        <f>VLOOKUP(B100,NUTS_Europa!$B$2:$F$41,5,FALSE)</f>
        <v>Cantabria</v>
      </c>
      <c r="W100" s="76" t="str">
        <f>VLOOKUP(C100,Puertos!$N$3:$O$27,2,FALSE)</f>
        <v>Bilbao</v>
      </c>
      <c r="X100" s="76" t="str">
        <f>VLOOKUP(D100,NUTS_Europa!$B$2:$F$41,5,FALSE)</f>
        <v>Mecklenburg-Vorpommern</v>
      </c>
      <c r="Y100" s="76" t="str">
        <f>VLOOKUP(E100,Puertos!$N$3:$O$27,2,FALSE)</f>
        <v>Hamburgo</v>
      </c>
    </row>
    <row r="101" spans="2:30" s="76" customFormat="1" x14ac:dyDescent="0.25">
      <c r="B101" s="76" t="str">
        <f>VLOOKUP(F101,[1]NUTS_Europa!$A$2:$C$81,2,FALSE)</f>
        <v>DE80</v>
      </c>
      <c r="C101" s="76">
        <f>VLOOKUP(F101,[1]NUTS_Europa!$A$2:$C$81,3,FALSE)</f>
        <v>1069</v>
      </c>
      <c r="D101" s="76" t="str">
        <f>VLOOKUP(G101,[1]NUTS_Europa!$A$2:$C$81,2,FALSE)</f>
        <v>ES11</v>
      </c>
      <c r="E101" s="76">
        <f>VLOOKUP(G101,[1]NUTS_Europa!$A$2:$C$81,3,FALSE)</f>
        <v>288</v>
      </c>
      <c r="F101" s="76">
        <v>6</v>
      </c>
      <c r="G101" s="76">
        <v>11</v>
      </c>
      <c r="H101" s="78">
        <v>517213.26083615399</v>
      </c>
      <c r="I101" s="78">
        <v>1334641.2339221667</v>
      </c>
      <c r="J101" s="78">
        <f t="shared" si="1"/>
        <v>102664.71030170514</v>
      </c>
      <c r="K101" s="79">
        <v>142841.86171918266</v>
      </c>
      <c r="L101" s="80">
        <v>54.147196261682247</v>
      </c>
      <c r="M101" s="80">
        <v>8.5954211595160359</v>
      </c>
      <c r="N101" s="80">
        <v>4.8665143702230802</v>
      </c>
      <c r="O101" s="79">
        <v>960.4820809003329</v>
      </c>
      <c r="P101" s="80">
        <f t="shared" si="2"/>
        <v>4.8665143702230802</v>
      </c>
      <c r="Q101" s="80">
        <f t="shared" si="3"/>
        <v>67.609131791421362</v>
      </c>
      <c r="R101" s="79">
        <f>O101</f>
        <v>960.4820809003329</v>
      </c>
      <c r="S101" s="78">
        <f t="shared" si="4"/>
        <v>517213.26083615399</v>
      </c>
      <c r="T101" s="78">
        <f t="shared" si="5"/>
        <v>307994.13090511539</v>
      </c>
      <c r="U101" s="78">
        <f t="shared" si="6"/>
        <v>825207.39174126938</v>
      </c>
      <c r="V101" s="76" t="str">
        <f>VLOOKUP(B101,NUTS_Europa!$B$2:$F$41,5,FALSE)</f>
        <v>Mecklenburg-Vorpommern</v>
      </c>
      <c r="W101" s="76" t="str">
        <f>VLOOKUP(C101,Puertos!$N$3:$O$27,2,FALSE)</f>
        <v>Hamburgo</v>
      </c>
      <c r="X101" s="76" t="str">
        <f>VLOOKUP(D101,NUTS_Europa!$B$2:$F$41,5,FALSE)</f>
        <v>Galicia</v>
      </c>
      <c r="Y101" s="76" t="str">
        <f>VLOOKUP(E101,Puertos!$N$3:$O$27,2,FALSE)</f>
        <v>Vigo</v>
      </c>
    </row>
    <row r="102" spans="2:30" s="76" customFormat="1" x14ac:dyDescent="0.25">
      <c r="B102" s="76" t="str">
        <f>VLOOKUP(G102,[1]NUTS_Europa!$A$2:$C$81,2,FALSE)</f>
        <v>ES11</v>
      </c>
      <c r="C102" s="76">
        <f>VLOOKUP(G102,[1]NUTS_Europa!$A$2:$C$81,3,FALSE)</f>
        <v>288</v>
      </c>
      <c r="D102" s="76" t="str">
        <f>VLOOKUP(F102,[1]NUTS_Europa!$A$2:$C$81,2,FALSE)</f>
        <v>DEA1</v>
      </c>
      <c r="E102" s="76">
        <f>VLOOKUP(F102,[1]NUTS_Europa!$A$2:$C$81,3,FALSE)</f>
        <v>253</v>
      </c>
      <c r="F102" s="76">
        <v>9</v>
      </c>
      <c r="G102" s="76">
        <v>11</v>
      </c>
      <c r="H102" s="78">
        <v>538562.41891311097</v>
      </c>
      <c r="I102" s="78">
        <v>1154224.8527864006</v>
      </c>
      <c r="J102" s="78">
        <f t="shared" si="1"/>
        <v>88786.527137415425</v>
      </c>
      <c r="K102" s="79">
        <v>142392.8717171422</v>
      </c>
      <c r="L102" s="80">
        <v>41.455607476635514</v>
      </c>
      <c r="M102" s="80">
        <v>8.2088363144739649</v>
      </c>
      <c r="N102" s="80">
        <v>5.7517027287826972</v>
      </c>
      <c r="O102" s="79">
        <v>960.4820809003329</v>
      </c>
      <c r="P102" s="80">
        <f t="shared" si="2"/>
        <v>5.7517027287826972</v>
      </c>
      <c r="Q102" s="80">
        <f t="shared" si="3"/>
        <v>55.41614651989218</v>
      </c>
      <c r="R102" s="79">
        <f>O102</f>
        <v>960.4820809003329</v>
      </c>
      <c r="S102" s="78">
        <f t="shared" si="4"/>
        <v>538562.41891311097</v>
      </c>
      <c r="T102" s="78">
        <f t="shared" si="5"/>
        <v>266359.58141224628</v>
      </c>
      <c r="U102" s="78">
        <f t="shared" si="6"/>
        <v>804922.00032535731</v>
      </c>
      <c r="V102" s="76" t="str">
        <f>VLOOKUP(B102,NUTS_Europa!$B$2:$F$41,5,FALSE)</f>
        <v>Galicia</v>
      </c>
      <c r="W102" s="76" t="str">
        <f>VLOOKUP(C102,Puertos!$N$3:$O$27,2,FALSE)</f>
        <v>Vigo</v>
      </c>
      <c r="X102" s="76" t="str">
        <f>VLOOKUP(D102,NUTS_Europa!$B$2:$F$41,5,FALSE)</f>
        <v>Düsseldorf</v>
      </c>
      <c r="Y102" s="76" t="str">
        <f>VLOOKUP(E102,Puertos!$N$3:$O$27,2,FALSE)</f>
        <v>Amberes</v>
      </c>
    </row>
    <row r="103" spans="2:30" s="76" customFormat="1" x14ac:dyDescent="0.25">
      <c r="B103" s="76" t="str">
        <f>VLOOKUP(F103,[1]NUTS_Europa!$A$2:$C$81,2,FALSE)</f>
        <v>DEA1</v>
      </c>
      <c r="C103" s="76">
        <f>VLOOKUP(F103,[1]NUTS_Europa!$A$2:$C$81,3,FALSE)</f>
        <v>253</v>
      </c>
      <c r="D103" s="76" t="str">
        <f>VLOOKUP(G103,[1]NUTS_Europa!$A$2:$C$81,2,FALSE)</f>
        <v>FRI3</v>
      </c>
      <c r="E103" s="76">
        <f>VLOOKUP(G103,[1]NUTS_Europa!$A$2:$C$81,3,FALSE)</f>
        <v>283</v>
      </c>
      <c r="F103" s="76">
        <v>9</v>
      </c>
      <c r="G103" s="76">
        <v>25</v>
      </c>
      <c r="H103" s="78">
        <v>989257.4352958689</v>
      </c>
      <c r="I103" s="78">
        <v>982746.55538623664</v>
      </c>
      <c r="J103" s="78">
        <f t="shared" si="1"/>
        <v>75595.888875864359</v>
      </c>
      <c r="K103" s="79">
        <v>127001.21695280854</v>
      </c>
      <c r="L103" s="80">
        <v>32.271028037383182</v>
      </c>
      <c r="M103" s="80">
        <v>11.521677570429262</v>
      </c>
      <c r="N103" s="80">
        <v>13.0577619813547</v>
      </c>
      <c r="O103" s="79">
        <v>2110.3462423469391</v>
      </c>
      <c r="P103" s="80">
        <f t="shared" si="2"/>
        <v>9.8814334187324331</v>
      </c>
      <c r="Q103" s="80">
        <f t="shared" si="3"/>
        <v>53.674139026544879</v>
      </c>
      <c r="R103" s="76">
        <f>R100</f>
        <v>1597</v>
      </c>
      <c r="S103" s="78">
        <f t="shared" si="4"/>
        <v>748618.44585774746</v>
      </c>
      <c r="T103" s="78">
        <f t="shared" si="5"/>
        <v>226787.66662759308</v>
      </c>
      <c r="U103" s="78">
        <f t="shared" si="6"/>
        <v>975406.11248534056</v>
      </c>
      <c r="V103" s="76" t="str">
        <f>VLOOKUP(B103,NUTS_Europa!$B$2:$F$41,5,FALSE)</f>
        <v>Düsseldorf</v>
      </c>
      <c r="W103" s="76" t="str">
        <f>VLOOKUP(C103,Puertos!$N$3:$O$27,2,FALSE)</f>
        <v>Amberes</v>
      </c>
      <c r="X103" s="76" t="str">
        <f>VLOOKUP(D103,NUTS_Europa!$B$2:$F$41,5,FALSE)</f>
        <v>Poitou-Charentes</v>
      </c>
      <c r="Y103" s="76" t="str">
        <f>VLOOKUP(E103,Puertos!$N$3:$O$27,2,FALSE)</f>
        <v>La Rochelle</v>
      </c>
    </row>
    <row r="104" spans="2:30" s="76" customFormat="1" x14ac:dyDescent="0.25">
      <c r="B104" s="76" t="str">
        <f>VLOOKUP(G104,[1]NUTS_Europa!$A$2:$C$81,2,FALSE)</f>
        <v>FRI3</v>
      </c>
      <c r="C104" s="76">
        <f>VLOOKUP(G104,[1]NUTS_Europa!$A$2:$C$81,3,FALSE)</f>
        <v>283</v>
      </c>
      <c r="D104" s="76" t="str">
        <f>VLOOKUP(F104,[1]NUTS_Europa!$A$2:$C$81,2,FALSE)</f>
        <v>FRE1</v>
      </c>
      <c r="E104" s="76">
        <f>VLOOKUP(F104,[1]NUTS_Europa!$A$2:$C$81,3,FALSE)</f>
        <v>220</v>
      </c>
      <c r="F104" s="76">
        <v>21</v>
      </c>
      <c r="G104" s="76">
        <v>25</v>
      </c>
      <c r="H104" s="76">
        <v>628752.81117924838</v>
      </c>
      <c r="I104" s="76">
        <v>903844.26648073853</v>
      </c>
      <c r="J104" s="78">
        <f t="shared" si="1"/>
        <v>69526.482036979884</v>
      </c>
      <c r="K104" s="76">
        <v>117061.71481038857</v>
      </c>
      <c r="L104" s="76">
        <v>28.130373831775703</v>
      </c>
      <c r="M104" s="76">
        <v>14.932612347014217</v>
      </c>
      <c r="N104" s="76">
        <v>11.770525190782786</v>
      </c>
      <c r="O104" s="76">
        <v>2110.3462423469391</v>
      </c>
      <c r="P104" s="80">
        <f t="shared" si="2"/>
        <v>0</v>
      </c>
      <c r="Q104" s="80">
        <f>SUM(Q97:Q103)</f>
        <v>454.7528308440896</v>
      </c>
    </row>
    <row r="105" spans="2:30" s="76" customFormat="1" x14ac:dyDescent="0.25">
      <c r="B105" s="76" t="str">
        <f>VLOOKUP(F105,[1]NUTS_Europa!$A$2:$C$81,2,FALSE)</f>
        <v>FRE1</v>
      </c>
      <c r="C105" s="76">
        <f>VLOOKUP(F105,[1]NUTS_Europa!$A$2:$C$81,3,FALSE)</f>
        <v>220</v>
      </c>
      <c r="D105" s="76" t="str">
        <f>VLOOKUP(G105,[1]NUTS_Europa!$A$2:$C$81,2,FALSE)</f>
        <v>FRH0</v>
      </c>
      <c r="E105" s="76">
        <f>VLOOKUP(G105,[1]NUTS_Europa!$A$2:$C$81,3,FALSE)</f>
        <v>283</v>
      </c>
      <c r="F105" s="76">
        <v>21</v>
      </c>
      <c r="G105" s="76">
        <v>23</v>
      </c>
      <c r="H105" s="76">
        <v>1139981.0228684307</v>
      </c>
      <c r="I105" s="76">
        <v>903844.26648073853</v>
      </c>
      <c r="J105" s="78">
        <f t="shared" si="1"/>
        <v>69526.482036979884</v>
      </c>
      <c r="K105" s="76">
        <v>156784.57749147405</v>
      </c>
      <c r="L105" s="76">
        <v>28.130373831775703</v>
      </c>
      <c r="M105" s="76">
        <v>14.932612347014217</v>
      </c>
      <c r="N105" s="76">
        <v>11.770525190782786</v>
      </c>
      <c r="O105" s="76">
        <v>2110.3462423469391</v>
      </c>
      <c r="P105" s="80">
        <f t="shared" si="2"/>
        <v>1.5097611832433598E-2</v>
      </c>
      <c r="Q105" s="80">
        <f>Q104/24</f>
        <v>18.948034618503733</v>
      </c>
      <c r="R105" s="76">
        <f>Q105/7</f>
        <v>2.7068620883576764</v>
      </c>
    </row>
    <row r="106" spans="2:30" s="76" customFormat="1" x14ac:dyDescent="0.25">
      <c r="B106" s="76" t="str">
        <f>VLOOKUP(G106,[1]NUTS_Europa!$A$2:$C$81,2,FALSE)</f>
        <v>FRH0</v>
      </c>
      <c r="C106" s="76">
        <f>VLOOKUP(G106,[1]NUTS_Europa!$A$2:$C$81,3,FALSE)</f>
        <v>283</v>
      </c>
      <c r="D106" s="76" t="str">
        <f>VLOOKUP(F106,[1]NUTS_Europa!$A$2:$C$81,2,FALSE)</f>
        <v>ES61</v>
      </c>
      <c r="E106" s="76">
        <f>VLOOKUP(F106,[1]NUTS_Europa!$A$2:$C$81,3,FALSE)</f>
        <v>61</v>
      </c>
      <c r="F106" s="76">
        <v>17</v>
      </c>
      <c r="G106" s="76">
        <v>23</v>
      </c>
      <c r="H106" s="78">
        <v>1559704.4653885039</v>
      </c>
      <c r="I106" s="78">
        <v>1149820.2025404749</v>
      </c>
      <c r="J106" s="81">
        <f t="shared" si="1"/>
        <v>88447.707887728844</v>
      </c>
      <c r="K106" s="79">
        <v>191087.21980936834</v>
      </c>
      <c r="L106" s="80">
        <v>47.940186915887857</v>
      </c>
      <c r="M106" s="80">
        <v>9.9780798506329909</v>
      </c>
      <c r="N106" s="80">
        <f>10.3731555264457+14</f>
        <v>24.3731555264457</v>
      </c>
      <c r="O106" s="79">
        <v>2110.3462423469391</v>
      </c>
      <c r="P106" s="80">
        <f t="shared" si="2"/>
        <v>18.444333254265452</v>
      </c>
      <c r="Q106" s="80">
        <f t="shared" ref="Q106:Q131" si="7">P106+M106+L106</f>
        <v>76.362600020786303</v>
      </c>
      <c r="R106" s="76">
        <f>R103</f>
        <v>1597</v>
      </c>
      <c r="S106" s="78">
        <f>H106*(R106/O106)</f>
        <v>1180303.0143789777</v>
      </c>
      <c r="T106" s="78">
        <f>J106*2</f>
        <v>176895.41577545769</v>
      </c>
      <c r="U106" s="78">
        <f t="shared" ref="U106:U118" si="8">T106+S106</f>
        <v>1357198.4301544353</v>
      </c>
      <c r="V106" s="76" t="str">
        <f>VLOOKUP(B106,NUTS_Europa!$B$2:$F$41,5,FALSE)</f>
        <v>Bretagne</v>
      </c>
      <c r="W106" s="76" t="str">
        <f>VLOOKUP(C106,Puertos!$N$3:$O$27,2,FALSE)</f>
        <v>La Rochelle</v>
      </c>
      <c r="X106" s="76" t="str">
        <f>VLOOKUP(D106,NUTS_Europa!$B$2:$F$41,5,FALSE)</f>
        <v>Andalucía</v>
      </c>
      <c r="Y106" s="76" t="str">
        <f>VLOOKUP(E106,Puertos!$N$3:$O$27,2,FALSE)</f>
        <v>Algeciras</v>
      </c>
      <c r="Z106" s="80">
        <f>(168/2)-Q106</f>
        <v>7.6373999792136971</v>
      </c>
      <c r="AA106" s="76">
        <f>Q106/24</f>
        <v>3.1817750008660961</v>
      </c>
    </row>
    <row r="107" spans="2:30" s="76" customFormat="1" x14ac:dyDescent="0.25">
      <c r="B107" s="76" t="str">
        <f>VLOOKUP(F107,[1]NUTS_Europa!$A$2:$C$81,2,FALSE)</f>
        <v>ES61</v>
      </c>
      <c r="C107" s="76">
        <f>VLOOKUP(F107,[1]NUTS_Europa!$A$2:$C$81,3,FALSE)</f>
        <v>61</v>
      </c>
      <c r="D107" s="76" t="str">
        <f>VLOOKUP(G107,[1]NUTS_Europa!$A$2:$C$81,2,FALSE)</f>
        <v>FRG0</v>
      </c>
      <c r="E107" s="76">
        <f>VLOOKUP(G107,[1]NUTS_Europa!$A$2:$C$81,3,FALSE)</f>
        <v>282</v>
      </c>
      <c r="F107" s="76">
        <v>17</v>
      </c>
      <c r="G107" s="76">
        <v>22</v>
      </c>
      <c r="H107" s="78">
        <v>498801.44996569399</v>
      </c>
      <c r="I107" s="78">
        <v>1186176.745407714</v>
      </c>
      <c r="J107" s="81">
        <f t="shared" si="1"/>
        <v>91244.365031362613</v>
      </c>
      <c r="K107" s="79">
        <v>115262.59218235347</v>
      </c>
      <c r="L107" s="80">
        <v>49.15121495327103</v>
      </c>
      <c r="M107" s="80">
        <v>9.740719225634459</v>
      </c>
      <c r="N107" s="80">
        <f>4.28592657422472+4</f>
        <v>8.285926574224721</v>
      </c>
      <c r="O107" s="79">
        <v>760.20697674418614</v>
      </c>
      <c r="P107" s="80">
        <f t="shared" si="2"/>
        <v>8.285926574224721</v>
      </c>
      <c r="Q107" s="80">
        <f t="shared" si="7"/>
        <v>67.177860753130204</v>
      </c>
      <c r="R107" s="79">
        <f>O107</f>
        <v>760.20697674418614</v>
      </c>
      <c r="S107" s="78">
        <f>H107</f>
        <v>498801.44996569399</v>
      </c>
      <c r="T107" s="78">
        <f>J107*2</f>
        <v>182488.73006272523</v>
      </c>
      <c r="U107" s="78">
        <f t="shared" si="8"/>
        <v>681290.18002841924</v>
      </c>
      <c r="V107" s="76" t="str">
        <f>VLOOKUP(B107,NUTS_Europa!$B$2:$F$41,5,FALSE)</f>
        <v>Andalucía</v>
      </c>
      <c r="W107" s="76" t="str">
        <f>VLOOKUP(C107,Puertos!$N$3:$O$27,2,FALSE)</f>
        <v>Algeciras</v>
      </c>
      <c r="X107" s="76" t="str">
        <f>VLOOKUP(D107,NUTS_Europa!$B$2:$F$41,5,FALSE)</f>
        <v>Pays de la Loire</v>
      </c>
      <c r="Y107" s="76" t="str">
        <f>VLOOKUP(E107,Puertos!$N$3:$O$27,2,FALSE)</f>
        <v>Saint Nazaire</v>
      </c>
      <c r="Z107" s="80">
        <f>(168/2)-Q107</f>
        <v>16.822139246869796</v>
      </c>
      <c r="AA107" s="76">
        <f>Q107/24</f>
        <v>2.799077531380425</v>
      </c>
    </row>
    <row r="108" spans="2:30" s="76" customFormat="1" x14ac:dyDescent="0.25">
      <c r="B108" s="76" t="str">
        <f>VLOOKUP(G108,[1]NUTS_Europa!$A$2:$C$81,2,FALSE)</f>
        <v>FRG0</v>
      </c>
      <c r="C108" s="76">
        <f>VLOOKUP(G108,[1]NUTS_Europa!$A$2:$C$81,3,FALSE)</f>
        <v>282</v>
      </c>
      <c r="D108" s="76" t="str">
        <f>VLOOKUP(F108,[1]NUTS_Europa!$A$2:$C$81,2,FALSE)</f>
        <v>ES62</v>
      </c>
      <c r="E108" s="76">
        <f>VLOOKUP(F108,[1]NUTS_Europa!$A$2:$C$81,3,FALSE)</f>
        <v>1064</v>
      </c>
      <c r="F108" s="76">
        <v>18</v>
      </c>
      <c r="G108" s="76">
        <v>22</v>
      </c>
      <c r="H108" s="78">
        <v>478205.13874160807</v>
      </c>
      <c r="I108" s="78">
        <v>1358214.8187077369</v>
      </c>
      <c r="J108" s="81">
        <f t="shared" si="1"/>
        <v>104478.06297751822</v>
      </c>
      <c r="K108" s="79">
        <v>135416.16142478216</v>
      </c>
      <c r="L108" s="80">
        <v>58.739205607476642</v>
      </c>
      <c r="M108" s="80">
        <v>11.519051603797942</v>
      </c>
      <c r="N108" s="80">
        <f>4.55238533807993+4</f>
        <v>8.5523853380799295</v>
      </c>
      <c r="O108" s="79">
        <v>760.20697674418614</v>
      </c>
      <c r="P108" s="80">
        <f t="shared" si="2"/>
        <v>8.5523853380799295</v>
      </c>
      <c r="Q108" s="80">
        <f t="shared" si="7"/>
        <v>78.810642549354512</v>
      </c>
      <c r="R108" s="79">
        <f>O108</f>
        <v>760.20697674418614</v>
      </c>
      <c r="S108" s="78">
        <f>H108</f>
        <v>478205.13874160807</v>
      </c>
      <c r="T108" s="78">
        <f>J108*2</f>
        <v>208956.12595503643</v>
      </c>
      <c r="U108" s="78">
        <f t="shared" si="8"/>
        <v>687161.2646966445</v>
      </c>
      <c r="V108" s="76" t="str">
        <f>VLOOKUP(B108,NUTS_Europa!$B$2:$F$41,5,FALSE)</f>
        <v>Pays de la Loire</v>
      </c>
      <c r="W108" s="76" t="str">
        <f>VLOOKUP(C108,Puertos!$N$3:$O$27,2,FALSE)</f>
        <v>Saint Nazaire</v>
      </c>
      <c r="X108" s="76" t="str">
        <f>VLOOKUP(D108,NUTS_Europa!$B$2:$F$41,5,FALSE)</f>
        <v>Región de Murcia</v>
      </c>
      <c r="Y108" s="76" t="str">
        <f>VLOOKUP(E108,Puertos!$N$3:$O$27,2,FALSE)</f>
        <v>Valencia</v>
      </c>
      <c r="Z108" s="80">
        <f>(168/2)-Q108</f>
        <v>5.1893574506454883</v>
      </c>
      <c r="AA108" s="76">
        <f>Q108/24</f>
        <v>3.2837767728897713</v>
      </c>
    </row>
    <row r="109" spans="2:30" s="76" customFormat="1" x14ac:dyDescent="0.25">
      <c r="B109" s="76" t="str">
        <f>VLOOKUP(F109,[1]NUTS_Europa!$A$2:$C$81,2,FALSE)</f>
        <v>ES62</v>
      </c>
      <c r="C109" s="76">
        <f>VLOOKUP(F109,[1]NUTS_Europa!$A$2:$C$81,3,FALSE)</f>
        <v>1064</v>
      </c>
      <c r="D109" s="76" t="str">
        <f>VLOOKUP(G109,[1]NUTS_Europa!$A$2:$C$81,2,FALSE)</f>
        <v>FRI1</v>
      </c>
      <c r="E109" s="76">
        <f>VLOOKUP(G109,[1]NUTS_Europa!$A$2:$C$81,3,FALSE)</f>
        <v>283</v>
      </c>
      <c r="F109" s="76">
        <v>18</v>
      </c>
      <c r="G109" s="76">
        <v>24</v>
      </c>
      <c r="H109" s="78">
        <v>1324833.2573473104</v>
      </c>
      <c r="I109" s="78">
        <v>1451221.0636392727</v>
      </c>
      <c r="J109" s="81">
        <f t="shared" si="1"/>
        <v>111632.38951071328</v>
      </c>
      <c r="K109" s="79">
        <v>199597.7643046609</v>
      </c>
      <c r="L109" s="80">
        <v>66.384392523364482</v>
      </c>
      <c r="M109" s="80">
        <v>11.756412228796474</v>
      </c>
      <c r="N109" s="80">
        <f>11.1128491470575+14</f>
        <v>25.112849147057499</v>
      </c>
      <c r="O109" s="79">
        <v>2110.3462423469391</v>
      </c>
      <c r="P109" s="80">
        <f t="shared" si="2"/>
        <v>19.004094817753401</v>
      </c>
      <c r="Q109" s="80">
        <f t="shared" si="7"/>
        <v>97.144899569914358</v>
      </c>
      <c r="R109" s="76">
        <f>R106</f>
        <v>1597</v>
      </c>
      <c r="S109" s="78">
        <f t="shared" ref="S109:S116" si="9">H109*(R109/O109)</f>
        <v>1002564.7306248175</v>
      </c>
      <c r="T109" s="78">
        <f>J109*2</f>
        <v>223264.77902142657</v>
      </c>
      <c r="U109" s="78">
        <f t="shared" si="8"/>
        <v>1225829.5096462441</v>
      </c>
      <c r="V109" s="76" t="str">
        <f>VLOOKUP(B109,NUTS_Europa!$B$2:$F$41,5,FALSE)</f>
        <v>Región de Murcia</v>
      </c>
      <c r="W109" s="76" t="str">
        <f>VLOOKUP(C109,Puertos!$N$3:$O$27,2,FALSE)</f>
        <v>Valencia</v>
      </c>
      <c r="X109" s="76" t="str">
        <f>VLOOKUP(D109,NUTS_Europa!$B$2:$F$41,5,FALSE)</f>
        <v>Aquitaine</v>
      </c>
      <c r="Y109" s="76" t="str">
        <f>VLOOKUP(E109,Puertos!$N$3:$O$27,2,FALSE)</f>
        <v>La Rochelle</v>
      </c>
      <c r="Z109" s="80">
        <f>(168/2)-Q109</f>
        <v>-13.144899569914358</v>
      </c>
      <c r="AA109" s="76">
        <f>Q109/24</f>
        <v>4.0477041487464316</v>
      </c>
      <c r="AB109" s="80">
        <f>SUM(Q106:Q109)</f>
        <v>319.49600289318533</v>
      </c>
      <c r="AC109" s="76">
        <f>AB109/24</f>
        <v>13.312333453882722</v>
      </c>
      <c r="AD109" s="76">
        <f>AC109/7</f>
        <v>1.901761921983246</v>
      </c>
    </row>
    <row r="110" spans="2:30" s="76" customFormat="1" x14ac:dyDescent="0.25">
      <c r="B110" s="76" t="str">
        <f>VLOOKUP(G110,[1]NUTS_Europa!$A$2:$C$81,2,FALSE)</f>
        <v>FRI1</v>
      </c>
      <c r="C110" s="76">
        <f>VLOOKUP(G110,[1]NUTS_Europa!$A$2:$C$81,3,FALSE)</f>
        <v>283</v>
      </c>
      <c r="D110" s="76" t="str">
        <f>VLOOKUP(F110,[1]NUTS_Europa!$A$2:$C$81,2,FALSE)</f>
        <v>FRD2</v>
      </c>
      <c r="E110" s="76">
        <f>VLOOKUP(F110,[1]NUTS_Europa!$A$2:$C$81,3,FALSE)</f>
        <v>269</v>
      </c>
      <c r="F110" s="76">
        <v>20</v>
      </c>
      <c r="G110" s="76">
        <v>24</v>
      </c>
      <c r="H110" s="76">
        <v>838086.53337468195</v>
      </c>
      <c r="I110" s="76">
        <v>891080.16048730002</v>
      </c>
      <c r="J110" s="78">
        <f t="shared" si="1"/>
        <v>68544.627729792308</v>
      </c>
      <c r="K110" s="76">
        <v>114346.85142443764</v>
      </c>
      <c r="L110" s="76">
        <v>21.635514018691591</v>
      </c>
      <c r="M110" s="76">
        <v>13.507302444913943</v>
      </c>
      <c r="N110" s="76">
        <v>13.0577619813547</v>
      </c>
      <c r="O110" s="76">
        <v>2110.3462423469391</v>
      </c>
      <c r="P110" s="80">
        <f t="shared" si="2"/>
        <v>0</v>
      </c>
      <c r="Q110" s="80">
        <f t="shared" si="7"/>
        <v>35.142816463605534</v>
      </c>
      <c r="S110" s="78">
        <f t="shared" si="9"/>
        <v>0</v>
      </c>
      <c r="T110" s="78"/>
      <c r="U110" s="78">
        <f t="shared" si="8"/>
        <v>0</v>
      </c>
      <c r="Z110" s="80">
        <f>AVERAGE(Z106:Z109)</f>
        <v>4.1259992767036557</v>
      </c>
      <c r="AA110" s="76">
        <f>SUM(AA106:AA109)</f>
        <v>13.312333453882724</v>
      </c>
    </row>
    <row r="111" spans="2:30" s="76" customFormat="1" x14ac:dyDescent="0.25">
      <c r="B111" s="76" t="str">
        <f>VLOOKUP(G111,[1]NUTS_Europa!$A$2:$C$81,2,FALSE)</f>
        <v>FRD2</v>
      </c>
      <c r="C111" s="76">
        <f>VLOOKUP(G111,[1]NUTS_Europa!$A$2:$C$81,3,FALSE)</f>
        <v>269</v>
      </c>
      <c r="D111" s="76" t="str">
        <f>VLOOKUP(F111,[1]NUTS_Europa!$A$2:$C$81,2,FALSE)</f>
        <v>DE60</v>
      </c>
      <c r="E111" s="76">
        <f>VLOOKUP(F111,[1]NUTS_Europa!$A$2:$C$81,3,FALSE)</f>
        <v>1069</v>
      </c>
      <c r="F111" s="76">
        <v>5</v>
      </c>
      <c r="G111" s="76">
        <v>20</v>
      </c>
      <c r="H111" s="76">
        <v>2034575.4597043982</v>
      </c>
      <c r="I111" s="76">
        <v>962688.60977640771</v>
      </c>
      <c r="J111" s="78">
        <f t="shared" si="1"/>
        <v>74052.969982800598</v>
      </c>
      <c r="K111" s="76">
        <v>145277.79316174539</v>
      </c>
      <c r="L111" s="76">
        <v>24.348130841121495</v>
      </c>
      <c r="M111" s="76">
        <v>12.295624302212925</v>
      </c>
      <c r="N111" s="76">
        <v>88.796837099360161</v>
      </c>
      <c r="O111" s="76">
        <v>14828.264758497318</v>
      </c>
      <c r="P111" s="80">
        <f t="shared" si="2"/>
        <v>0</v>
      </c>
      <c r="Q111" s="80">
        <f t="shared" si="7"/>
        <v>36.643755143334417</v>
      </c>
      <c r="S111" s="78">
        <f t="shared" si="9"/>
        <v>0</v>
      </c>
      <c r="T111" s="78"/>
      <c r="U111" s="78">
        <f t="shared" si="8"/>
        <v>0</v>
      </c>
    </row>
    <row r="112" spans="2:30" s="76" customFormat="1" x14ac:dyDescent="0.25">
      <c r="B112" s="76" t="str">
        <f>VLOOKUP(F112,[1]NUTS_Europa!$A$2:$C$81,2,FALSE)</f>
        <v>DE60</v>
      </c>
      <c r="C112" s="76">
        <f>VLOOKUP(F112,[1]NUTS_Europa!$A$2:$C$81,3,FALSE)</f>
        <v>1069</v>
      </c>
      <c r="D112" s="76" t="str">
        <f>VLOOKUP(G112,[1]NUTS_Europa!$A$2:$C$81,2,FALSE)</f>
        <v>PT18</v>
      </c>
      <c r="E112" s="76">
        <f>VLOOKUP(G112,[1]NUTS_Europa!$A$2:$C$81,3,FALSE)</f>
        <v>61</v>
      </c>
      <c r="F112" s="76">
        <v>5</v>
      </c>
      <c r="G112" s="76">
        <v>80</v>
      </c>
      <c r="H112" s="76">
        <v>11581775.422901699</v>
      </c>
      <c r="I112" s="76">
        <v>1624170.1760585443</v>
      </c>
      <c r="J112" s="78">
        <f t="shared" si="1"/>
        <v>124936.1673891188</v>
      </c>
      <c r="K112" s="76">
        <v>118487.95435333898</v>
      </c>
      <c r="L112" s="76">
        <v>78.167289719626169</v>
      </c>
      <c r="M112" s="76">
        <v>8.7664017079319727</v>
      </c>
      <c r="N112" s="76">
        <v>87.426059098935269</v>
      </c>
      <c r="O112" s="76">
        <v>18537.263556443555</v>
      </c>
      <c r="P112" s="80">
        <f t="shared" si="2"/>
        <v>0</v>
      </c>
      <c r="Q112" s="80">
        <f t="shared" si="7"/>
        <v>86.933691427558145</v>
      </c>
      <c r="S112" s="78">
        <f t="shared" si="9"/>
        <v>0</v>
      </c>
      <c r="T112" s="78"/>
      <c r="U112" s="78">
        <f t="shared" si="8"/>
        <v>0</v>
      </c>
    </row>
    <row r="113" spans="2:30" s="76" customFormat="1" x14ac:dyDescent="0.25">
      <c r="B113" s="76" t="str">
        <f>VLOOKUP(G113,[1]NUTS_Europa!$A$2:$C$81,2,FALSE)</f>
        <v>PT18</v>
      </c>
      <c r="C113" s="76">
        <f>VLOOKUP(G113,[1]NUTS_Europa!$A$2:$C$81,3,FALSE)</f>
        <v>61</v>
      </c>
      <c r="D113" s="76" t="str">
        <f>VLOOKUP(F113,[1]NUTS_Europa!$A$2:$C$81,2,FALSE)</f>
        <v>BE25</v>
      </c>
      <c r="E113" s="76">
        <f>VLOOKUP(F113,[1]NUTS_Europa!$A$2:$C$81,3,FALSE)</f>
        <v>220</v>
      </c>
      <c r="F113" s="76">
        <v>43</v>
      </c>
      <c r="G113" s="76">
        <v>80</v>
      </c>
      <c r="H113" s="78">
        <v>12471856.746368283</v>
      </c>
      <c r="I113" s="78">
        <v>1393547.1994389992</v>
      </c>
      <c r="J113" s="78">
        <f t="shared" si="1"/>
        <v>107195.93841838455</v>
      </c>
      <c r="K113" s="79">
        <v>117768.50934211678</v>
      </c>
      <c r="L113" s="80">
        <v>63.255607476635518</v>
      </c>
      <c r="M113" s="80">
        <v>11.790751639474855</v>
      </c>
      <c r="N113" s="80">
        <f>93.2030799084383+120</f>
        <v>213.2030799084383</v>
      </c>
      <c r="O113" s="79">
        <v>18537.263556443555</v>
      </c>
      <c r="P113" s="80">
        <f t="shared" si="2"/>
        <v>18.367614916680797</v>
      </c>
      <c r="Q113" s="80">
        <f t="shared" si="7"/>
        <v>93.413974032791174</v>
      </c>
      <c r="R113" s="76">
        <f>R$109</f>
        <v>1597</v>
      </c>
      <c r="S113" s="78">
        <f t="shared" si="9"/>
        <v>1074460.3788635677</v>
      </c>
      <c r="T113" s="78">
        <f t="shared" ref="T113:T118" si="10">J113*2</f>
        <v>214391.87683676911</v>
      </c>
      <c r="U113" s="78">
        <f t="shared" si="8"/>
        <v>1288852.2557003368</v>
      </c>
      <c r="V113" s="76" t="str">
        <f>VLOOKUP(B113,NUTS_Europa!$B$2:$F$41,5,FALSE)</f>
        <v>Alentejo</v>
      </c>
      <c r="W113" s="76" t="str">
        <f>VLOOKUP(C113,Puertos!$N$3:$O$27,2,FALSE)</f>
        <v>Algeciras</v>
      </c>
      <c r="X113" s="76" t="str">
        <f>VLOOKUP(D113,NUTS_Europa!$B$2:$F$41,5,FALSE)</f>
        <v>Prov. West-Vlaanderen</v>
      </c>
      <c r="Y113" s="76" t="str">
        <f>VLOOKUP(E113,Puertos!$N$3:$O$27,2,FALSE)</f>
        <v>Zeebrugge</v>
      </c>
      <c r="Z113" s="80">
        <f t="shared" ref="Z113:Z118" si="11">(168/2)-Q113</f>
        <v>-9.4139740327911738</v>
      </c>
      <c r="AA113" s="76">
        <f t="shared" ref="AA113:AA118" si="12">Q113/24</f>
        <v>3.8922489180329656</v>
      </c>
    </row>
    <row r="114" spans="2:30" s="76" customFormat="1" x14ac:dyDescent="0.25">
      <c r="B114" s="76" t="str">
        <f>VLOOKUP(F114,[1]NUTS_Europa!$A$2:$C$81,2,FALSE)</f>
        <v>BE25</v>
      </c>
      <c r="C114" s="76">
        <f>VLOOKUP(F114,[1]NUTS_Europa!$A$2:$C$81,3,FALSE)</f>
        <v>220</v>
      </c>
      <c r="D114" s="76" t="str">
        <f>VLOOKUP(G114,[1]NUTS_Europa!$A$2:$C$81,2,FALSE)</f>
        <v>FRD1</v>
      </c>
      <c r="E114" s="76">
        <f>VLOOKUP(G114,[1]NUTS_Europa!$A$2:$C$81,3,FALSE)</f>
        <v>269</v>
      </c>
      <c r="F114" s="76">
        <v>43</v>
      </c>
      <c r="G114" s="76">
        <v>59</v>
      </c>
      <c r="H114" s="78">
        <v>3809553.730948302</v>
      </c>
      <c r="I114" s="78">
        <v>719200.61185330292</v>
      </c>
      <c r="J114" s="78">
        <f t="shared" si="1"/>
        <v>55323.123988715612</v>
      </c>
      <c r="K114" s="79">
        <v>199058.85825050285</v>
      </c>
      <c r="L114" s="80">
        <v>8.4574766355140198</v>
      </c>
      <c r="M114" s="80">
        <v>15.319974233755808</v>
      </c>
      <c r="N114" s="80">
        <f>93.4179719188456+75</f>
        <v>168.41797191884558</v>
      </c>
      <c r="O114" s="79">
        <v>14828.264758497318</v>
      </c>
      <c r="P114" s="80">
        <f t="shared" si="2"/>
        <v>18.138568843685313</v>
      </c>
      <c r="Q114" s="80">
        <f t="shared" si="7"/>
        <v>41.916019712955141</v>
      </c>
      <c r="R114" s="76">
        <f>R$109</f>
        <v>1597</v>
      </c>
      <c r="S114" s="78">
        <f t="shared" si="9"/>
        <v>410287.87976274104</v>
      </c>
      <c r="T114" s="78">
        <f t="shared" si="10"/>
        <v>110646.24797743122</v>
      </c>
      <c r="U114" s="78">
        <f t="shared" si="8"/>
        <v>520934.12774017226</v>
      </c>
      <c r="V114" s="76" t="str">
        <f>VLOOKUP(B114,NUTS_Europa!$B$2:$F$41,5,FALSE)</f>
        <v>Prov. West-Vlaanderen</v>
      </c>
      <c r="W114" s="76" t="str">
        <f>VLOOKUP(C114,Puertos!$N$3:$O$27,2,FALSE)</f>
        <v>Zeebrugge</v>
      </c>
      <c r="X114" s="76" t="str">
        <f>VLOOKUP(D114,NUTS_Europa!$B$2:$F$41,5,FALSE)</f>
        <v xml:space="preserve">Basse-Normandie </v>
      </c>
      <c r="Y114" s="76" t="str">
        <f>VLOOKUP(E114,Puertos!$N$3:$O$27,2,FALSE)</f>
        <v>Le Havre</v>
      </c>
      <c r="Z114" s="80">
        <f t="shared" si="11"/>
        <v>42.083980287044859</v>
      </c>
      <c r="AA114" s="76">
        <f t="shared" si="12"/>
        <v>1.7465008213731308</v>
      </c>
    </row>
    <row r="115" spans="2:30" s="76" customFormat="1" x14ac:dyDescent="0.25">
      <c r="B115" s="76" t="str">
        <f>VLOOKUP(F115,[1]NUTS_Europa!$A$2:$C$81,2,FALSE)</f>
        <v>FRD1</v>
      </c>
      <c r="C115" s="76">
        <f>VLOOKUP(F115,[1]NUTS_Europa!$A$2:$C$81,3,FALSE)</f>
        <v>269</v>
      </c>
      <c r="D115" s="76" t="str">
        <f>VLOOKUP(G115,[1]NUTS_Europa!$A$2:$C$81,2,FALSE)</f>
        <v>FRJ2</v>
      </c>
      <c r="E115" s="76">
        <f>VLOOKUP(G115,[1]NUTS_Europa!$A$2:$C$81,3,FALSE)</f>
        <v>163</v>
      </c>
      <c r="F115" s="76">
        <v>59</v>
      </c>
      <c r="G115" s="76">
        <v>68</v>
      </c>
      <c r="H115" s="78">
        <v>2809942.48947111</v>
      </c>
      <c r="I115" s="78">
        <v>1036804.9565742621</v>
      </c>
      <c r="J115" s="78">
        <f t="shared" si="1"/>
        <v>79754.227428789396</v>
      </c>
      <c r="K115" s="79">
        <v>145277.79316174539</v>
      </c>
      <c r="L115" s="80">
        <v>28.410747663551405</v>
      </c>
      <c r="M115" s="80">
        <v>15.482599287047023</v>
      </c>
      <c r="N115" s="80">
        <f>21.3175005934227+14</f>
        <v>35.3175005934227</v>
      </c>
      <c r="O115" s="79">
        <v>3085.040429338103</v>
      </c>
      <c r="P115" s="80">
        <f t="shared" si="2"/>
        <v>18.282434133220466</v>
      </c>
      <c r="Q115" s="80">
        <f t="shared" si="7"/>
        <v>62.17578108381889</v>
      </c>
      <c r="R115" s="76">
        <f>R$109</f>
        <v>1597</v>
      </c>
      <c r="S115" s="78">
        <f t="shared" si="9"/>
        <v>1454592.9813464887</v>
      </c>
      <c r="T115" s="78">
        <f t="shared" si="10"/>
        <v>159508.45485757879</v>
      </c>
      <c r="U115" s="78">
        <f t="shared" si="8"/>
        <v>1614101.4362040674</v>
      </c>
      <c r="V115" s="76" t="str">
        <f>VLOOKUP(B115,NUTS_Europa!$B$2:$F$41,5,FALSE)</f>
        <v xml:space="preserve">Basse-Normandie </v>
      </c>
      <c r="W115" s="76" t="str">
        <f>VLOOKUP(C115,Puertos!$N$3:$O$27,2,FALSE)</f>
        <v>Le Havre</v>
      </c>
      <c r="X115" s="76" t="str">
        <f>VLOOKUP(D115,NUTS_Europa!$B$2:$F$41,5,FALSE)</f>
        <v>Midi-Pyrénées</v>
      </c>
      <c r="Y115" s="76" t="str">
        <f>VLOOKUP(E115,Puertos!$N$3:$O$27,2,FALSE)</f>
        <v>Bilbao</v>
      </c>
      <c r="Z115" s="80">
        <f t="shared" si="11"/>
        <v>21.82421891618111</v>
      </c>
      <c r="AA115" s="76">
        <f t="shared" si="12"/>
        <v>2.5906575451591203</v>
      </c>
    </row>
    <row r="116" spans="2:30" s="76" customFormat="1" x14ac:dyDescent="0.25">
      <c r="B116" s="76" t="str">
        <f>VLOOKUP(G116,[1]NUTS_Europa!$A$2:$C$81,2,FALSE)</f>
        <v>FRJ2</v>
      </c>
      <c r="C116" s="76">
        <f>VLOOKUP(G116,[1]NUTS_Europa!$A$2:$C$81,3,FALSE)</f>
        <v>163</v>
      </c>
      <c r="D116" s="76" t="str">
        <f>VLOOKUP(F116,[1]NUTS_Europa!$A$2:$C$81,2,FALSE)</f>
        <v>FRJ1</v>
      </c>
      <c r="E116" s="76">
        <f>VLOOKUP(F116,[1]NUTS_Europa!$A$2:$C$81,3,FALSE)</f>
        <v>1064</v>
      </c>
      <c r="F116" s="76">
        <v>66</v>
      </c>
      <c r="G116" s="76">
        <v>68</v>
      </c>
      <c r="H116" s="78">
        <v>3703382.2214772352</v>
      </c>
      <c r="I116" s="78">
        <v>1378490.2519875877</v>
      </c>
      <c r="J116" s="78">
        <f t="shared" si="1"/>
        <v>106037.7116913529</v>
      </c>
      <c r="K116" s="79">
        <v>163171.48832599766</v>
      </c>
      <c r="L116" s="80">
        <v>58.224299065420567</v>
      </c>
      <c r="M116" s="80">
        <v>13.731709070929554</v>
      </c>
      <c r="N116" s="80">
        <f>18.4743014041406+14</f>
        <v>32.474301404140604</v>
      </c>
      <c r="O116" s="79">
        <v>3085.040429338103</v>
      </c>
      <c r="P116" s="80">
        <f t="shared" si="2"/>
        <v>16.810625510518658</v>
      </c>
      <c r="Q116" s="80">
        <f t="shared" si="7"/>
        <v>88.766633646868783</v>
      </c>
      <c r="R116" s="76">
        <f>R$109</f>
        <v>1597</v>
      </c>
      <c r="S116" s="78">
        <f t="shared" si="9"/>
        <v>1917090.4055114964</v>
      </c>
      <c r="T116" s="78">
        <f t="shared" si="10"/>
        <v>212075.42338270581</v>
      </c>
      <c r="U116" s="78">
        <f t="shared" si="8"/>
        <v>2129165.8288942021</v>
      </c>
      <c r="V116" s="76" t="str">
        <f>VLOOKUP(B116,NUTS_Europa!$B$2:$F$41,5,FALSE)</f>
        <v>Midi-Pyrénées</v>
      </c>
      <c r="W116" s="76" t="str">
        <f>VLOOKUP(C116,Puertos!$N$3:$O$27,2,FALSE)</f>
        <v>Bilbao</v>
      </c>
      <c r="X116" s="76" t="str">
        <f>VLOOKUP(D116,NUTS_Europa!$B$2:$F$41,5,FALSE)</f>
        <v>Languedoc-Roussillon</v>
      </c>
      <c r="Y116" s="76" t="str">
        <f>VLOOKUP(E116,Puertos!$N$3:$O$27,2,FALSE)</f>
        <v>Valencia</v>
      </c>
      <c r="Z116" s="80">
        <f t="shared" si="11"/>
        <v>-4.7666336468687831</v>
      </c>
      <c r="AA116" s="76">
        <f t="shared" si="12"/>
        <v>3.6986097352861993</v>
      </c>
    </row>
    <row r="117" spans="2:30" s="76" customFormat="1" x14ac:dyDescent="0.25">
      <c r="B117" s="76" t="str">
        <f>VLOOKUP(F117,[1]NUTS_Europa!$A$2:$C$81,2,FALSE)</f>
        <v>FRJ1</v>
      </c>
      <c r="C117" s="76">
        <f>VLOOKUP(F117,[1]NUTS_Europa!$A$2:$C$81,3,FALSE)</f>
        <v>1064</v>
      </c>
      <c r="D117" s="76" t="str">
        <f>VLOOKUP(G117,[1]NUTS_Europa!$A$2:$C$81,2,FALSE)</f>
        <v>PT17</v>
      </c>
      <c r="E117" s="76">
        <f>VLOOKUP(G117,[1]NUTS_Europa!$A$2:$C$81,3,FALSE)</f>
        <v>297</v>
      </c>
      <c r="F117" s="76">
        <v>66</v>
      </c>
      <c r="G117" s="76">
        <v>79</v>
      </c>
      <c r="H117" s="78">
        <v>840207.86279779742</v>
      </c>
      <c r="I117" s="78">
        <v>765536.13847430807</v>
      </c>
      <c r="J117" s="78">
        <f t="shared" si="1"/>
        <v>58887.395267254469</v>
      </c>
      <c r="K117" s="79">
        <v>192445.71807502842</v>
      </c>
      <c r="L117" s="80">
        <v>21.635514018691591</v>
      </c>
      <c r="M117" s="80">
        <v>9.1073882069722867</v>
      </c>
      <c r="N117" s="80">
        <f>4.56970254902218+6</f>
        <v>10.56970254902218</v>
      </c>
      <c r="O117" s="79">
        <v>901.90166502666227</v>
      </c>
      <c r="P117" s="80">
        <f t="shared" si="2"/>
        <v>10.56970254902218</v>
      </c>
      <c r="Q117" s="80">
        <f t="shared" si="7"/>
        <v>41.312604774686058</v>
      </c>
      <c r="R117" s="79">
        <f>O117</f>
        <v>901.90166502666227</v>
      </c>
      <c r="S117" s="78">
        <f t="shared" ref="S117:S131" si="13">H117</f>
        <v>840207.86279779742</v>
      </c>
      <c r="T117" s="78">
        <f t="shared" si="10"/>
        <v>117774.79053450894</v>
      </c>
      <c r="U117" s="78">
        <f t="shared" si="8"/>
        <v>957982.6533323063</v>
      </c>
      <c r="V117" s="76" t="str">
        <f>VLOOKUP(B117,NUTS_Europa!$B$2:$F$41,5,FALSE)</f>
        <v>Languedoc-Roussillon</v>
      </c>
      <c r="W117" s="76" t="str">
        <f>VLOOKUP(C117,Puertos!$N$3:$O$27,2,FALSE)</f>
        <v>Valencia</v>
      </c>
      <c r="X117" s="76" t="str">
        <f>VLOOKUP(D117,NUTS_Europa!$B$2:$F$41,5,FALSE)</f>
        <v>Área Metropolitana de Lisboa</v>
      </c>
      <c r="Y117" s="76" t="str">
        <f>VLOOKUP(E117,Puertos!$N$3:$O$27,2,FALSE)</f>
        <v>Cádiz</v>
      </c>
      <c r="Z117" s="80">
        <f t="shared" si="11"/>
        <v>42.687395225313942</v>
      </c>
      <c r="AA117" s="76">
        <f t="shared" si="12"/>
        <v>1.7213585322785858</v>
      </c>
    </row>
    <row r="118" spans="2:30" s="76" customFormat="1" x14ac:dyDescent="0.25">
      <c r="B118" s="76" t="s">
        <v>127</v>
      </c>
      <c r="C118" s="76">
        <v>297</v>
      </c>
      <c r="D118" s="76" t="s">
        <v>123</v>
      </c>
      <c r="E118" s="76">
        <v>61</v>
      </c>
      <c r="F118" s="76">
        <v>77</v>
      </c>
      <c r="G118" s="76">
        <v>79</v>
      </c>
      <c r="H118" s="78">
        <v>768916.21823423519</v>
      </c>
      <c r="I118" s="78">
        <v>469157.06002524542</v>
      </c>
      <c r="J118" s="78">
        <f t="shared" si="1"/>
        <v>36089.004617326573</v>
      </c>
      <c r="K118" s="79">
        <v>113696.3812050019</v>
      </c>
      <c r="L118" s="80">
        <v>3.504672897196262</v>
      </c>
      <c r="M118" s="80">
        <v>7.3290558288088024</v>
      </c>
      <c r="N118" s="80">
        <f>4.25357863785893+6</f>
        <v>10.253578637858929</v>
      </c>
      <c r="O118" s="79">
        <v>901.90166502666227</v>
      </c>
      <c r="P118" s="80">
        <f t="shared" si="2"/>
        <v>10.253578637858929</v>
      </c>
      <c r="Q118" s="80">
        <f t="shared" si="7"/>
        <v>21.087307363863992</v>
      </c>
      <c r="R118" s="79">
        <f>O118</f>
        <v>901.90166502666227</v>
      </c>
      <c r="S118" s="78">
        <f t="shared" si="13"/>
        <v>768916.21823423519</v>
      </c>
      <c r="T118" s="78">
        <f t="shared" si="10"/>
        <v>72178.009234653146</v>
      </c>
      <c r="U118" s="78">
        <f t="shared" si="8"/>
        <v>841094.22746888828</v>
      </c>
      <c r="V118" s="76" t="str">
        <f>VLOOKUP(B118,NUTS_Europa!$B$2:$F$41,5,FALSE)</f>
        <v>Área Metropolitana de Lisboa</v>
      </c>
      <c r="W118" s="76" t="str">
        <f>VLOOKUP(C118,Puertos!$N$3:$O$27,2,FALSE)</f>
        <v>Cádiz</v>
      </c>
      <c r="X118" s="76" t="str">
        <f>VLOOKUP(D118,NUTS_Europa!$B$2:$F$41,5,FALSE)</f>
        <v>Algarve</v>
      </c>
      <c r="Y118" s="76" t="str">
        <f>VLOOKUP(E118,Puertos!$N$3:$O$27,2,FALSE)</f>
        <v>Algeciras</v>
      </c>
      <c r="Z118" s="80">
        <f t="shared" si="11"/>
        <v>62.912692636136008</v>
      </c>
      <c r="AA118" s="76">
        <f t="shared" si="12"/>
        <v>0.87863780682766635</v>
      </c>
      <c r="AB118" s="80">
        <f>SUM(Q113:Q118)</f>
        <v>348.67232061498407</v>
      </c>
      <c r="AC118" s="76">
        <f>AB118/24</f>
        <v>14.52801335895767</v>
      </c>
      <c r="AD118" s="76">
        <f>AC118/7</f>
        <v>2.0754304798510956</v>
      </c>
    </row>
    <row r="119" spans="2:30" s="76" customFormat="1" x14ac:dyDescent="0.25">
      <c r="B119" s="76" t="s">
        <v>123</v>
      </c>
      <c r="C119" s="76">
        <v>61</v>
      </c>
      <c r="D119" s="76" t="s">
        <v>125</v>
      </c>
      <c r="E119" s="76">
        <v>294</v>
      </c>
      <c r="F119" s="76">
        <v>77</v>
      </c>
      <c r="G119" s="76">
        <v>78</v>
      </c>
      <c r="H119" s="76">
        <v>2688149.2279872634</v>
      </c>
      <c r="I119" s="76">
        <v>661493.5485084292</v>
      </c>
      <c r="J119" s="78">
        <f t="shared" si="1"/>
        <v>50884.119116033013</v>
      </c>
      <c r="K119" s="76">
        <v>127001.21695280854</v>
      </c>
      <c r="L119" s="76">
        <v>14.378504672897197</v>
      </c>
      <c r="M119" s="76">
        <v>7.6147379195664939</v>
      </c>
      <c r="N119" s="76">
        <v>15.101230114120911</v>
      </c>
      <c r="O119" s="76">
        <v>3201.9684466753083</v>
      </c>
      <c r="P119" s="80">
        <f t="shared" si="2"/>
        <v>0</v>
      </c>
      <c r="Q119" s="80">
        <f t="shared" si="7"/>
        <v>21.993242592463691</v>
      </c>
      <c r="S119" s="78">
        <f t="shared" si="13"/>
        <v>2688149.2279872634</v>
      </c>
      <c r="V119" s="76" t="str">
        <f>VLOOKUP(B119,NUTS_Europa!$B$2:$F$41,5,FALSE)</f>
        <v>Algarve</v>
      </c>
      <c r="W119" s="76" t="str">
        <f>VLOOKUP(C119,Puertos!$N$3:$O$27,2,FALSE)</f>
        <v>Algeciras</v>
      </c>
      <c r="X119" s="76" t="str">
        <f>VLOOKUP(D119,NUTS_Europa!$B$2:$F$41,5,FALSE)</f>
        <v>Centro (PT)</v>
      </c>
      <c r="Y119" s="76" t="str">
        <f>VLOOKUP(E119,Puertos!$N$3:$O$27,2,FALSE)</f>
        <v>Lisboa</v>
      </c>
      <c r="Z119" s="80">
        <f>AVERAGE(Z113:Z118)</f>
        <v>25.887946564169326</v>
      </c>
    </row>
    <row r="120" spans="2:30" s="76" customFormat="1" x14ac:dyDescent="0.25">
      <c r="B120" s="76" t="s">
        <v>125</v>
      </c>
      <c r="C120" s="76">
        <v>294</v>
      </c>
      <c r="D120" s="76" t="s">
        <v>111</v>
      </c>
      <c r="E120" s="76">
        <v>250</v>
      </c>
      <c r="F120" s="76">
        <v>71</v>
      </c>
      <c r="G120" s="76">
        <v>78</v>
      </c>
      <c r="H120" s="76">
        <v>2585807.2836563722</v>
      </c>
      <c r="I120" s="76">
        <v>1396295.0536434655</v>
      </c>
      <c r="J120" s="78">
        <f t="shared" si="1"/>
        <v>107407.31181872812</v>
      </c>
      <c r="K120" s="76">
        <v>135416.16142478216</v>
      </c>
      <c r="L120" s="76">
        <v>52.229439252336455</v>
      </c>
      <c r="M120" s="76">
        <v>10.832048530727921</v>
      </c>
      <c r="N120" s="76">
        <v>19.174507279672543</v>
      </c>
      <c r="O120" s="76">
        <v>3201.9684466753083</v>
      </c>
      <c r="P120" s="80">
        <f t="shared" si="2"/>
        <v>0</v>
      </c>
      <c r="Q120" s="80">
        <f t="shared" si="7"/>
        <v>63.061487783064379</v>
      </c>
      <c r="S120" s="78">
        <f t="shared" si="13"/>
        <v>2585807.2836563722</v>
      </c>
      <c r="V120" s="76" t="str">
        <f>VLOOKUP(B120,NUTS_Europa!$B$2:$F$41,5,FALSE)</f>
        <v>Centro (PT)</v>
      </c>
      <c r="W120" s="76" t="str">
        <f>VLOOKUP(C120,Puertos!$N$3:$O$27,2,FALSE)</f>
        <v>Lisboa</v>
      </c>
      <c r="X120" s="76" t="str">
        <f>VLOOKUP(D120,NUTS_Europa!$B$2:$F$41,5,FALSE)</f>
        <v>Friesland (NL)</v>
      </c>
      <c r="Y120" s="76" t="str">
        <f>VLOOKUP(E120,Puertos!$N$3:$O$27,2,FALSE)</f>
        <v>Rotterdam</v>
      </c>
    </row>
    <row r="121" spans="2:30" s="76" customFormat="1" x14ac:dyDescent="0.25">
      <c r="B121" s="76" t="s">
        <v>111</v>
      </c>
      <c r="C121" s="76">
        <v>250</v>
      </c>
      <c r="D121" s="76" t="s">
        <v>121</v>
      </c>
      <c r="E121" s="76">
        <v>288</v>
      </c>
      <c r="F121" s="76">
        <v>71</v>
      </c>
      <c r="G121" s="76">
        <v>76</v>
      </c>
      <c r="H121" s="76">
        <v>703958.80993704603</v>
      </c>
      <c r="I121" s="76">
        <v>1287561.2353663184</v>
      </c>
      <c r="J121" s="78">
        <f t="shared" si="1"/>
        <v>99043.171951255266</v>
      </c>
      <c r="K121" s="76">
        <v>142841.86171918266</v>
      </c>
      <c r="L121" s="76">
        <v>42.514953271028041</v>
      </c>
      <c r="M121" s="76">
        <v>9.8825492058391209</v>
      </c>
      <c r="N121" s="76">
        <v>5.7517027287826972</v>
      </c>
      <c r="O121" s="76">
        <v>960.4820809003329</v>
      </c>
      <c r="P121" s="80">
        <f t="shared" si="2"/>
        <v>0</v>
      </c>
      <c r="Q121" s="80">
        <f t="shared" si="7"/>
        <v>52.39750247686716</v>
      </c>
      <c r="S121" s="78">
        <f t="shared" si="13"/>
        <v>703958.80993704603</v>
      </c>
      <c r="V121" s="76" t="str">
        <f>VLOOKUP(B121,NUTS_Europa!$B$2:$F$41,5,FALSE)</f>
        <v>Friesland (NL)</v>
      </c>
      <c r="W121" s="76" t="str">
        <f>VLOOKUP(C121,Puertos!$N$3:$O$27,2,FALSE)</f>
        <v>Rotterdam</v>
      </c>
      <c r="X121" s="76" t="str">
        <f>VLOOKUP(D121,NUTS_Europa!$B$2:$F$41,5,FALSE)</f>
        <v>Norte</v>
      </c>
      <c r="Y121" s="76" t="str">
        <f>VLOOKUP(E121,Puertos!$N$3:$O$27,2,FALSE)</f>
        <v>Vigo</v>
      </c>
    </row>
    <row r="122" spans="2:30" s="76" customFormat="1" x14ac:dyDescent="0.25">
      <c r="B122" s="76" t="str">
        <f>VLOOKUP(G122,[1]NUTS_Europa!$A$2:$C$81,2,FALSE)</f>
        <v>PT11</v>
      </c>
      <c r="C122" s="76">
        <f>VLOOKUP(G122,[1]NUTS_Europa!$A$2:$C$81,3,FALSE)</f>
        <v>288</v>
      </c>
      <c r="D122" s="76" t="str">
        <f>VLOOKUP(F122,[1]NUTS_Europa!$A$2:$C$81,2,FALSE)</f>
        <v>DEF0</v>
      </c>
      <c r="E122" s="76">
        <f>VLOOKUP(F122,[1]NUTS_Europa!$A$2:$C$81,3,FALSE)</f>
        <v>245</v>
      </c>
      <c r="F122" s="76">
        <v>50</v>
      </c>
      <c r="G122" s="76">
        <v>76</v>
      </c>
      <c r="H122" s="76">
        <v>3449576.1374711539</v>
      </c>
      <c r="I122" s="76">
        <v>6863830.2653798778</v>
      </c>
      <c r="J122" s="78">
        <f t="shared" si="1"/>
        <v>527986.94349075982</v>
      </c>
      <c r="K122" s="76">
        <v>114203.52260471623</v>
      </c>
      <c r="L122" s="76">
        <v>51.901869158878512</v>
      </c>
      <c r="M122" s="76">
        <v>10.970847924502435</v>
      </c>
      <c r="N122" s="76">
        <v>5.7517027287826972</v>
      </c>
      <c r="O122" s="76">
        <v>960.4820809003329</v>
      </c>
      <c r="P122" s="80">
        <f t="shared" si="2"/>
        <v>0</v>
      </c>
      <c r="Q122" s="80">
        <f t="shared" si="7"/>
        <v>62.872717083380948</v>
      </c>
      <c r="S122" s="78">
        <f t="shared" si="13"/>
        <v>3449576.1374711539</v>
      </c>
      <c r="V122" s="76" t="str">
        <f>VLOOKUP(B122,NUTS_Europa!$B$2:$F$41,5,FALSE)</f>
        <v>Norte</v>
      </c>
      <c r="W122" s="76" t="str">
        <f>VLOOKUP(C122,Puertos!$N$3:$O$27,2,FALSE)</f>
        <v>Vigo</v>
      </c>
      <c r="X122" s="76" t="str">
        <f>VLOOKUP(D122,NUTS_Europa!$B$2:$F$41,5,FALSE)</f>
        <v>Schleswig-Holstein</v>
      </c>
      <c r="Y122" s="76" t="str">
        <f>VLOOKUP(E122,Puertos!$N$3:$O$27,2,FALSE)</f>
        <v>Bremerhaven</v>
      </c>
    </row>
    <row r="123" spans="2:30" s="76" customFormat="1" x14ac:dyDescent="0.25">
      <c r="B123" s="76" t="str">
        <f>VLOOKUP(F123,[1]NUTS_Europa!$A$2:$C$81,2,FALSE)</f>
        <v>DEF0</v>
      </c>
      <c r="C123" s="76">
        <f>VLOOKUP(F123,[1]NUTS_Europa!$A$2:$C$81,3,FALSE)</f>
        <v>245</v>
      </c>
      <c r="D123" s="76" t="str">
        <f>VLOOKUP(G123,[1]NUTS_Europa!$A$2:$C$81,2,FALSE)</f>
        <v>ES61</v>
      </c>
      <c r="E123" s="76">
        <f>VLOOKUP(G123,[1]NUTS_Europa!$A$2:$C$81,3,FALSE)</f>
        <v>297</v>
      </c>
      <c r="F123" s="76">
        <v>50</v>
      </c>
      <c r="G123" s="76">
        <v>57</v>
      </c>
      <c r="H123" s="76">
        <v>3234177.0213684249</v>
      </c>
      <c r="I123" s="76">
        <v>7432636.9679982755</v>
      </c>
      <c r="J123" s="78">
        <f t="shared" si="1"/>
        <v>571741.30523063662</v>
      </c>
      <c r="K123" s="76">
        <v>137713.62258431225</v>
      </c>
      <c r="L123" s="76">
        <v>73.020093457943929</v>
      </c>
      <c r="M123" s="76">
        <v>11.634665158633542</v>
      </c>
      <c r="N123" s="76">
        <v>5.4009027039472723</v>
      </c>
      <c r="O123" s="76">
        <v>901.90166502666227</v>
      </c>
      <c r="P123" s="80">
        <f t="shared" si="2"/>
        <v>0</v>
      </c>
      <c r="Q123" s="80">
        <f t="shared" si="7"/>
        <v>84.654758616577467</v>
      </c>
      <c r="S123" s="78">
        <f t="shared" si="13"/>
        <v>3234177.0213684249</v>
      </c>
      <c r="V123" s="76" t="str">
        <f>VLOOKUP(B123,NUTS_Europa!$B$2:$F$41,5,FALSE)</f>
        <v>Schleswig-Holstein</v>
      </c>
      <c r="W123" s="76" t="str">
        <f>VLOOKUP(C123,Puertos!$N$3:$O$27,2,FALSE)</f>
        <v>Bremerhaven</v>
      </c>
      <c r="X123" s="76" t="str">
        <f>VLOOKUP(D123,NUTS_Europa!$B$2:$F$41,5,FALSE)</f>
        <v>Andalucía</v>
      </c>
      <c r="Y123" s="76" t="str">
        <f>VLOOKUP(E123,Puertos!$N$3:$O$27,2,FALSE)</f>
        <v>Cádiz</v>
      </c>
    </row>
    <row r="124" spans="2:30" s="76" customFormat="1" x14ac:dyDescent="0.25">
      <c r="B124" s="76" t="str">
        <f>VLOOKUP(G124,[1]NUTS_Europa!$A$2:$C$81,2,FALSE)</f>
        <v>ES61</v>
      </c>
      <c r="C124" s="76">
        <f>VLOOKUP(G124,[1]NUTS_Europa!$A$2:$C$81,3,FALSE)</f>
        <v>297</v>
      </c>
      <c r="D124" s="76" t="str">
        <f>VLOOKUP(F124,[1]NUTS_Europa!$A$2:$C$81,2,FALSE)</f>
        <v>DE60</v>
      </c>
      <c r="E124" s="76">
        <f>VLOOKUP(F124,[1]NUTS_Europa!$A$2:$C$81,3,FALSE)</f>
        <v>245</v>
      </c>
      <c r="F124" s="76">
        <v>45</v>
      </c>
      <c r="G124" s="76">
        <v>57</v>
      </c>
      <c r="H124" s="76">
        <v>3280360.6999294455</v>
      </c>
      <c r="I124" s="76">
        <v>7432636.9679982755</v>
      </c>
      <c r="J124" s="78">
        <f t="shared" si="1"/>
        <v>571741.30523063662</v>
      </c>
      <c r="K124" s="76">
        <v>159445.52860932166</v>
      </c>
      <c r="L124" s="76">
        <v>73.020093457943929</v>
      </c>
      <c r="M124" s="76">
        <v>11.634665158633542</v>
      </c>
      <c r="N124" s="76">
        <v>5.4009027039472723</v>
      </c>
      <c r="O124" s="76">
        <v>901.90166502666227</v>
      </c>
      <c r="P124" s="80">
        <f t="shared" si="2"/>
        <v>0</v>
      </c>
      <c r="Q124" s="80">
        <f t="shared" si="7"/>
        <v>84.654758616577467</v>
      </c>
      <c r="S124" s="78">
        <f t="shared" si="13"/>
        <v>3280360.6999294455</v>
      </c>
      <c r="V124" s="76" t="str">
        <f>VLOOKUP(B124,NUTS_Europa!$B$2:$F$41,5,FALSE)</f>
        <v>Andalucía</v>
      </c>
      <c r="W124" s="76" t="str">
        <f>VLOOKUP(C124,Puertos!$N$3:$O$27,2,FALSE)</f>
        <v>Cádiz</v>
      </c>
      <c r="X124" s="76" t="str">
        <f>VLOOKUP(D124,NUTS_Europa!$B$2:$F$41,5,FALSE)</f>
        <v>Hamburg</v>
      </c>
      <c r="Y124" s="76" t="str">
        <f>VLOOKUP(E124,Puertos!$N$3:$O$27,2,FALSE)</f>
        <v>Bremerhaven</v>
      </c>
    </row>
    <row r="125" spans="2:30" s="76" customFormat="1" x14ac:dyDescent="0.25">
      <c r="B125" s="76" t="str">
        <f>VLOOKUP(F125,[1]NUTS_Europa!$A$2:$C$81,2,FALSE)</f>
        <v>DE60</v>
      </c>
      <c r="C125" s="76">
        <f>VLOOKUP(F125,[1]NUTS_Europa!$A$2:$C$81,3,FALSE)</f>
        <v>245</v>
      </c>
      <c r="D125" s="76" t="str">
        <f>VLOOKUP(G125,[1]NUTS_Europa!$A$2:$C$81,2,FALSE)</f>
        <v>FRI3</v>
      </c>
      <c r="E125" s="76">
        <f>VLOOKUP(G125,[1]NUTS_Europa!$A$2:$C$81,3,FALSE)</f>
        <v>282</v>
      </c>
      <c r="F125" s="76">
        <v>45</v>
      </c>
      <c r="G125" s="76">
        <v>65</v>
      </c>
      <c r="H125" s="76">
        <v>3158952.8406568002</v>
      </c>
      <c r="I125" s="76">
        <v>8238851.0970364315</v>
      </c>
      <c r="J125" s="78">
        <f t="shared" si="1"/>
        <v>633757.77669511014</v>
      </c>
      <c r="K125" s="76">
        <v>163171.48832599766</v>
      </c>
      <c r="L125" s="76">
        <v>41.405140186915894</v>
      </c>
      <c r="M125" s="76">
        <v>14.046328555459198</v>
      </c>
      <c r="N125" s="76">
        <v>5.2529984773474236</v>
      </c>
      <c r="O125" s="76">
        <v>760.20697674418614</v>
      </c>
      <c r="P125" s="80">
        <f t="shared" si="2"/>
        <v>0</v>
      </c>
      <c r="Q125" s="80">
        <f t="shared" si="7"/>
        <v>55.451468742375091</v>
      </c>
      <c r="S125" s="78">
        <f t="shared" si="13"/>
        <v>3158952.8406568002</v>
      </c>
      <c r="V125" s="76" t="str">
        <f>VLOOKUP(B125,NUTS_Europa!$B$2:$F$41,5,FALSE)</f>
        <v>Hamburg</v>
      </c>
      <c r="W125" s="76" t="str">
        <f>VLOOKUP(C125,Puertos!$N$3:$O$27,2,FALSE)</f>
        <v>Bremerhaven</v>
      </c>
      <c r="X125" s="76" t="str">
        <f>VLOOKUP(D125,NUTS_Europa!$B$2:$F$41,5,FALSE)</f>
        <v>Poitou-Charentes</v>
      </c>
      <c r="Y125" s="76" t="str">
        <f>VLOOKUP(E125,Puertos!$N$3:$O$27,2,FALSE)</f>
        <v>Saint Nazaire</v>
      </c>
    </row>
    <row r="126" spans="2:30" s="76" customFormat="1" x14ac:dyDescent="0.25">
      <c r="B126" s="76" t="str">
        <f>VLOOKUP(G126,[1]NUTS_Europa!$A$2:$C$81,2,FALSE)</f>
        <v>FRI3</v>
      </c>
      <c r="C126" s="76">
        <f>VLOOKUP(G126,[1]NUTS_Europa!$A$2:$C$81,3,FALSE)</f>
        <v>282</v>
      </c>
      <c r="D126" s="76" t="str">
        <f>VLOOKUP(F126,[1]NUTS_Europa!$A$2:$C$81,2,FALSE)</f>
        <v>ES21</v>
      </c>
      <c r="E126" s="76">
        <f>VLOOKUP(F126,[1]NUTS_Europa!$A$2:$C$81,3,FALSE)</f>
        <v>1063</v>
      </c>
      <c r="F126" s="76">
        <v>54</v>
      </c>
      <c r="G126" s="76">
        <v>65</v>
      </c>
      <c r="H126" s="76">
        <v>937803.26026062458</v>
      </c>
      <c r="I126" s="76">
        <v>5141747.5506369798</v>
      </c>
      <c r="J126" s="78">
        <f t="shared" si="1"/>
        <v>395519.04235669074</v>
      </c>
      <c r="K126" s="79">
        <v>117923.68175590989</v>
      </c>
      <c r="L126" s="80">
        <v>68.691588785046733</v>
      </c>
      <c r="M126" s="80">
        <v>10.300396188992629</v>
      </c>
      <c r="N126" s="80">
        <v>4.5523853380799331</v>
      </c>
      <c r="O126" s="79">
        <v>760.20697674418614</v>
      </c>
      <c r="P126" s="80">
        <f t="shared" si="2"/>
        <v>4.5523853380799331</v>
      </c>
      <c r="Q126" s="80">
        <f t="shared" si="7"/>
        <v>83.544370312119298</v>
      </c>
      <c r="R126" s="79">
        <f t="shared" ref="R126:R131" si="14">O126</f>
        <v>760.20697674418614</v>
      </c>
      <c r="S126" s="78">
        <f t="shared" si="13"/>
        <v>937803.26026062458</v>
      </c>
      <c r="V126" s="76" t="str">
        <f>VLOOKUP(B126,NUTS_Europa!$B$2:$F$41,5,FALSE)</f>
        <v>Poitou-Charentes</v>
      </c>
      <c r="W126" s="76" t="str">
        <f>VLOOKUP(C126,Puertos!$N$3:$O$27,2,FALSE)</f>
        <v>Saint Nazaire</v>
      </c>
      <c r="X126" s="76" t="str">
        <f>VLOOKUP(D126,NUTS_Europa!$B$2:$F$41,5,FALSE)</f>
        <v>País Vasco</v>
      </c>
      <c r="Y126" s="76" t="str">
        <f>VLOOKUP(E126,Puertos!$N$3:$O$27,2,FALSE)</f>
        <v>Barcelona</v>
      </c>
    </row>
    <row r="127" spans="2:30" s="76" customFormat="1" x14ac:dyDescent="0.25">
      <c r="B127" s="76" t="str">
        <f>VLOOKUP(F127,[1]NUTS_Europa!$A$2:$C$81,2,FALSE)</f>
        <v>ES21</v>
      </c>
      <c r="C127" s="76">
        <f>VLOOKUP(F127,[1]NUTS_Europa!$A$2:$C$81,3,FALSE)</f>
        <v>1063</v>
      </c>
      <c r="D127" s="76" t="str">
        <f>VLOOKUP(G127,[1]NUTS_Europa!$A$2:$C$81,2,FALSE)</f>
        <v>FRD2</v>
      </c>
      <c r="E127" s="76">
        <f>VLOOKUP(G127,[1]NUTS_Europa!$A$2:$C$81,3,FALSE)</f>
        <v>271</v>
      </c>
      <c r="F127" s="76">
        <v>54</v>
      </c>
      <c r="G127" s="76">
        <v>60</v>
      </c>
      <c r="H127" s="76">
        <v>282554.70060206804</v>
      </c>
      <c r="I127" s="76">
        <v>5298561.5591671756</v>
      </c>
      <c r="J127" s="78">
        <f t="shared" si="1"/>
        <v>407581.65839747502</v>
      </c>
      <c r="K127" s="79">
        <v>159445.52860932166</v>
      </c>
      <c r="L127" s="80">
        <v>77.990654205607484</v>
      </c>
      <c r="M127" s="80">
        <v>11.904369270095346</v>
      </c>
      <c r="N127" s="80">
        <v>1.9375932639899145</v>
      </c>
      <c r="O127" s="79">
        <v>323.56046511627909</v>
      </c>
      <c r="P127" s="80">
        <f t="shared" si="2"/>
        <v>1.9375932639899145</v>
      </c>
      <c r="Q127" s="80">
        <f t="shared" si="7"/>
        <v>91.832616739692739</v>
      </c>
      <c r="R127" s="79">
        <f t="shared" si="14"/>
        <v>323.56046511627909</v>
      </c>
      <c r="S127" s="78">
        <f t="shared" si="13"/>
        <v>282554.70060206804</v>
      </c>
      <c r="V127" s="76" t="str">
        <f>VLOOKUP(B127,NUTS_Europa!$B$2:$F$41,5,FALSE)</f>
        <v>País Vasco</v>
      </c>
      <c r="W127" s="76" t="str">
        <f>VLOOKUP(C127,Puertos!$N$3:$O$27,2,FALSE)</f>
        <v>Barcelona</v>
      </c>
      <c r="X127" s="76" t="str">
        <f>VLOOKUP(D127,NUTS_Europa!$B$2:$F$41,5,FALSE)</f>
        <v xml:space="preserve">Haute-Normandie </v>
      </c>
      <c r="Y127" s="76" t="str">
        <f>VLOOKUP(E127,Puertos!$N$3:$O$27,2,FALSE)</f>
        <v>Lyon</v>
      </c>
    </row>
    <row r="128" spans="2:30" s="76" customFormat="1" x14ac:dyDescent="0.25">
      <c r="B128" s="76" t="str">
        <f>VLOOKUP(G128,[1]NUTS_Europa!$A$2:$C$81,2,FALSE)</f>
        <v>FRD2</v>
      </c>
      <c r="C128" s="76">
        <f>VLOOKUP(G128,[1]NUTS_Europa!$A$2:$C$81,3,FALSE)</f>
        <v>271</v>
      </c>
      <c r="D128" s="76" t="str">
        <f>VLOOKUP(F128,[1]NUTS_Europa!$A$2:$C$81,2,FALSE)</f>
        <v>ES52</v>
      </c>
      <c r="E128" s="76">
        <f>VLOOKUP(F128,[1]NUTS_Europa!$A$2:$C$81,3,FALSE)</f>
        <v>1063</v>
      </c>
      <c r="F128" s="76">
        <v>56</v>
      </c>
      <c r="G128" s="76">
        <v>60</v>
      </c>
      <c r="H128" s="76">
        <v>178894.98727183545</v>
      </c>
      <c r="I128" s="76">
        <v>5298561.5591671756</v>
      </c>
      <c r="J128" s="78">
        <f t="shared" si="1"/>
        <v>407581.65839747502</v>
      </c>
      <c r="K128" s="79">
        <v>145035.59769143321</v>
      </c>
      <c r="L128" s="80">
        <v>77.990654205607484</v>
      </c>
      <c r="M128" s="80">
        <v>11.904369270095346</v>
      </c>
      <c r="N128" s="80">
        <v>1.9375932639899145</v>
      </c>
      <c r="O128" s="79">
        <v>323.56046511627909</v>
      </c>
      <c r="P128" s="80">
        <f t="shared" si="2"/>
        <v>1.9375932639899145</v>
      </c>
      <c r="Q128" s="80">
        <f t="shared" si="7"/>
        <v>91.832616739692739</v>
      </c>
      <c r="R128" s="79">
        <f t="shared" si="14"/>
        <v>323.56046511627909</v>
      </c>
      <c r="S128" s="78">
        <f t="shared" si="13"/>
        <v>178894.98727183545</v>
      </c>
      <c r="V128" s="76" t="str">
        <f>VLOOKUP(B128,NUTS_Europa!$B$2:$F$41,5,FALSE)</f>
        <v xml:space="preserve">Haute-Normandie </v>
      </c>
      <c r="W128" s="76" t="str">
        <f>VLOOKUP(C128,Puertos!$N$3:$O$27,2,FALSE)</f>
        <v>Lyon</v>
      </c>
      <c r="X128" s="76" t="str">
        <f>VLOOKUP(D128,NUTS_Europa!$B$2:$F$41,5,FALSE)</f>
        <v xml:space="preserve">Comunitat Valenciana </v>
      </c>
      <c r="Y128" s="76" t="str">
        <f>VLOOKUP(E128,Puertos!$N$3:$O$27,2,FALSE)</f>
        <v>Barcelona</v>
      </c>
    </row>
    <row r="129" spans="2:25" s="76" customFormat="1" x14ac:dyDescent="0.25">
      <c r="B129" s="76" t="str">
        <f>VLOOKUP(F129,[1]NUTS_Europa!$A$2:$C$81,2,FALSE)</f>
        <v>ES52</v>
      </c>
      <c r="C129" s="76">
        <f>VLOOKUP(F129,[1]NUTS_Europa!$A$2:$C$81,3,FALSE)</f>
        <v>1063</v>
      </c>
      <c r="D129" s="76" t="str">
        <f>VLOOKUP(G129,[1]NUTS_Europa!$A$2:$C$81,2,FALSE)</f>
        <v>ES62</v>
      </c>
      <c r="E129" s="76">
        <f>VLOOKUP(G129,[1]NUTS_Europa!$A$2:$C$81,3,FALSE)</f>
        <v>462</v>
      </c>
      <c r="F129" s="76">
        <v>56</v>
      </c>
      <c r="G129" s="76">
        <v>58</v>
      </c>
      <c r="H129" s="76">
        <v>1070616.0969089533</v>
      </c>
      <c r="I129" s="76">
        <v>4435764.1283202898</v>
      </c>
      <c r="J129" s="78">
        <f t="shared" si="1"/>
        <v>341212.62525540689</v>
      </c>
      <c r="K129" s="79">
        <v>163171.48832599766</v>
      </c>
      <c r="L129" s="80">
        <v>21.495327102803738</v>
      </c>
      <c r="M129" s="80">
        <v>8.9858408404568433</v>
      </c>
      <c r="N129" s="80">
        <v>4.9407811285803138</v>
      </c>
      <c r="O129" s="79">
        <v>975.13977739150903</v>
      </c>
      <c r="P129" s="80">
        <f t="shared" si="2"/>
        <v>4.9407811285803138</v>
      </c>
      <c r="Q129" s="80">
        <f t="shared" si="7"/>
        <v>35.421949071840899</v>
      </c>
      <c r="R129" s="79">
        <f t="shared" si="14"/>
        <v>975.13977739150903</v>
      </c>
      <c r="S129" s="78">
        <f t="shared" si="13"/>
        <v>1070616.0969089533</v>
      </c>
      <c r="V129" s="76" t="str">
        <f>VLOOKUP(B129,NUTS_Europa!$B$2:$F$41,5,FALSE)</f>
        <v xml:space="preserve">Comunitat Valenciana </v>
      </c>
      <c r="W129" s="76" t="str">
        <f>VLOOKUP(C129,Puertos!$N$3:$O$27,2,FALSE)</f>
        <v>Barcelona</v>
      </c>
      <c r="X129" s="76" t="str">
        <f>VLOOKUP(D129,NUTS_Europa!$B$2:$F$41,5,FALSE)</f>
        <v>Región de Murcia</v>
      </c>
      <c r="Y129" s="76" t="str">
        <f>VLOOKUP(E129,Puertos!$N$3:$O$27,2,FALSE)</f>
        <v>Málaga</v>
      </c>
    </row>
    <row r="130" spans="2:25" s="76" customFormat="1" x14ac:dyDescent="0.25">
      <c r="B130" s="76" t="str">
        <f>VLOOKUP(G130,[1]NUTS_Europa!$A$2:$C$81,2,FALSE)</f>
        <v>ES62</v>
      </c>
      <c r="C130" s="76">
        <f>VLOOKUP(G130,[1]NUTS_Europa!$A$2:$C$81,3,FALSE)</f>
        <v>462</v>
      </c>
      <c r="D130" s="76" t="str">
        <f>VLOOKUP(F130,[1]NUTS_Europa!$A$2:$C$81,2,FALSE)</f>
        <v>ES51</v>
      </c>
      <c r="E130" s="76">
        <f>VLOOKUP(F130,[1]NUTS_Europa!$A$2:$C$81,3,FALSE)</f>
        <v>1064</v>
      </c>
      <c r="F130" s="76">
        <v>55</v>
      </c>
      <c r="G130" s="76">
        <v>58</v>
      </c>
      <c r="H130" s="76">
        <v>1052995.6815304749</v>
      </c>
      <c r="I130" s="76">
        <v>716082.28318986262</v>
      </c>
      <c r="J130" s="78">
        <f t="shared" si="1"/>
        <v>55083.252553066355</v>
      </c>
      <c r="K130" s="79">
        <v>114203.52260471623</v>
      </c>
      <c r="L130" s="80">
        <v>15.560747663551403</v>
      </c>
      <c r="M130" s="80">
        <v>10.204496255262157</v>
      </c>
      <c r="N130" s="80">
        <v>4.9407811285803138</v>
      </c>
      <c r="O130" s="79">
        <v>975.13977739150903</v>
      </c>
      <c r="P130" s="80">
        <f t="shared" si="2"/>
        <v>4.9407811285803138</v>
      </c>
      <c r="Q130" s="80">
        <f t="shared" si="7"/>
        <v>30.706025047393872</v>
      </c>
      <c r="R130" s="79">
        <f t="shared" si="14"/>
        <v>975.13977739150903</v>
      </c>
      <c r="S130" s="78">
        <f t="shared" si="13"/>
        <v>1052995.6815304749</v>
      </c>
      <c r="V130" s="76" t="str">
        <f>VLOOKUP(B130,NUTS_Europa!$B$2:$F$41,5,FALSE)</f>
        <v>Región de Murcia</v>
      </c>
      <c r="W130" s="76" t="str">
        <f>VLOOKUP(C130,Puertos!$N$3:$O$27,2,FALSE)</f>
        <v>Málaga</v>
      </c>
      <c r="X130" s="76" t="str">
        <f>VLOOKUP(D130,NUTS_Europa!$B$2:$F$41,5,FALSE)</f>
        <v>Cataluña</v>
      </c>
      <c r="Y130" s="76" t="str">
        <f>VLOOKUP(E130,Puertos!$N$3:$O$27,2,FALSE)</f>
        <v>Valencia</v>
      </c>
    </row>
    <row r="131" spans="2:25" s="76" customFormat="1" x14ac:dyDescent="0.25">
      <c r="B131" s="76" t="str">
        <f>VLOOKUP(F131,[1]NUTS_Europa!$A$2:$C$81,2,FALSE)</f>
        <v>ES51</v>
      </c>
      <c r="C131" s="76">
        <f>VLOOKUP(F131,[1]NUTS_Europa!$A$2:$C$81,3,FALSE)</f>
        <v>1064</v>
      </c>
      <c r="D131" s="76" t="str">
        <f>VLOOKUP(G131,[1]NUTS_Europa!$A$2:$C$81,2,FALSE)</f>
        <v>FRH0</v>
      </c>
      <c r="E131" s="76">
        <f>VLOOKUP(G131,[1]NUTS_Europa!$A$2:$C$81,3,FALSE)</f>
        <v>282</v>
      </c>
      <c r="F131" s="76">
        <v>55</v>
      </c>
      <c r="G131" s="76">
        <v>63</v>
      </c>
      <c r="H131" s="76">
        <v>538094.2443695151</v>
      </c>
      <c r="I131" s="76">
        <v>1358214.8187077369</v>
      </c>
      <c r="J131" s="78">
        <f t="shared" si="1"/>
        <v>104478.06297751822</v>
      </c>
      <c r="K131" s="79">
        <v>127001.21695280854</v>
      </c>
      <c r="L131" s="80">
        <v>58.739205607476642</v>
      </c>
      <c r="M131" s="80">
        <v>11.519051603797942</v>
      </c>
      <c r="N131" s="80">
        <v>4.5523853380799331</v>
      </c>
      <c r="O131" s="79">
        <v>760.20697674418614</v>
      </c>
      <c r="P131" s="80">
        <f t="shared" si="2"/>
        <v>4.5523853380799331</v>
      </c>
      <c r="Q131" s="80">
        <f t="shared" si="7"/>
        <v>74.810642549354526</v>
      </c>
      <c r="R131" s="79">
        <f t="shared" si="14"/>
        <v>760.20697674418614</v>
      </c>
      <c r="S131" s="78">
        <f t="shared" si="13"/>
        <v>538094.2443695151</v>
      </c>
      <c r="V131" s="76" t="str">
        <f>VLOOKUP(B131,NUTS_Europa!$B$2:$F$41,5,FALSE)</f>
        <v>Cataluña</v>
      </c>
      <c r="W131" s="76" t="str">
        <f>VLOOKUP(C131,Puertos!$N$3:$O$27,2,FALSE)</f>
        <v>Valencia</v>
      </c>
      <c r="X131" s="76" t="str">
        <f>VLOOKUP(D131,NUTS_Europa!$B$2:$F$41,5,FALSE)</f>
        <v>Bretagne</v>
      </c>
      <c r="Y131" s="76" t="str">
        <f>VLOOKUP(E131,Puertos!$N$3:$O$27,2,FALSE)</f>
        <v>Saint Nazaire</v>
      </c>
    </row>
    <row r="132" spans="2:25" s="76" customFormat="1" x14ac:dyDescent="0.25">
      <c r="B132" s="76" t="str">
        <f>VLOOKUP(G132,[1]NUTS_Europa!$A$2:$C$81,2,FALSE)</f>
        <v>FRH0</v>
      </c>
      <c r="C132" s="76">
        <f>VLOOKUP(G132,[1]NUTS_Europa!$A$2:$C$81,3,FALSE)</f>
        <v>282</v>
      </c>
      <c r="D132" s="76" t="str">
        <f>VLOOKUP(F132,[1]NUTS_Europa!$A$2:$C$81,2,FALSE)</f>
        <v>NL34</v>
      </c>
      <c r="E132" s="76">
        <f>VLOOKUP(F132,[1]NUTS_Europa!$A$2:$C$81,3,FALSE)</f>
        <v>250</v>
      </c>
      <c r="F132" s="76">
        <v>34</v>
      </c>
      <c r="G132" s="76">
        <v>63</v>
      </c>
      <c r="H132" s="76">
        <v>349813.28227254003</v>
      </c>
      <c r="I132" s="76">
        <v>910473.59379511338</v>
      </c>
      <c r="K132" s="79">
        <v>135416.16142478216</v>
      </c>
      <c r="L132" s="76">
        <v>16.962616822429908</v>
      </c>
      <c r="M132" s="76">
        <v>12.958029836795884</v>
      </c>
      <c r="N132" s="76">
        <v>5.2529984773474236</v>
      </c>
      <c r="O132" s="76">
        <v>760.20697674418614</v>
      </c>
    </row>
    <row r="133" spans="2:25" s="76" customFormat="1" x14ac:dyDescent="0.25">
      <c r="B133" s="76" t="str">
        <f>VLOOKUP(F133,[1]NUTS_Europa!$A$2:$C$81,2,FALSE)</f>
        <v>NL34</v>
      </c>
      <c r="C133" s="76">
        <f>VLOOKUP(F133,[1]NUTS_Europa!$A$2:$C$81,3,FALSE)</f>
        <v>250</v>
      </c>
      <c r="D133" s="76" t="str">
        <f>VLOOKUP(G133,[1]NUTS_Europa!$A$2:$C$81,2,FALSE)</f>
        <v>PT16</v>
      </c>
      <c r="E133" s="76">
        <f>VLOOKUP(G133,[1]NUTS_Europa!$A$2:$C$81,3,FALSE)</f>
        <v>111</v>
      </c>
      <c r="F133" s="76">
        <v>34</v>
      </c>
      <c r="G133" s="76">
        <v>38</v>
      </c>
      <c r="H133" s="76">
        <v>1294675.8871395176</v>
      </c>
      <c r="I133" s="76">
        <v>1297737.8806143082</v>
      </c>
      <c r="K133" s="76">
        <v>199058.85825050285</v>
      </c>
      <c r="L133" s="76">
        <v>45.038317757009352</v>
      </c>
      <c r="M133" s="76">
        <v>11.238684927632169</v>
      </c>
      <c r="N133" s="76">
        <v>19.174507279672543</v>
      </c>
      <c r="O133" s="76">
        <v>3201.9684466753083</v>
      </c>
    </row>
    <row r="134" spans="2:25" s="76" customFormat="1" x14ac:dyDescent="0.25">
      <c r="B134" s="76" t="str">
        <f>VLOOKUP(G134,[1]NUTS_Europa!$A$2:$C$81,2,FALSE)</f>
        <v>PT16</v>
      </c>
      <c r="C134" s="76">
        <f>VLOOKUP(G134,[1]NUTS_Europa!$A$2:$C$81,3,FALSE)</f>
        <v>111</v>
      </c>
      <c r="D134" s="76" t="str">
        <f>VLOOKUP(F134,[1]NUTS_Europa!$A$2:$C$81,2,FALSE)</f>
        <v>NL41</v>
      </c>
      <c r="E134" s="76">
        <f>VLOOKUP(F134,[1]NUTS_Europa!$A$2:$C$81,3,FALSE)</f>
        <v>253</v>
      </c>
      <c r="F134" s="76">
        <v>35</v>
      </c>
      <c r="G134" s="76">
        <v>38</v>
      </c>
      <c r="H134" s="76">
        <v>984192.10701631045</v>
      </c>
      <c r="I134" s="76">
        <v>1176681.3835260358</v>
      </c>
      <c r="K134" s="76">
        <v>122072.63094995193</v>
      </c>
      <c r="L134" s="76">
        <v>45.088785046728972</v>
      </c>
      <c r="M134" s="76">
        <v>9.5649720362670134</v>
      </c>
      <c r="N134" s="76">
        <v>19.174507279672543</v>
      </c>
      <c r="O134" s="76">
        <v>3201.9684466753083</v>
      </c>
    </row>
    <row r="135" spans="2:25" s="76" customFormat="1" x14ac:dyDescent="0.25">
      <c r="B135" s="76" t="str">
        <f>VLOOKUP(F135,[1]NUTS_Europa!$A$2:$C$81,2,FALSE)</f>
        <v>NL41</v>
      </c>
      <c r="C135" s="76">
        <f>VLOOKUP(F135,[1]NUTS_Europa!$A$2:$C$81,3,FALSE)</f>
        <v>253</v>
      </c>
      <c r="D135" s="76" t="str">
        <f>VLOOKUP(G135,[1]NUTS_Europa!$A$2:$C$81,2,FALSE)</f>
        <v>PT11</v>
      </c>
      <c r="E135" s="76">
        <f>VLOOKUP(G135,[1]NUTS_Europa!$A$2:$C$81,3,FALSE)</f>
        <v>111</v>
      </c>
      <c r="F135" s="76">
        <v>35</v>
      </c>
      <c r="G135" s="76">
        <v>36</v>
      </c>
      <c r="H135" s="76">
        <v>1089296.7212784274</v>
      </c>
      <c r="I135" s="76">
        <v>1176681.3835260358</v>
      </c>
      <c r="K135" s="76">
        <v>163029.68053166996</v>
      </c>
      <c r="L135" s="76">
        <v>45.088785046728972</v>
      </c>
      <c r="M135" s="76">
        <v>9.5649720362670134</v>
      </c>
      <c r="N135" s="76">
        <v>19.174507279672543</v>
      </c>
      <c r="O135" s="76">
        <v>3201.9684466753083</v>
      </c>
    </row>
    <row r="136" spans="2:25" s="76" customFormat="1" x14ac:dyDescent="0.25">
      <c r="B136" s="76" t="str">
        <f>VLOOKUP(G136,[1]NUTS_Europa!$A$2:$C$81,2,FALSE)</f>
        <v>PT11</v>
      </c>
      <c r="C136" s="76">
        <f>VLOOKUP(G136,[1]NUTS_Europa!$A$2:$C$81,3,FALSE)</f>
        <v>111</v>
      </c>
      <c r="D136" s="76" t="str">
        <f>VLOOKUP(F136,[1]NUTS_Europa!$A$2:$C$81,2,FALSE)</f>
        <v>NL33</v>
      </c>
      <c r="E136" s="76">
        <f>VLOOKUP(F136,[1]NUTS_Europa!$A$2:$C$81,3,FALSE)</f>
        <v>250</v>
      </c>
      <c r="F136" s="76">
        <v>33</v>
      </c>
      <c r="G136" s="76">
        <v>36</v>
      </c>
      <c r="H136" s="76">
        <v>1049992.3451373091</v>
      </c>
      <c r="I136" s="76">
        <v>1297737.8806143082</v>
      </c>
      <c r="K136" s="76">
        <v>159445.52860932166</v>
      </c>
      <c r="L136" s="76">
        <v>45.038317757009352</v>
      </c>
      <c r="M136" s="76">
        <v>11.238684927632169</v>
      </c>
      <c r="N136" s="76">
        <v>19.174507279672543</v>
      </c>
      <c r="O136" s="76">
        <v>3201.9684466753083</v>
      </c>
    </row>
    <row r="137" spans="2:25" s="76" customFormat="1" x14ac:dyDescent="0.25">
      <c r="B137" s="76" t="str">
        <f>VLOOKUP(F137,[1]NUTS_Europa!$A$2:$C$81,2,FALSE)</f>
        <v>NL33</v>
      </c>
      <c r="C137" s="76">
        <f>VLOOKUP(F137,[1]NUTS_Europa!$A$2:$C$81,3,FALSE)</f>
        <v>250</v>
      </c>
      <c r="D137" s="76" t="str">
        <f>VLOOKUP(G137,[1]NUTS_Europa!$A$2:$C$81,2,FALSE)</f>
        <v>PT18</v>
      </c>
      <c r="E137" s="76">
        <f>VLOOKUP(G137,[1]NUTS_Europa!$A$2:$C$81,3,FALSE)</f>
        <v>1065</v>
      </c>
      <c r="F137" s="76">
        <v>33</v>
      </c>
      <c r="G137" s="76">
        <v>40</v>
      </c>
      <c r="H137" s="76">
        <v>2541416.7847597827</v>
      </c>
      <c r="I137" s="76">
        <v>1504548.9503004611</v>
      </c>
      <c r="K137" s="76">
        <v>137713.62258431225</v>
      </c>
      <c r="L137" s="76">
        <v>54.47476635514019</v>
      </c>
      <c r="M137" s="76">
        <v>13.541672621466873</v>
      </c>
      <c r="N137" s="76">
        <v>48.072875286453709</v>
      </c>
      <c r="O137" s="76">
        <v>8027.7332586984066</v>
      </c>
    </row>
    <row r="138" spans="2:25" s="76" customFormat="1" x14ac:dyDescent="0.25">
      <c r="B138" s="76" t="str">
        <f>VLOOKUP(G138,[1]NUTS_Europa!$A$2:$C$81,2,FALSE)</f>
        <v>PT18</v>
      </c>
      <c r="C138" s="76">
        <f>VLOOKUP(G138,[1]NUTS_Europa!$A$2:$C$81,3,FALSE)</f>
        <v>1065</v>
      </c>
      <c r="D138" s="76" t="str">
        <f>VLOOKUP(F138,[1]NUTS_Europa!$A$2:$C$81,2,FALSE)</f>
        <v>ES52</v>
      </c>
      <c r="E138" s="76">
        <f>VLOOKUP(F138,[1]NUTS_Europa!$A$2:$C$81,3,FALSE)</f>
        <v>1064</v>
      </c>
      <c r="F138" s="76">
        <v>16</v>
      </c>
      <c r="G138" s="76">
        <v>40</v>
      </c>
      <c r="H138" s="76">
        <v>2437577.6010879078</v>
      </c>
      <c r="I138" s="76">
        <v>929320.59275904903</v>
      </c>
      <c r="K138" s="76">
        <v>117923.68175590989</v>
      </c>
      <c r="L138" s="76">
        <v>26.92196261682243</v>
      </c>
      <c r="M138" s="76">
        <v>12.10269438846893</v>
      </c>
      <c r="N138" s="76">
        <v>40.67444884255729</v>
      </c>
      <c r="O138" s="76">
        <v>8027.7332586984066</v>
      </c>
    </row>
    <row r="139" spans="2:25" s="76" customFormat="1" x14ac:dyDescent="0.25">
      <c r="B139" s="76" t="str">
        <f>VLOOKUP(G139,[1]NUTS_Europa!$A$2:$C$81,2,FALSE)</f>
        <v>ES52</v>
      </c>
      <c r="C139" s="76">
        <f>VLOOKUP(G139,[1]NUTS_Europa!$A$2:$C$81,3,FALSE)</f>
        <v>1064</v>
      </c>
      <c r="D139" s="76" t="str">
        <f>VLOOKUP(F139,[1]NUTS_Europa!$A$2:$C$81,2,FALSE)</f>
        <v>ES51</v>
      </c>
      <c r="E139" s="76">
        <f>VLOOKUP(F139,[1]NUTS_Europa!$A$2:$C$81,3,FALSE)</f>
        <v>1063</v>
      </c>
      <c r="F139" s="76">
        <v>15</v>
      </c>
      <c r="G139" s="76">
        <v>16</v>
      </c>
      <c r="H139" s="76">
        <v>2946788.4388877219</v>
      </c>
      <c r="I139" s="76">
        <v>4232832.0079839891</v>
      </c>
      <c r="K139" s="76">
        <v>135416.16142478216</v>
      </c>
      <c r="L139" s="76">
        <v>7.5700934579439254</v>
      </c>
      <c r="M139" s="76">
        <v>9.1742284846152842</v>
      </c>
      <c r="N139" s="76">
        <v>57.77573108619324</v>
      </c>
      <c r="O139" s="76">
        <v>11402.936516277287</v>
      </c>
    </row>
    <row r="140" spans="2:25" s="76" customFormat="1" x14ac:dyDescent="0.25">
      <c r="B140" s="76" t="str">
        <f>VLOOKUP(F140,[1]NUTS_Europa!$A$2:$C$81,2,FALSE)</f>
        <v>ES51</v>
      </c>
      <c r="C140" s="76">
        <f>VLOOKUP(F140,[1]NUTS_Europa!$A$2:$C$81,3,FALSE)</f>
        <v>1063</v>
      </c>
      <c r="D140" s="76" t="str">
        <f>VLOOKUP(G140,[1]NUTS_Europa!$A$2:$C$81,2,FALSE)</f>
        <v>PT15</v>
      </c>
      <c r="E140" s="76">
        <f>VLOOKUP(G140,[1]NUTS_Europa!$A$2:$C$81,3,FALSE)</f>
        <v>1065</v>
      </c>
      <c r="F140" s="76">
        <v>15</v>
      </c>
      <c r="G140" s="76">
        <v>37</v>
      </c>
      <c r="H140" s="76">
        <v>3423760.792866671</v>
      </c>
      <c r="I140" s="76">
        <v>4718076.0643160585</v>
      </c>
      <c r="K140" s="76">
        <v>123614.25510828695</v>
      </c>
      <c r="L140" s="76">
        <v>37.336448598130843</v>
      </c>
      <c r="M140" s="76">
        <v>10.884038973663616</v>
      </c>
      <c r="N140" s="76">
        <v>40.67444884255729</v>
      </c>
      <c r="O140" s="76">
        <v>8027.7332586984066</v>
      </c>
    </row>
    <row r="141" spans="2:25" s="76" customFormat="1" x14ac:dyDescent="0.25">
      <c r="B141" s="76" t="str">
        <f>VLOOKUP(F141,[1]NUTS_Europa!$A$2:$C$81,2,FALSE)</f>
        <v>PT15</v>
      </c>
      <c r="C141" s="76">
        <f>VLOOKUP(F141,[1]NUTS_Europa!$A$2:$C$81,3,FALSE)</f>
        <v>1065</v>
      </c>
      <c r="D141" s="76" t="str">
        <f>VLOOKUP(G141,[1]NUTS_Europa!$A$2:$C$81,2,FALSE)</f>
        <v>PT17</v>
      </c>
      <c r="E141" s="76">
        <f>VLOOKUP(G141,[1]NUTS_Europa!$A$2:$C$81,3,FALSE)</f>
        <v>294</v>
      </c>
      <c r="F141" s="76">
        <v>37</v>
      </c>
      <c r="G141" s="76">
        <v>39</v>
      </c>
      <c r="H141" s="76">
        <v>1040547.5162789753</v>
      </c>
      <c r="I141" s="76">
        <v>557959.81695527548</v>
      </c>
      <c r="K141" s="76">
        <v>507158.32774652442</v>
      </c>
      <c r="L141" s="76">
        <v>2.1028037383177574</v>
      </c>
      <c r="M141" s="76">
        <v>11.102880786778311</v>
      </c>
      <c r="N141" s="76">
        <v>16.223546246838538</v>
      </c>
      <c r="O141" s="76">
        <v>3201.9684466753083</v>
      </c>
    </row>
    <row r="142" spans="2:25" s="76" customFormat="1" x14ac:dyDescent="0.25">
      <c r="B142" s="76" t="str">
        <f>VLOOKUP(G142,[1]NUTS_Europa!$A$2:$C$81,2,FALSE)</f>
        <v>PT17</v>
      </c>
      <c r="C142" s="76">
        <f>VLOOKUP(G142,[1]NUTS_Europa!$A$2:$C$81,3,FALSE)</f>
        <v>294</v>
      </c>
      <c r="D142" s="76" t="str">
        <f>VLOOKUP(F142,[1]NUTS_Europa!$A$2:$C$81,2,FALSE)</f>
        <v>FRJ1</v>
      </c>
      <c r="E142" s="76">
        <f>VLOOKUP(F142,[1]NUTS_Europa!$A$2:$C$81,3,FALSE)</f>
        <v>1063</v>
      </c>
      <c r="F142" s="76">
        <v>26</v>
      </c>
      <c r="G142" s="76">
        <v>39</v>
      </c>
      <c r="H142" s="76">
        <v>1689922.0173776895</v>
      </c>
      <c r="I142" s="76">
        <v>4671856.52071907</v>
      </c>
      <c r="K142" s="76">
        <v>137713.62258431225</v>
      </c>
      <c r="L142" s="76">
        <v>38.037383177570099</v>
      </c>
      <c r="M142" s="76">
        <v>8.1744148829246637</v>
      </c>
      <c r="N142" s="76">
        <v>16.223546246838538</v>
      </c>
      <c r="O142" s="76">
        <v>3201.9684466753083</v>
      </c>
    </row>
    <row r="143" spans="2:25" s="76" customFormat="1" x14ac:dyDescent="0.25">
      <c r="B143" s="76" t="str">
        <f>VLOOKUP(F143,[1]NUTS_Europa!$A$2:$C$81,2,FALSE)</f>
        <v>FRJ1</v>
      </c>
      <c r="C143" s="76">
        <f>VLOOKUP(F143,[1]NUTS_Europa!$A$2:$C$81,3,FALSE)</f>
        <v>1063</v>
      </c>
      <c r="D143" s="76" t="str">
        <f>VLOOKUP(G143,[1]NUTS_Europa!$A$2:$C$81,2,FALSE)</f>
        <v>FRJ2</v>
      </c>
      <c r="E143" s="76">
        <f>VLOOKUP(G143,[1]NUTS_Europa!$A$2:$C$81,3,FALSE)</f>
        <v>283</v>
      </c>
      <c r="F143" s="76">
        <v>26</v>
      </c>
      <c r="G143" s="76">
        <v>28</v>
      </c>
      <c r="H143" s="76">
        <v>2153678.672634393</v>
      </c>
      <c r="I143" s="76">
        <v>5174079.7605383052</v>
      </c>
      <c r="K143" s="76">
        <v>142841.86171918266</v>
      </c>
      <c r="L143" s="76">
        <v>72.137242990654215</v>
      </c>
      <c r="M143" s="76">
        <v>10.537756813991161</v>
      </c>
      <c r="N143" s="76">
        <v>11.112849147057497</v>
      </c>
      <c r="O143" s="76">
        <v>2110.3462423469391</v>
      </c>
    </row>
    <row r="144" spans="2:25" s="76" customFormat="1" x14ac:dyDescent="0.25">
      <c r="B144" s="76" t="str">
        <f>VLOOKUP(G144,[1]NUTS_Europa!$A$2:$C$81,2,FALSE)</f>
        <v>FRJ2</v>
      </c>
      <c r="C144" s="76">
        <f>VLOOKUP(G144,[1]NUTS_Europa!$A$2:$C$81,3,FALSE)</f>
        <v>283</v>
      </c>
      <c r="D144" s="76" t="str">
        <f>VLOOKUP(F144,[1]NUTS_Europa!$A$2:$C$81,2,FALSE)</f>
        <v>FRF2</v>
      </c>
      <c r="E144" s="76">
        <f>VLOOKUP(F144,[1]NUTS_Europa!$A$2:$C$81,3,FALSE)</f>
        <v>269</v>
      </c>
      <c r="F144" s="76">
        <v>27</v>
      </c>
      <c r="G144" s="76">
        <v>28</v>
      </c>
      <c r="H144" s="76">
        <v>1753032.6336444276</v>
      </c>
      <c r="I144" s="76">
        <v>891080.16048730002</v>
      </c>
      <c r="K144" s="76">
        <v>176841.96373917855</v>
      </c>
      <c r="L144" s="76">
        <v>21.635514018691591</v>
      </c>
      <c r="M144" s="76">
        <v>13.507302444913943</v>
      </c>
      <c r="N144" s="76">
        <v>13.0577619813547</v>
      </c>
      <c r="O144" s="76">
        <v>2110.3462423469391</v>
      </c>
    </row>
    <row r="145" spans="2:18" s="76" customFormat="1" x14ac:dyDescent="0.25">
      <c r="B145" s="76" t="str">
        <f>VLOOKUP(F145,[1]NUTS_Europa!$A$2:$C$81,2,FALSE)</f>
        <v>FRF2</v>
      </c>
      <c r="C145" s="76">
        <f>VLOOKUP(F145,[1]NUTS_Europa!$A$2:$C$81,3,FALSE)</f>
        <v>269</v>
      </c>
      <c r="D145" s="76" t="str">
        <f>VLOOKUP(G145,[1]NUTS_Europa!$A$2:$C$81,2,FALSE)</f>
        <v>FRG0</v>
      </c>
      <c r="E145" s="76">
        <f>VLOOKUP(G145,[1]NUTS_Europa!$A$2:$C$81,3,FALSE)</f>
        <v>283</v>
      </c>
      <c r="F145" s="76">
        <v>27</v>
      </c>
      <c r="G145" s="76">
        <v>62</v>
      </c>
      <c r="H145" s="76">
        <v>1259815.1719605552</v>
      </c>
      <c r="I145" s="76">
        <v>891080.16048730002</v>
      </c>
      <c r="K145" s="76">
        <v>141512.315270936</v>
      </c>
      <c r="L145" s="76">
        <v>21.635514018691591</v>
      </c>
      <c r="M145" s="76">
        <v>13.507302444913943</v>
      </c>
      <c r="N145" s="76">
        <v>13.0577619813547</v>
      </c>
      <c r="O145" s="76">
        <v>2110.3462423469391</v>
      </c>
    </row>
    <row r="146" spans="2:18" s="76" customFormat="1" x14ac:dyDescent="0.25">
      <c r="B146" s="76" t="str">
        <f>VLOOKUP(G146,[1]NUTS_Europa!$A$2:$C$81,2,FALSE)</f>
        <v>FRG0</v>
      </c>
      <c r="C146" s="76">
        <f>VLOOKUP(G146,[1]NUTS_Europa!$A$2:$C$81,3,FALSE)</f>
        <v>283</v>
      </c>
      <c r="D146" s="76" t="str">
        <f>VLOOKUP(F146,[1]NUTS_Europa!$A$2:$C$81,2,FALSE)</f>
        <v>FRI2</v>
      </c>
      <c r="E146" s="76">
        <f>VLOOKUP(F146,[1]NUTS_Europa!$A$2:$C$81,3,FALSE)</f>
        <v>269</v>
      </c>
      <c r="F146" s="76">
        <v>29</v>
      </c>
      <c r="G146" s="76">
        <v>62</v>
      </c>
      <c r="H146" s="76">
        <v>1270898.7104253613</v>
      </c>
      <c r="I146" s="76">
        <v>891080.16048730002</v>
      </c>
      <c r="K146" s="76">
        <v>118487.95435333898</v>
      </c>
      <c r="L146" s="76">
        <v>21.635514018691591</v>
      </c>
      <c r="M146" s="76">
        <v>13.507302444913943</v>
      </c>
      <c r="N146" s="76">
        <v>13.0577619813547</v>
      </c>
      <c r="O146" s="76">
        <v>2110.3462423469391</v>
      </c>
    </row>
    <row r="147" spans="2:18" s="76" customFormat="1" x14ac:dyDescent="0.25">
      <c r="B147" s="76" t="str">
        <f>VLOOKUP(F147,[1]NUTS_Europa!$A$2:$C$81,2,FALSE)</f>
        <v>FRI2</v>
      </c>
      <c r="C147" s="76">
        <f>VLOOKUP(F147,[1]NUTS_Europa!$A$2:$C$81,3,FALSE)</f>
        <v>269</v>
      </c>
      <c r="D147" s="76" t="str">
        <f>VLOOKUP(G147,[1]NUTS_Europa!$A$2:$C$81,2,FALSE)</f>
        <v>NL12</v>
      </c>
      <c r="E147" s="76">
        <f>VLOOKUP(G147,[1]NUTS_Europa!$A$2:$C$81,3,FALSE)</f>
        <v>218</v>
      </c>
      <c r="F147" s="76">
        <v>29</v>
      </c>
      <c r="G147" s="76">
        <v>31</v>
      </c>
      <c r="H147" s="76">
        <v>2546416.4030488646</v>
      </c>
      <c r="I147" s="76">
        <v>878693.77621181333</v>
      </c>
      <c r="K147" s="76">
        <v>154854.30087154222</v>
      </c>
      <c r="L147" s="76">
        <v>12.850467289719626</v>
      </c>
      <c r="M147" s="76">
        <v>11.980580599473099</v>
      </c>
      <c r="N147" s="76">
        <v>29.92312130676439</v>
      </c>
      <c r="O147" s="76">
        <v>5283.3813751893604</v>
      </c>
    </row>
    <row r="148" spans="2:18" s="76" customFormat="1" x14ac:dyDescent="0.25">
      <c r="B148" s="76" t="str">
        <f>VLOOKUP(G148,[1]NUTS_Europa!$A$2:$C$81,2,FALSE)</f>
        <v>NL12</v>
      </c>
      <c r="C148" s="76">
        <f>VLOOKUP(G148,[1]NUTS_Europa!$A$2:$C$81,3,FALSE)</f>
        <v>218</v>
      </c>
      <c r="D148" s="76" t="str">
        <f>VLOOKUP(F148,[1]NUTS_Europa!$A$2:$C$81,2,FALSE)</f>
        <v>DE93</v>
      </c>
      <c r="E148" s="76">
        <f>VLOOKUP(F148,[1]NUTS_Europa!$A$2:$C$81,3,FALSE)</f>
        <v>1069</v>
      </c>
      <c r="F148" s="76">
        <v>7</v>
      </c>
      <c r="G148" s="76">
        <v>31</v>
      </c>
      <c r="H148" s="76">
        <v>1411182.1000128717</v>
      </c>
      <c r="I148" s="76">
        <v>803399.62703673262</v>
      </c>
      <c r="K148" s="76">
        <v>163171.48832599766</v>
      </c>
      <c r="L148" s="76">
        <v>12.615420560747665</v>
      </c>
      <c r="M148" s="76">
        <v>10.381540570030488</v>
      </c>
      <c r="N148" s="76">
        <v>25.053912624844571</v>
      </c>
      <c r="O148" s="76">
        <v>5283.3813751893604</v>
      </c>
    </row>
    <row r="149" spans="2:18" s="76" customFormat="1" x14ac:dyDescent="0.25">
      <c r="B149" s="76" t="str">
        <f>VLOOKUP(F149,[1]NUTS_Europa!$A$2:$C$81,2,FALSE)</f>
        <v>DE93</v>
      </c>
      <c r="C149" s="76">
        <f>VLOOKUP(F149,[1]NUTS_Europa!$A$2:$C$81,3,FALSE)</f>
        <v>1069</v>
      </c>
      <c r="D149" s="76" t="str">
        <f>VLOOKUP(G149,[1]NUTS_Europa!$A$2:$C$81,2,FALSE)</f>
        <v>NL32</v>
      </c>
      <c r="E149" s="76">
        <f>VLOOKUP(G149,[1]NUTS_Europa!$A$2:$C$81,3,FALSE)</f>
        <v>218</v>
      </c>
      <c r="F149" s="76">
        <v>7</v>
      </c>
      <c r="G149" s="76">
        <v>32</v>
      </c>
      <c r="H149" s="76">
        <v>594687.81395297032</v>
      </c>
      <c r="I149" s="76">
        <v>803399.62703673262</v>
      </c>
      <c r="K149" s="76">
        <v>199058.85825050285</v>
      </c>
      <c r="L149" s="76">
        <v>12.615420560747665</v>
      </c>
      <c r="M149" s="76">
        <v>10.381540570030488</v>
      </c>
      <c r="N149" s="76">
        <v>25.053912624844571</v>
      </c>
      <c r="O149" s="76">
        <v>5283.3813751893604</v>
      </c>
    </row>
    <row r="150" spans="2:18" s="76" customFormat="1" x14ac:dyDescent="0.25">
      <c r="B150" s="76" t="str">
        <f>VLOOKUP(G150,[1]NUTS_Europa!$A$2:$C$81,2,FALSE)</f>
        <v>NL32</v>
      </c>
      <c r="C150" s="76">
        <f>VLOOKUP(G150,[1]NUTS_Europa!$A$2:$C$81,3,FALSE)</f>
        <v>218</v>
      </c>
      <c r="D150" s="76" t="str">
        <f>VLOOKUP(F150,[1]NUTS_Europa!$A$2:$C$81,2,FALSE)</f>
        <v>BE21</v>
      </c>
      <c r="E150" s="76">
        <f>VLOOKUP(F150,[1]NUTS_Europa!$A$2:$C$81,3,FALSE)</f>
        <v>253</v>
      </c>
      <c r="F150" s="76">
        <v>1</v>
      </c>
      <c r="G150" s="76">
        <v>32</v>
      </c>
      <c r="H150" s="76">
        <v>475612.14405190101</v>
      </c>
      <c r="I150" s="76">
        <v>748236.21343443939</v>
      </c>
      <c r="K150" s="76">
        <v>198656.28734660565</v>
      </c>
      <c r="L150" s="76">
        <v>8.364018691588786</v>
      </c>
      <c r="M150" s="76">
        <v>9.9949557249884151</v>
      </c>
      <c r="N150" s="76">
        <v>29.92312130676439</v>
      </c>
      <c r="O150" s="76">
        <v>5283.3813751893604</v>
      </c>
    </row>
    <row r="151" spans="2:18" s="76" customFormat="1" x14ac:dyDescent="0.25"/>
    <row r="152" spans="2:18" x14ac:dyDescent="0.25">
      <c r="R152" s="48"/>
    </row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0812-27D5-461E-9B64-7F0F889C5389}">
  <dimension ref="B1:AB136"/>
  <sheetViews>
    <sheetView topLeftCell="C76" workbookViewId="0">
      <selection activeCell="Z133" sqref="Z133"/>
    </sheetView>
  </sheetViews>
  <sheetFormatPr baseColWidth="10" defaultColWidth="9.140625" defaultRowHeight="15" x14ac:dyDescent="0.25"/>
  <cols>
    <col min="6" max="7" width="5" bestFit="1" customWidth="1"/>
    <col min="8" max="9" width="14.7109375" bestFit="1" customWidth="1"/>
    <col min="10" max="10" width="12.28515625" bestFit="1" customWidth="1"/>
    <col min="11" max="12" width="11.7109375" bestFit="1" customWidth="1"/>
    <col min="13" max="13" width="13.7109375" bestFit="1" customWidth="1"/>
    <col min="14" max="14" width="11.7109375" bestFit="1" customWidth="1"/>
    <col min="17" max="17" width="12.28515625" bestFit="1" customWidth="1"/>
    <col min="18" max="18" width="5" bestFit="1" customWidth="1"/>
    <col min="19" max="21" width="13.85546875" bestFit="1" customWidth="1"/>
  </cols>
  <sheetData>
    <row r="1" spans="2:14" x14ac:dyDescent="0.25">
      <c r="H1" t="s">
        <v>141</v>
      </c>
    </row>
    <row r="3" spans="2:14" x14ac:dyDescent="0.25">
      <c r="B3" t="s">
        <v>134</v>
      </c>
      <c r="C3" t="s">
        <v>135</v>
      </c>
      <c r="D3" t="s">
        <v>131</v>
      </c>
      <c r="E3" t="s">
        <v>136</v>
      </c>
      <c r="F3" t="s">
        <v>39</v>
      </c>
      <c r="G3" t="s">
        <v>40</v>
      </c>
      <c r="H3" t="s">
        <v>137</v>
      </c>
      <c r="I3" t="s">
        <v>133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71" customFormat="1" x14ac:dyDescent="0.25">
      <c r="B4" s="71" t="str">
        <f>VLOOKUP(F4,[1]NUTS_Europa!$A$2:$C$81,2,FALSE)</f>
        <v>BE21</v>
      </c>
      <c r="C4" s="71">
        <f>VLOOKUP(F4,[1]NUTS_Europa!$A$2:$C$81,3,FALSE)</f>
        <v>253</v>
      </c>
      <c r="D4" s="71" t="str">
        <f>VLOOKUP(G4,[1]NUTS_Europa!$A$2:$C$81,2,FALSE)</f>
        <v>BE25</v>
      </c>
      <c r="E4" s="71">
        <f>VLOOKUP(G4,[1]NUTS_Europa!$A$2:$C$81,3,FALSE)</f>
        <v>235</v>
      </c>
      <c r="F4" s="71">
        <v>1</v>
      </c>
      <c r="G4" s="71">
        <v>3</v>
      </c>
      <c r="H4" s="72">
        <v>321056.31181180733</v>
      </c>
      <c r="I4" s="72">
        <v>451647.09967142105</v>
      </c>
      <c r="J4" s="71">
        <v>135416.16142478216</v>
      </c>
      <c r="K4" s="71">
        <v>5.8785046728971961</v>
      </c>
      <c r="L4" s="71">
        <v>13.081564414750414</v>
      </c>
      <c r="M4" s="71">
        <v>10.227627549015152</v>
      </c>
      <c r="N4" s="71">
        <v>1705.3756088534108</v>
      </c>
    </row>
    <row r="5" spans="2:14" s="71" customFormat="1" x14ac:dyDescent="0.25">
      <c r="B5" s="71" t="str">
        <f>VLOOKUP(F5,[1]NUTS_Europa!$A$2:$C$81,2,FALSE)</f>
        <v>BE21</v>
      </c>
      <c r="C5" s="71">
        <f>VLOOKUP(F5,[1]NUTS_Europa!$A$2:$C$81,3,FALSE)</f>
        <v>253</v>
      </c>
      <c r="D5" s="71" t="str">
        <f>VLOOKUP(G5,[1]NUTS_Europa!$A$2:$C$81,2,FALSE)</f>
        <v>NL12</v>
      </c>
      <c r="E5" s="71">
        <f>VLOOKUP(G5,[1]NUTS_Europa!$A$2:$C$81,3,FALSE)</f>
        <v>218</v>
      </c>
      <c r="F5" s="71">
        <v>1</v>
      </c>
      <c r="G5" s="71">
        <v>31</v>
      </c>
      <c r="H5" s="71">
        <v>1292106.4301118022</v>
      </c>
      <c r="I5" s="71">
        <v>567811.85551850277</v>
      </c>
      <c r="J5" s="71">
        <v>114203.52260471623</v>
      </c>
      <c r="K5" s="71">
        <v>8.364018691588786</v>
      </c>
      <c r="L5" s="71">
        <v>10.584960092785639</v>
      </c>
      <c r="M5" s="71">
        <v>29.92312130676439</v>
      </c>
      <c r="N5" s="71">
        <v>5283.3813751893604</v>
      </c>
    </row>
    <row r="6" spans="2:14" s="71" customFormat="1" x14ac:dyDescent="0.25">
      <c r="B6" s="71" t="str">
        <f>VLOOKUP(F6,[1]NUTS_Europa!$A$2:$C$81,2,FALSE)</f>
        <v>BE23</v>
      </c>
      <c r="C6" s="71">
        <f>VLOOKUP(F6,[1]NUTS_Europa!$A$2:$C$81,3,FALSE)</f>
        <v>253</v>
      </c>
      <c r="D6" s="71" t="str">
        <f>VLOOKUP(G6,[1]NUTS_Europa!$A$2:$C$81,2,FALSE)</f>
        <v>BE25</v>
      </c>
      <c r="E6" s="71">
        <f>VLOOKUP(G6,[1]NUTS_Europa!$A$2:$C$81,3,FALSE)</f>
        <v>235</v>
      </c>
      <c r="F6" s="71">
        <v>2</v>
      </c>
      <c r="G6" s="71">
        <v>3</v>
      </c>
      <c r="H6" s="71">
        <v>397187.68974224129</v>
      </c>
      <c r="I6" s="71">
        <v>451647.09967142105</v>
      </c>
      <c r="J6" s="71">
        <v>135416.16142478216</v>
      </c>
      <c r="K6" s="71">
        <v>5.8785046728971961</v>
      </c>
      <c r="L6" s="71">
        <v>13.081564414750414</v>
      </c>
      <c r="M6" s="71">
        <v>10.227627549015152</v>
      </c>
      <c r="N6" s="71">
        <v>1705.3756088534108</v>
      </c>
    </row>
    <row r="7" spans="2:14" s="71" customFormat="1" x14ac:dyDescent="0.25">
      <c r="B7" s="71" t="str">
        <f>VLOOKUP(F7,[1]NUTS_Europa!$A$2:$C$81,2,FALSE)</f>
        <v>BE23</v>
      </c>
      <c r="C7" s="71">
        <f>VLOOKUP(F7,[1]NUTS_Europa!$A$2:$C$81,3,FALSE)</f>
        <v>253</v>
      </c>
      <c r="D7" s="71" t="str">
        <f>VLOOKUP(G7,[1]NUTS_Europa!$A$2:$C$81,2,FALSE)</f>
        <v>ES13</v>
      </c>
      <c r="E7" s="71">
        <f>VLOOKUP(G7,[1]NUTS_Europa!$A$2:$C$81,3,FALSE)</f>
        <v>163</v>
      </c>
      <c r="F7" s="71">
        <v>2</v>
      </c>
      <c r="G7" s="71">
        <v>13</v>
      </c>
      <c r="H7" s="71">
        <v>919374.01558634057</v>
      </c>
      <c r="I7" s="71">
        <v>952160.21401528246</v>
      </c>
      <c r="J7" s="71">
        <v>117923.68175590989</v>
      </c>
      <c r="K7" s="71">
        <v>36.257476635514017</v>
      </c>
      <c r="L7" s="71">
        <v>17.145360079496946</v>
      </c>
      <c r="M7" s="71">
        <v>20.651328699878288</v>
      </c>
      <c r="N7" s="71">
        <v>2988.6329159212883</v>
      </c>
    </row>
    <row r="8" spans="2:14" s="71" customFormat="1" x14ac:dyDescent="0.25">
      <c r="B8" s="71" t="str">
        <f>VLOOKUP(F8,[1]NUTS_Europa!$A$2:$C$81,2,FALSE)</f>
        <v>DE50</v>
      </c>
      <c r="C8" s="71">
        <f>VLOOKUP(F8,[1]NUTS_Europa!$A$2:$C$81,3,FALSE)</f>
        <v>245</v>
      </c>
      <c r="D8" s="71" t="str">
        <f>VLOOKUP(G8,[1]NUTS_Europa!$A$2:$C$81,2,FALSE)</f>
        <v>ES12</v>
      </c>
      <c r="E8" s="71">
        <f>VLOOKUP(G8,[1]NUTS_Europa!$A$2:$C$81,3,FALSE)</f>
        <v>285</v>
      </c>
      <c r="F8" s="71">
        <v>4</v>
      </c>
      <c r="G8" s="71">
        <v>12</v>
      </c>
      <c r="H8" s="71">
        <v>55467.590571060922</v>
      </c>
      <c r="I8" s="71">
        <v>8037499.5536889601</v>
      </c>
      <c r="J8" s="71">
        <v>114346.85142443764</v>
      </c>
      <c r="K8" s="71">
        <v>47.006542056074771</v>
      </c>
      <c r="L8" s="71">
        <v>13.82589837124879</v>
      </c>
      <c r="M8" s="71">
        <v>9.347503527921551E-2</v>
      </c>
      <c r="N8" s="71">
        <v>15.60948133635801</v>
      </c>
    </row>
    <row r="9" spans="2:14" s="71" customFormat="1" x14ac:dyDescent="0.25">
      <c r="B9" s="71" t="str">
        <f>VLOOKUP(F9,[1]NUTS_Europa!$A$2:$C$81,2,FALSE)</f>
        <v>DE50</v>
      </c>
      <c r="C9" s="71">
        <f>VLOOKUP(F9,[1]NUTS_Europa!$A$2:$C$81,3,FALSE)</f>
        <v>245</v>
      </c>
      <c r="D9" s="71" t="str">
        <f>VLOOKUP(G9,[1]NUTS_Europa!$A$2:$C$81,2,FALSE)</f>
        <v>FRD1</v>
      </c>
      <c r="E9" s="71">
        <f>VLOOKUP(G9,[1]NUTS_Europa!$A$2:$C$81,3,FALSE)</f>
        <v>268</v>
      </c>
      <c r="F9" s="71">
        <v>4</v>
      </c>
      <c r="G9" s="71">
        <v>19</v>
      </c>
      <c r="H9" s="71">
        <v>398125.93221467815</v>
      </c>
      <c r="I9" s="71">
        <v>7881237.8791658031</v>
      </c>
      <c r="J9" s="71">
        <v>163171.48832599766</v>
      </c>
      <c r="K9" s="71">
        <v>27.240186915887854</v>
      </c>
      <c r="L9" s="71">
        <v>13.917626536753428</v>
      </c>
      <c r="M9" s="71">
        <v>0.69223195436949247</v>
      </c>
      <c r="N9" s="71">
        <v>100.1788908765653</v>
      </c>
    </row>
    <row r="10" spans="2:14" s="71" customFormat="1" x14ac:dyDescent="0.25">
      <c r="B10" s="71" t="str">
        <f>VLOOKUP(F10,[1]NUTS_Europa!$A$2:$C$81,2,FALSE)</f>
        <v>DE60</v>
      </c>
      <c r="C10" s="71">
        <f>VLOOKUP(F10,[1]NUTS_Europa!$A$2:$C$81,3,FALSE)</f>
        <v>1069</v>
      </c>
      <c r="D10" s="71" t="str">
        <f>VLOOKUP(G10,[1]NUTS_Europa!$A$2:$C$81,2,FALSE)</f>
        <v>NL32</v>
      </c>
      <c r="E10" s="71">
        <f>VLOOKUP(G10,[1]NUTS_Europa!$A$2:$C$81,3,FALSE)</f>
        <v>218</v>
      </c>
      <c r="F10" s="71">
        <v>5</v>
      </c>
      <c r="G10" s="71">
        <v>32</v>
      </c>
      <c r="H10" s="71">
        <v>320673.1640008369</v>
      </c>
      <c r="I10" s="71">
        <v>593828.69511824683</v>
      </c>
      <c r="J10" s="71">
        <v>119215.96904421839</v>
      </c>
      <c r="K10" s="71">
        <v>12.615420560747665</v>
      </c>
      <c r="L10" s="71">
        <v>7.4201993941030073</v>
      </c>
      <c r="M10" s="71">
        <v>25.053912624844571</v>
      </c>
      <c r="N10" s="71">
        <v>5283.3813751893604</v>
      </c>
    </row>
    <row r="11" spans="2:14" s="71" customFormat="1" x14ac:dyDescent="0.25">
      <c r="B11" s="71" t="str">
        <f>VLOOKUP(F11,[1]NUTS_Europa!$A$2:$C$81,2,FALSE)</f>
        <v>DE60</v>
      </c>
      <c r="C11" s="71">
        <f>VLOOKUP(F11,[1]NUTS_Europa!$A$2:$C$81,3,FALSE)</f>
        <v>1069</v>
      </c>
      <c r="D11" s="71" t="str">
        <f>VLOOKUP(G11,[1]NUTS_Europa!$A$2:$C$81,2,FALSE)</f>
        <v>PT18</v>
      </c>
      <c r="E11" s="71">
        <f>VLOOKUP(G11,[1]NUTS_Europa!$A$2:$C$81,3,FALSE)</f>
        <v>61</v>
      </c>
      <c r="F11" s="71">
        <v>5</v>
      </c>
      <c r="G11" s="71">
        <v>80</v>
      </c>
      <c r="H11" s="71">
        <v>11219844.940936025</v>
      </c>
      <c r="I11" s="71">
        <v>1467120.1134148764</v>
      </c>
      <c r="J11" s="71">
        <v>118487.95435333898</v>
      </c>
      <c r="K11" s="71">
        <v>78.167289719626169</v>
      </c>
      <c r="L11" s="71">
        <v>10.211930668338875</v>
      </c>
      <c r="M11" s="71">
        <v>84.693994752093573</v>
      </c>
      <c r="N11" s="71">
        <v>17957.974070304699</v>
      </c>
    </row>
    <row r="12" spans="2:14" s="71" customFormat="1" x14ac:dyDescent="0.25">
      <c r="B12" s="71" t="str">
        <f>VLOOKUP(F12,[1]NUTS_Europa!$A$2:$C$81,2,FALSE)</f>
        <v>DE80</v>
      </c>
      <c r="C12" s="71">
        <f>VLOOKUP(F12,[1]NUTS_Europa!$A$2:$C$81,3,FALSE)</f>
        <v>1069</v>
      </c>
      <c r="D12" s="71" t="str">
        <f>VLOOKUP(G12,[1]NUTS_Europa!$A$2:$C$81,2,FALSE)</f>
        <v>ES11</v>
      </c>
      <c r="E12" s="71">
        <f>VLOOKUP(G12,[1]NUTS_Europa!$A$2:$C$81,3,FALSE)</f>
        <v>288</v>
      </c>
      <c r="F12" s="71">
        <v>6</v>
      </c>
      <c r="G12" s="71">
        <v>11</v>
      </c>
      <c r="H12" s="71">
        <v>501050.34643502434</v>
      </c>
      <c r="I12" s="71">
        <v>1193239.9797113515</v>
      </c>
      <c r="J12" s="71">
        <v>142841.86171918266</v>
      </c>
      <c r="K12" s="71">
        <v>54.147196261682247</v>
      </c>
      <c r="L12" s="71">
        <v>10.724854970891197</v>
      </c>
      <c r="M12" s="71">
        <v>4.7144357961536105</v>
      </c>
      <c r="N12" s="71">
        <v>930.46701587219775</v>
      </c>
    </row>
    <row r="13" spans="2:14" s="71" customFormat="1" x14ac:dyDescent="0.25">
      <c r="B13" s="71" t="str">
        <f>VLOOKUP(F13,[1]NUTS_Europa!$A$2:$C$81,2,FALSE)</f>
        <v>DE80</v>
      </c>
      <c r="C13" s="71">
        <f>VLOOKUP(F13,[1]NUTS_Europa!$A$2:$C$81,3,FALSE)</f>
        <v>1069</v>
      </c>
      <c r="D13" s="71" t="str">
        <f>VLOOKUP(G13,[1]NUTS_Europa!$A$2:$C$81,2,FALSE)</f>
        <v>ES21</v>
      </c>
      <c r="E13" s="71">
        <f>VLOOKUP(G13,[1]NUTS_Europa!$A$2:$C$81,3,FALSE)</f>
        <v>163</v>
      </c>
      <c r="F13" s="71">
        <v>6</v>
      </c>
      <c r="G13" s="71">
        <v>14</v>
      </c>
      <c r="H13" s="71">
        <v>1420179.3596406309</v>
      </c>
      <c r="I13" s="71">
        <v>1100451.899847985</v>
      </c>
      <c r="J13" s="71">
        <v>154854.30087154222</v>
      </c>
      <c r="K13" s="71">
        <v>48.97429906542056</v>
      </c>
      <c r="L13" s="71">
        <v>13.980599380814315</v>
      </c>
      <c r="M13" s="71">
        <v>17.896979485261216</v>
      </c>
      <c r="N13" s="71">
        <v>2988.6329159212883</v>
      </c>
    </row>
    <row r="14" spans="2:14" s="71" customFormat="1" x14ac:dyDescent="0.25">
      <c r="B14" s="71" t="str">
        <f>VLOOKUP(F14,[1]NUTS_Europa!$A$2:$C$81,2,FALSE)</f>
        <v>DE93</v>
      </c>
      <c r="C14" s="71">
        <f>VLOOKUP(F14,[1]NUTS_Europa!$A$2:$C$81,3,FALSE)</f>
        <v>1069</v>
      </c>
      <c r="D14" s="71" t="str">
        <f>VLOOKUP(G14,[1]NUTS_Europa!$A$2:$C$81,2,FALSE)</f>
        <v>NL12</v>
      </c>
      <c r="E14" s="71">
        <f>VLOOKUP(G14,[1]NUTS_Europa!$A$2:$C$81,3,FALSE)</f>
        <v>218</v>
      </c>
      <c r="F14" s="71">
        <v>7</v>
      </c>
      <c r="G14" s="71">
        <v>31</v>
      </c>
      <c r="H14" s="71">
        <v>1411182.1000128717</v>
      </c>
      <c r="I14" s="71">
        <v>593828.69511824683</v>
      </c>
      <c r="J14" s="71">
        <v>163171.48832599766</v>
      </c>
      <c r="K14" s="71">
        <v>12.615420560747665</v>
      </c>
      <c r="L14" s="71">
        <v>7.4201993941030073</v>
      </c>
      <c r="M14" s="71">
        <v>25.053912624844571</v>
      </c>
      <c r="N14" s="71">
        <v>5283.3813751893604</v>
      </c>
    </row>
    <row r="15" spans="2:14" s="71" customFormat="1" x14ac:dyDescent="0.25">
      <c r="B15" s="71" t="str">
        <f>VLOOKUP(F15,[1]NUTS_Europa!$A$2:$C$81,2,FALSE)</f>
        <v>DE93</v>
      </c>
      <c r="C15" s="71">
        <f>VLOOKUP(F15,[1]NUTS_Europa!$A$2:$C$81,3,FALSE)</f>
        <v>1069</v>
      </c>
      <c r="D15" s="71" t="str">
        <f>VLOOKUP(G15,[1]NUTS_Europa!$A$2:$C$81,2,FALSE)</f>
        <v>NL32</v>
      </c>
      <c r="E15" s="71">
        <f>VLOOKUP(G15,[1]NUTS_Europa!$A$2:$C$81,3,FALSE)</f>
        <v>218</v>
      </c>
      <c r="F15" s="71">
        <v>7</v>
      </c>
      <c r="G15" s="71">
        <v>32</v>
      </c>
      <c r="H15" s="71">
        <v>594687.81395297032</v>
      </c>
      <c r="I15" s="71">
        <v>593828.69511824683</v>
      </c>
      <c r="J15" s="71">
        <v>199058.85825050285</v>
      </c>
      <c r="K15" s="71">
        <v>12.615420560747665</v>
      </c>
      <c r="L15" s="71">
        <v>7.4201993941030073</v>
      </c>
      <c r="M15" s="71">
        <v>25.053912624844571</v>
      </c>
      <c r="N15" s="71">
        <v>5283.3813751893604</v>
      </c>
    </row>
    <row r="16" spans="2:14" s="71" customFormat="1" x14ac:dyDescent="0.25">
      <c r="B16" s="71" t="str">
        <f>VLOOKUP(F16,[1]NUTS_Europa!$A$2:$C$81,2,FALSE)</f>
        <v>DE94</v>
      </c>
      <c r="C16" s="71">
        <f>VLOOKUP(F16,[1]NUTS_Europa!$A$2:$C$81,3,FALSE)</f>
        <v>245</v>
      </c>
      <c r="D16" s="71" t="str">
        <f>VLOOKUP(G16,[1]NUTS_Europa!$A$2:$C$81,2,FALSE)</f>
        <v>ES12</v>
      </c>
      <c r="E16" s="71">
        <f>VLOOKUP(G16,[1]NUTS_Europa!$A$2:$C$81,3,FALSE)</f>
        <v>285</v>
      </c>
      <c r="F16" s="71">
        <v>8</v>
      </c>
      <c r="G16" s="71">
        <v>12</v>
      </c>
      <c r="H16" s="71">
        <v>55750.425007186932</v>
      </c>
      <c r="I16" s="71">
        <v>8037499.5536889601</v>
      </c>
      <c r="J16" s="71">
        <v>117061.71481038857</v>
      </c>
      <c r="K16" s="71">
        <v>47.006542056074771</v>
      </c>
      <c r="L16" s="71">
        <v>13.82589837124879</v>
      </c>
      <c r="M16" s="71">
        <v>9.347503527921551E-2</v>
      </c>
      <c r="N16" s="71">
        <v>15.60948133635801</v>
      </c>
    </row>
    <row r="17" spans="2:14" s="71" customFormat="1" x14ac:dyDescent="0.25">
      <c r="B17" s="71" t="str">
        <f>VLOOKUP(F17,[1]NUTS_Europa!$A$2:$C$81,2,FALSE)</f>
        <v>DE94</v>
      </c>
      <c r="C17" s="71">
        <f>VLOOKUP(F17,[1]NUTS_Europa!$A$2:$C$81,3,FALSE)</f>
        <v>245</v>
      </c>
      <c r="D17" s="71" t="str">
        <f>VLOOKUP(G17,[1]NUTS_Europa!$A$2:$C$81,2,FALSE)</f>
        <v>FRD1</v>
      </c>
      <c r="E17" s="71">
        <f>VLOOKUP(G17,[1]NUTS_Europa!$A$2:$C$81,3,FALSE)</f>
        <v>268</v>
      </c>
      <c r="F17" s="71">
        <v>8</v>
      </c>
      <c r="G17" s="71">
        <v>19</v>
      </c>
      <c r="H17" s="71">
        <v>399941.11361002701</v>
      </c>
      <c r="I17" s="71">
        <v>7881237.8791658031</v>
      </c>
      <c r="J17" s="71">
        <v>113696.3812050019</v>
      </c>
      <c r="K17" s="71">
        <v>27.240186915887854</v>
      </c>
      <c r="L17" s="71">
        <v>13.917626536753428</v>
      </c>
      <c r="M17" s="71">
        <v>0.69223195436949247</v>
      </c>
      <c r="N17" s="71">
        <v>100.1788908765653</v>
      </c>
    </row>
    <row r="18" spans="2:14" s="71" customFormat="1" x14ac:dyDescent="0.25">
      <c r="B18" s="71" t="str">
        <f>VLOOKUP(F18,[1]NUTS_Europa!$A$2:$C$81,2,FALSE)</f>
        <v>DEA1</v>
      </c>
      <c r="C18" s="71">
        <f>VLOOKUP(F18,[1]NUTS_Europa!$A$2:$C$81,3,FALSE)</f>
        <v>253</v>
      </c>
      <c r="D18" s="71" t="str">
        <f>VLOOKUP(G18,[1]NUTS_Europa!$A$2:$C$81,2,FALSE)</f>
        <v>ES11</v>
      </c>
      <c r="E18" s="71">
        <f>VLOOKUP(G18,[1]NUTS_Europa!$A$2:$C$81,3,FALSE)</f>
        <v>288</v>
      </c>
      <c r="F18" s="71">
        <v>9</v>
      </c>
      <c r="G18" s="71">
        <v>11</v>
      </c>
      <c r="H18" s="71">
        <v>521732.34332207637</v>
      </c>
      <c r="I18" s="71">
        <v>1053645.3594930181</v>
      </c>
      <c r="J18" s="71">
        <v>142392.8717171422</v>
      </c>
      <c r="K18" s="71">
        <v>41.455607476635514</v>
      </c>
      <c r="L18" s="71">
        <v>13.889615669573828</v>
      </c>
      <c r="M18" s="71">
        <v>5.5719620185082395</v>
      </c>
      <c r="N18" s="71">
        <v>930.46701587219775</v>
      </c>
    </row>
    <row r="19" spans="2:14" s="71" customFormat="1" x14ac:dyDescent="0.25">
      <c r="B19" s="71" t="str">
        <f>VLOOKUP(F19,[1]NUTS_Europa!$A$2:$C$81,2,FALSE)</f>
        <v>DEA1</v>
      </c>
      <c r="C19" s="71">
        <f>VLOOKUP(F19,[1]NUTS_Europa!$A$2:$C$81,3,FALSE)</f>
        <v>253</v>
      </c>
      <c r="D19" s="71" t="str">
        <f>VLOOKUP(G19,[1]NUTS_Europa!$A$2:$C$81,2,FALSE)</f>
        <v>FRI3</v>
      </c>
      <c r="E19" s="71">
        <f>VLOOKUP(G19,[1]NUTS_Europa!$A$2:$C$81,3,FALSE)</f>
        <v>283</v>
      </c>
      <c r="F19" s="71">
        <v>9</v>
      </c>
      <c r="G19" s="71">
        <v>25</v>
      </c>
      <c r="H19" s="71">
        <v>1025896.5995660863</v>
      </c>
      <c r="I19" s="71">
        <v>816121.51974265231</v>
      </c>
      <c r="J19" s="71">
        <v>127001.21695280854</v>
      </c>
      <c r="K19" s="71">
        <v>32.271028037383182</v>
      </c>
      <c r="L19" s="71">
        <v>11.566898240934124</v>
      </c>
      <c r="M19" s="71">
        <v>13.541382795478951</v>
      </c>
      <c r="N19" s="71">
        <v>2188.5072142857148</v>
      </c>
    </row>
    <row r="20" spans="2:14" s="71" customFormat="1" x14ac:dyDescent="0.25">
      <c r="B20" s="71" t="str">
        <f>VLOOKUP(F20,[1]NUTS_Europa!$A$2:$C$81,2,FALSE)</f>
        <v>DEF0</v>
      </c>
      <c r="C20" s="71">
        <f>VLOOKUP(F20,[1]NUTS_Europa!$A$2:$C$81,3,FALSE)</f>
        <v>1069</v>
      </c>
      <c r="D20" s="71" t="str">
        <f>VLOOKUP(G20,[1]NUTS_Europa!$A$2:$C$81,2,FALSE)</f>
        <v>ES13</v>
      </c>
      <c r="E20" s="71">
        <f>VLOOKUP(G20,[1]NUTS_Europa!$A$2:$C$81,3,FALSE)</f>
        <v>163</v>
      </c>
      <c r="F20" s="71">
        <v>10</v>
      </c>
      <c r="G20" s="71">
        <v>13</v>
      </c>
      <c r="H20" s="71">
        <v>1046215.0103676075</v>
      </c>
      <c r="I20" s="71">
        <v>1100451.899847985</v>
      </c>
      <c r="J20" s="71">
        <v>163171.48832599766</v>
      </c>
      <c r="K20" s="71">
        <v>48.97429906542056</v>
      </c>
      <c r="L20" s="71">
        <v>13.980599380814315</v>
      </c>
      <c r="M20" s="71">
        <v>17.896979485261216</v>
      </c>
      <c r="N20" s="71">
        <v>2988.6329159212883</v>
      </c>
    </row>
    <row r="21" spans="2:14" s="71" customFormat="1" x14ac:dyDescent="0.25">
      <c r="B21" s="71" t="str">
        <f>VLOOKUP(F21,[1]NUTS_Europa!$A$2:$C$81,2,FALSE)</f>
        <v>DEF0</v>
      </c>
      <c r="C21" s="71">
        <f>VLOOKUP(F21,[1]NUTS_Europa!$A$2:$C$81,3,FALSE)</f>
        <v>1069</v>
      </c>
      <c r="D21" s="71" t="str">
        <f>VLOOKUP(G21,[1]NUTS_Europa!$A$2:$C$81,2,FALSE)</f>
        <v>ES21</v>
      </c>
      <c r="E21" s="71">
        <f>VLOOKUP(G21,[1]NUTS_Europa!$A$2:$C$81,3,FALSE)</f>
        <v>163</v>
      </c>
      <c r="F21" s="71">
        <v>10</v>
      </c>
      <c r="G21" s="71">
        <v>14</v>
      </c>
      <c r="H21" s="71">
        <v>870416.44953411922</v>
      </c>
      <c r="I21" s="71">
        <v>1100451.899847985</v>
      </c>
      <c r="J21" s="71">
        <v>199058.85825050285</v>
      </c>
      <c r="K21" s="71">
        <v>48.97429906542056</v>
      </c>
      <c r="L21" s="71">
        <v>13.980599380814315</v>
      </c>
      <c r="M21" s="71">
        <v>17.896979485261216</v>
      </c>
      <c r="N21" s="71">
        <v>2988.6329159212883</v>
      </c>
    </row>
    <row r="22" spans="2:14" s="71" customFormat="1" x14ac:dyDescent="0.25">
      <c r="B22" s="71" t="str">
        <f>VLOOKUP(F22,[1]NUTS_Europa!$A$2:$C$81,2,FALSE)</f>
        <v>ES51</v>
      </c>
      <c r="C22" s="71">
        <f>VLOOKUP(F22,[1]NUTS_Europa!$A$2:$C$81,3,FALSE)</f>
        <v>1063</v>
      </c>
      <c r="D22" s="71" t="str">
        <f>VLOOKUP(G22,[1]NUTS_Europa!$A$2:$C$81,2,FALSE)</f>
        <v>ES52</v>
      </c>
      <c r="E22" s="71">
        <f>VLOOKUP(G22,[1]NUTS_Europa!$A$2:$C$81,3,FALSE)</f>
        <v>1064</v>
      </c>
      <c r="F22" s="71">
        <v>15</v>
      </c>
      <c r="G22" s="71">
        <v>16</v>
      </c>
      <c r="H22" s="71">
        <v>2854701.3001724817</v>
      </c>
      <c r="I22" s="71">
        <v>4058137.7117960365</v>
      </c>
      <c r="J22" s="71">
        <v>135416.16142478216</v>
      </c>
      <c r="K22" s="71">
        <v>7.5700934579439254</v>
      </c>
      <c r="L22" s="71">
        <v>7.6435335214763445</v>
      </c>
      <c r="M22" s="71">
        <v>55.970239489749723</v>
      </c>
      <c r="N22" s="71">
        <v>11046.594750143626</v>
      </c>
    </row>
    <row r="23" spans="2:14" s="71" customFormat="1" x14ac:dyDescent="0.25">
      <c r="B23" s="71" t="str">
        <f>VLOOKUP(F23,[1]NUTS_Europa!$A$2:$C$81,2,FALSE)</f>
        <v>ES51</v>
      </c>
      <c r="C23" s="71">
        <f>VLOOKUP(F23,[1]NUTS_Europa!$A$2:$C$81,3,FALSE)</f>
        <v>1063</v>
      </c>
      <c r="D23" s="71" t="str">
        <f>VLOOKUP(G23,[1]NUTS_Europa!$A$2:$C$81,2,FALSE)</f>
        <v>PT15</v>
      </c>
      <c r="E23" s="71">
        <f>VLOOKUP(G23,[1]NUTS_Europa!$A$2:$C$81,3,FALSE)</f>
        <v>1065</v>
      </c>
      <c r="F23" s="71">
        <v>15</v>
      </c>
      <c r="G23" s="71">
        <v>37</v>
      </c>
      <c r="H23" s="71">
        <v>3423760.792866671</v>
      </c>
      <c r="I23" s="71">
        <v>4495607.0060708541</v>
      </c>
      <c r="J23" s="71">
        <v>123614.25510828695</v>
      </c>
      <c r="K23" s="71">
        <v>37.336448598130843</v>
      </c>
      <c r="L23" s="71">
        <v>5.8815840903398087</v>
      </c>
      <c r="M23" s="71">
        <v>40.67444884255729</v>
      </c>
      <c r="N23" s="71">
        <v>8027.7332586984066</v>
      </c>
    </row>
    <row r="24" spans="2:14" s="71" customFormat="1" x14ac:dyDescent="0.25">
      <c r="B24" s="71" t="str">
        <f>VLOOKUP(F24,[1]NUTS_Europa!$A$2:$C$81,2,FALSE)</f>
        <v>ES52</v>
      </c>
      <c r="C24" s="71">
        <f>VLOOKUP(F24,[1]NUTS_Europa!$A$2:$C$81,3,FALSE)</f>
        <v>1064</v>
      </c>
      <c r="D24" s="71" t="str">
        <f>VLOOKUP(G24,[1]NUTS_Europa!$A$2:$C$81,2,FALSE)</f>
        <v>PT18</v>
      </c>
      <c r="E24" s="71">
        <f>VLOOKUP(G24,[1]NUTS_Europa!$A$2:$C$81,3,FALSE)</f>
        <v>1065</v>
      </c>
      <c r="F24" s="71">
        <v>16</v>
      </c>
      <c r="G24" s="71">
        <v>40</v>
      </c>
      <c r="H24" s="71">
        <v>2437577.6010879078</v>
      </c>
      <c r="I24" s="71">
        <v>735633.69022234005</v>
      </c>
      <c r="J24" s="71">
        <v>117923.68175590989</v>
      </c>
      <c r="K24" s="71">
        <v>26.92196261682243</v>
      </c>
      <c r="L24" s="71">
        <v>8.6329257640432147</v>
      </c>
      <c r="M24" s="71">
        <v>40.67444884255729</v>
      </c>
      <c r="N24" s="71">
        <v>8027.7332586984066</v>
      </c>
    </row>
    <row r="25" spans="2:14" s="71" customFormat="1" x14ac:dyDescent="0.25">
      <c r="B25" s="71" t="str">
        <f>VLOOKUP(F25,[1]NUTS_Europa!$A$2:$C$81,2,FALSE)</f>
        <v>ES61</v>
      </c>
      <c r="C25" s="71">
        <f>VLOOKUP(F25,[1]NUTS_Europa!$A$2:$C$81,3,FALSE)</f>
        <v>61</v>
      </c>
      <c r="D25" s="71" t="str">
        <f>VLOOKUP(G25,[1]NUTS_Europa!$A$2:$C$81,2,FALSE)</f>
        <v>FRG0</v>
      </c>
      <c r="E25" s="71">
        <f>VLOOKUP(G25,[1]NUTS_Europa!$A$2:$C$81,3,FALSE)</f>
        <v>282</v>
      </c>
      <c r="F25" s="71">
        <v>17</v>
      </c>
      <c r="G25" s="71">
        <v>22</v>
      </c>
      <c r="H25" s="71">
        <v>517275.57774220122</v>
      </c>
      <c r="I25" s="71">
        <v>1054974.8604697192</v>
      </c>
      <c r="J25" s="71">
        <v>115262.59218235347</v>
      </c>
      <c r="K25" s="71">
        <v>49.15121495327103</v>
      </c>
      <c r="L25" s="71">
        <v>14.218436701415838</v>
      </c>
      <c r="M25" s="71">
        <v>4.4446645954923039</v>
      </c>
      <c r="N25" s="71">
        <v>788.36279069767454</v>
      </c>
    </row>
    <row r="26" spans="2:14" s="71" customFormat="1" x14ac:dyDescent="0.25">
      <c r="B26" s="71" t="str">
        <f>VLOOKUP(F26,[1]NUTS_Europa!$A$2:$C$81,2,FALSE)</f>
        <v>ES61</v>
      </c>
      <c r="C26" s="71">
        <f>VLOOKUP(F26,[1]NUTS_Europa!$A$2:$C$81,3,FALSE)</f>
        <v>61</v>
      </c>
      <c r="D26" s="71" t="str">
        <f>VLOOKUP(G26,[1]NUTS_Europa!$A$2:$C$81,2,FALSE)</f>
        <v>FRH0</v>
      </c>
      <c r="E26" s="71">
        <f>VLOOKUP(G26,[1]NUTS_Europa!$A$2:$C$81,3,FALSE)</f>
        <v>283</v>
      </c>
      <c r="F26" s="71">
        <v>17</v>
      </c>
      <c r="G26" s="71">
        <v>23</v>
      </c>
      <c r="H26" s="71">
        <v>1617471.29743993</v>
      </c>
      <c r="I26" s="71">
        <v>987728.57012832281</v>
      </c>
      <c r="J26" s="71">
        <v>191087.21980936834</v>
      </c>
      <c r="K26" s="71">
        <v>47.940186915887857</v>
      </c>
      <c r="L26" s="71">
        <v>10.698095738469863</v>
      </c>
      <c r="M26" s="71">
        <v>10.757346471869615</v>
      </c>
      <c r="N26" s="71">
        <v>2188.5072142857148</v>
      </c>
    </row>
    <row r="27" spans="2:14" s="71" customFormat="1" x14ac:dyDescent="0.25">
      <c r="B27" s="71" t="str">
        <f>VLOOKUP(F27,[1]NUTS_Europa!$A$2:$C$81,2,FALSE)</f>
        <v>ES62</v>
      </c>
      <c r="C27" s="71">
        <f>VLOOKUP(F27,[1]NUTS_Europa!$A$2:$C$81,3,FALSE)</f>
        <v>1064</v>
      </c>
      <c r="D27" s="71" t="str">
        <f>VLOOKUP(G27,[1]NUTS_Europa!$A$2:$C$81,2,FALSE)</f>
        <v>FRG0</v>
      </c>
      <c r="E27" s="71">
        <f>VLOOKUP(G27,[1]NUTS_Europa!$A$2:$C$81,3,FALSE)</f>
        <v>282</v>
      </c>
      <c r="F27" s="71">
        <v>18</v>
      </c>
      <c r="G27" s="71">
        <v>22</v>
      </c>
      <c r="H27" s="71">
        <v>495916.44017648249</v>
      </c>
      <c r="I27" s="71">
        <v>1209549.0732896365</v>
      </c>
      <c r="J27" s="71">
        <v>135416.16142478216</v>
      </c>
      <c r="K27" s="71">
        <v>58.739205607476642</v>
      </c>
      <c r="L27" s="71">
        <v>13.161929866727091</v>
      </c>
      <c r="M27" s="71">
        <v>4.7209922024532647</v>
      </c>
      <c r="N27" s="71">
        <v>788.36279069767454</v>
      </c>
    </row>
    <row r="28" spans="2:14" s="71" customFormat="1" x14ac:dyDescent="0.25">
      <c r="B28" s="71" t="str">
        <f>VLOOKUP(F28,[1]NUTS_Europa!$A$2:$C$81,2,FALSE)</f>
        <v>ES62</v>
      </c>
      <c r="C28" s="71">
        <f>VLOOKUP(F28,[1]NUTS_Europa!$A$2:$C$81,3,FALSE)</f>
        <v>1064</v>
      </c>
      <c r="D28" s="71" t="str">
        <f>VLOOKUP(G28,[1]NUTS_Europa!$A$2:$C$81,2,FALSE)</f>
        <v>PT17</v>
      </c>
      <c r="E28" s="71">
        <f>VLOOKUP(G28,[1]NUTS_Europa!$A$2:$C$81,3,FALSE)</f>
        <v>294</v>
      </c>
      <c r="F28" s="71">
        <v>18</v>
      </c>
      <c r="G28" s="71">
        <v>39</v>
      </c>
      <c r="H28" s="71">
        <v>1312199.3525333672</v>
      </c>
      <c r="I28" s="71">
        <v>734318.78339447314</v>
      </c>
      <c r="J28" s="71">
        <v>191087.21980936834</v>
      </c>
      <c r="K28" s="71">
        <v>28.94065420560748</v>
      </c>
      <c r="L28" s="71">
        <v>7.7930947828478487</v>
      </c>
      <c r="M28" s="71">
        <v>16.700709371745553</v>
      </c>
      <c r="N28" s="71">
        <v>3296.1439892245817</v>
      </c>
    </row>
    <row r="29" spans="2:14" s="71" customFormat="1" x14ac:dyDescent="0.25">
      <c r="B29" s="71" t="str">
        <f>VLOOKUP(F29,[1]NUTS_Europa!$A$2:$C$81,2,FALSE)</f>
        <v>FRD2</v>
      </c>
      <c r="C29" s="71">
        <f>VLOOKUP(F29,[1]NUTS_Europa!$A$2:$C$81,3,FALSE)</f>
        <v>269</v>
      </c>
      <c r="D29" s="71" t="str">
        <f>VLOOKUP(G29,[1]NUTS_Europa!$A$2:$C$81,2,FALSE)</f>
        <v>FRH0</v>
      </c>
      <c r="E29" s="71">
        <f>VLOOKUP(G29,[1]NUTS_Europa!$A$2:$C$81,3,FALSE)</f>
        <v>283</v>
      </c>
      <c r="F29" s="71">
        <v>20</v>
      </c>
      <c r="G29" s="71">
        <v>23</v>
      </c>
      <c r="H29" s="71">
        <v>1053031.4135823792</v>
      </c>
      <c r="I29" s="71">
        <v>709122.22059395153</v>
      </c>
      <c r="J29" s="71">
        <v>159445.52860932166</v>
      </c>
      <c r="K29" s="71">
        <v>21.635514018691591</v>
      </c>
      <c r="L29" s="71">
        <v>11.668793105716773</v>
      </c>
      <c r="M29" s="71">
        <v>13.541382795478951</v>
      </c>
      <c r="N29" s="71">
        <v>2188.5072142857148</v>
      </c>
    </row>
    <row r="30" spans="2:14" s="71" customFormat="1" x14ac:dyDescent="0.25">
      <c r="B30" s="71" t="str">
        <f>VLOOKUP(F30,[1]NUTS_Europa!$A$2:$C$81,2,FALSE)</f>
        <v>FRD2</v>
      </c>
      <c r="C30" s="71">
        <f>VLOOKUP(F30,[1]NUTS_Europa!$A$2:$C$81,3,FALSE)</f>
        <v>269</v>
      </c>
      <c r="D30" s="71" t="str">
        <f>VLOOKUP(G30,[1]NUTS_Europa!$A$2:$C$81,2,FALSE)</f>
        <v>FRI1</v>
      </c>
      <c r="E30" s="71">
        <f>VLOOKUP(G30,[1]NUTS_Europa!$A$2:$C$81,3,FALSE)</f>
        <v>283</v>
      </c>
      <c r="F30" s="71">
        <v>20</v>
      </c>
      <c r="G30" s="71">
        <v>24</v>
      </c>
      <c r="H30" s="71">
        <v>869126.77535152214</v>
      </c>
      <c r="I30" s="71">
        <v>709122.22059395153</v>
      </c>
      <c r="J30" s="71">
        <v>114346.85142443764</v>
      </c>
      <c r="K30" s="71">
        <v>21.635514018691591</v>
      </c>
      <c r="L30" s="71">
        <v>11.668793105716773</v>
      </c>
      <c r="M30" s="71">
        <v>13.541382795478951</v>
      </c>
      <c r="N30" s="71">
        <v>2188.5072142857148</v>
      </c>
    </row>
    <row r="31" spans="2:14" s="71" customFormat="1" x14ac:dyDescent="0.25">
      <c r="B31" s="71" t="str">
        <f>VLOOKUP(F31,[1]NUTS_Europa!$A$2:$C$81,2,FALSE)</f>
        <v>FRE1</v>
      </c>
      <c r="C31" s="71">
        <f>VLOOKUP(F31,[1]NUTS_Europa!$A$2:$C$81,3,FALSE)</f>
        <v>220</v>
      </c>
      <c r="D31" s="71" t="str">
        <f>VLOOKUP(G31,[1]NUTS_Europa!$A$2:$C$81,2,FALSE)</f>
        <v>FRI1</v>
      </c>
      <c r="E31" s="71">
        <f>VLOOKUP(G31,[1]NUTS_Europa!$A$2:$C$81,3,FALSE)</f>
        <v>283</v>
      </c>
      <c r="F31" s="71">
        <v>21</v>
      </c>
      <c r="G31" s="71">
        <v>24</v>
      </c>
      <c r="H31" s="71">
        <v>998297.90400307125</v>
      </c>
      <c r="I31" s="71">
        <v>706043.07110509195</v>
      </c>
      <c r="J31" s="71">
        <v>123840.01515725654</v>
      </c>
      <c r="K31" s="71">
        <v>28.130373831775703</v>
      </c>
      <c r="L31" s="71">
        <v>10.725386304633094</v>
      </c>
      <c r="M31" s="71">
        <v>12.206470568219187</v>
      </c>
      <c r="N31" s="71">
        <v>2188.5072142857148</v>
      </c>
    </row>
    <row r="32" spans="2:14" s="71" customFormat="1" x14ac:dyDescent="0.25">
      <c r="B32" s="71" t="str">
        <f>VLOOKUP(F32,[1]NUTS_Europa!$A$2:$C$81,2,FALSE)</f>
        <v>FRE1</v>
      </c>
      <c r="C32" s="71">
        <f>VLOOKUP(F32,[1]NUTS_Europa!$A$2:$C$81,3,FALSE)</f>
        <v>220</v>
      </c>
      <c r="D32" s="71" t="str">
        <f>VLOOKUP(G32,[1]NUTS_Europa!$A$2:$C$81,2,FALSE)</f>
        <v>FRI3</v>
      </c>
      <c r="E32" s="71">
        <f>VLOOKUP(G32,[1]NUTS_Europa!$A$2:$C$81,3,FALSE)</f>
        <v>283</v>
      </c>
      <c r="F32" s="71">
        <v>21</v>
      </c>
      <c r="G32" s="71">
        <v>25</v>
      </c>
      <c r="H32" s="71">
        <v>652039.95233403542</v>
      </c>
      <c r="I32" s="71">
        <v>706043.07110509195</v>
      </c>
      <c r="J32" s="71">
        <v>117061.71481038857</v>
      </c>
      <c r="K32" s="71">
        <v>28.130373831775703</v>
      </c>
      <c r="L32" s="71">
        <v>10.725386304633094</v>
      </c>
      <c r="M32" s="71">
        <v>12.206470568219187</v>
      </c>
      <c r="N32" s="71">
        <v>2188.5072142857148</v>
      </c>
    </row>
    <row r="33" spans="2:14" s="71" customFormat="1" x14ac:dyDescent="0.25">
      <c r="B33" s="71" t="str">
        <f>VLOOKUP(F33,[1]NUTS_Europa!$A$2:$C$81,2,FALSE)</f>
        <v>FRJ1</v>
      </c>
      <c r="C33" s="71">
        <f>VLOOKUP(F33,[1]NUTS_Europa!$A$2:$C$81,3,FALSE)</f>
        <v>1063</v>
      </c>
      <c r="D33" s="71" t="str">
        <f>VLOOKUP(G33,[1]NUTS_Europa!$A$2:$C$81,2,FALSE)</f>
        <v>FRJ2</v>
      </c>
      <c r="E33" s="71">
        <f>VLOOKUP(G33,[1]NUTS_Europa!$A$2:$C$81,3,FALSE)</f>
        <v>283</v>
      </c>
      <c r="F33" s="71">
        <v>26</v>
      </c>
      <c r="G33" s="71">
        <v>28</v>
      </c>
      <c r="H33" s="71">
        <v>2233444.5493986299</v>
      </c>
      <c r="I33" s="71">
        <v>4973204.4214150747</v>
      </c>
      <c r="J33" s="71">
        <v>142841.86171918266</v>
      </c>
      <c r="K33" s="71">
        <v>72.137242990654215</v>
      </c>
      <c r="L33" s="71">
        <v>6.8902472300777085</v>
      </c>
      <c r="M33" s="71">
        <v>11.524436152504073</v>
      </c>
      <c r="N33" s="71">
        <v>2188.5072142857148</v>
      </c>
    </row>
    <row r="34" spans="2:14" s="71" customFormat="1" x14ac:dyDescent="0.25">
      <c r="B34" s="71" t="str">
        <f>VLOOKUP(F34,[1]NUTS_Europa!$A$2:$C$81,2,FALSE)</f>
        <v>FRJ1</v>
      </c>
      <c r="C34" s="71">
        <f>VLOOKUP(F34,[1]NUTS_Europa!$A$2:$C$81,3,FALSE)</f>
        <v>1063</v>
      </c>
      <c r="D34" s="71" t="str">
        <f>VLOOKUP(G34,[1]NUTS_Europa!$A$2:$C$81,2,FALSE)</f>
        <v>PT17</v>
      </c>
      <c r="E34" s="71">
        <f>VLOOKUP(G34,[1]NUTS_Europa!$A$2:$C$81,3,FALSE)</f>
        <v>294</v>
      </c>
      <c r="F34" s="71">
        <v>26</v>
      </c>
      <c r="G34" s="71">
        <v>39</v>
      </c>
      <c r="H34" s="71">
        <v>1739625.6061240919</v>
      </c>
      <c r="I34" s="71">
        <v>4480401.3855481567</v>
      </c>
      <c r="J34" s="71">
        <v>137713.62258431225</v>
      </c>
      <c r="K34" s="71">
        <v>38.037383177570099</v>
      </c>
      <c r="L34" s="71">
        <v>5.041753109144441</v>
      </c>
      <c r="M34" s="71">
        <v>16.700709371745553</v>
      </c>
      <c r="N34" s="71">
        <v>3296.1439892245817</v>
      </c>
    </row>
    <row r="35" spans="2:14" s="71" customFormat="1" x14ac:dyDescent="0.25">
      <c r="B35" s="71" t="str">
        <f>VLOOKUP(F35,[1]NUTS_Europa!$A$2:$C$81,2,FALSE)</f>
        <v>FRF2</v>
      </c>
      <c r="C35" s="71">
        <f>VLOOKUP(F35,[1]NUTS_Europa!$A$2:$C$81,3,FALSE)</f>
        <v>269</v>
      </c>
      <c r="D35" s="71" t="str">
        <f>VLOOKUP(G35,[1]NUTS_Europa!$A$2:$C$81,2,FALSE)</f>
        <v>FRJ2</v>
      </c>
      <c r="E35" s="71">
        <f>VLOOKUP(G35,[1]NUTS_Europa!$A$2:$C$81,3,FALSE)</f>
        <v>283</v>
      </c>
      <c r="F35" s="71">
        <v>27</v>
      </c>
      <c r="G35" s="71">
        <v>28</v>
      </c>
      <c r="H35" s="71">
        <v>1817959.768223851</v>
      </c>
      <c r="I35" s="71">
        <v>709122.22059395153</v>
      </c>
      <c r="J35" s="71">
        <v>176841.96373917855</v>
      </c>
      <c r="K35" s="71">
        <v>21.635514018691591</v>
      </c>
      <c r="L35" s="71">
        <v>11.668793105716773</v>
      </c>
      <c r="M35" s="71">
        <v>13.541382795478951</v>
      </c>
      <c r="N35" s="71">
        <v>2188.5072142857148</v>
      </c>
    </row>
    <row r="36" spans="2:14" s="71" customFormat="1" x14ac:dyDescent="0.25">
      <c r="B36" s="71" t="str">
        <f>VLOOKUP(F36,[1]NUTS_Europa!$A$2:$C$81,2,FALSE)</f>
        <v>FRF2</v>
      </c>
      <c r="C36" s="71">
        <f>VLOOKUP(F36,[1]NUTS_Europa!$A$2:$C$81,3,FALSE)</f>
        <v>269</v>
      </c>
      <c r="D36" s="71" t="str">
        <f>VLOOKUP(G36,[1]NUTS_Europa!$A$2:$C$81,2,FALSE)</f>
        <v>FRG0</v>
      </c>
      <c r="E36" s="71">
        <f>VLOOKUP(G36,[1]NUTS_Europa!$A$2:$C$81,3,FALSE)</f>
        <v>283</v>
      </c>
      <c r="F36" s="71">
        <v>27</v>
      </c>
      <c r="G36" s="71">
        <v>62</v>
      </c>
      <c r="H36" s="71">
        <v>1306474.9931442796</v>
      </c>
      <c r="I36" s="71">
        <v>709122.22059395153</v>
      </c>
      <c r="J36" s="71">
        <v>141512.315270936</v>
      </c>
      <c r="K36" s="71">
        <v>21.635514018691591</v>
      </c>
      <c r="L36" s="71">
        <v>11.668793105716773</v>
      </c>
      <c r="M36" s="71">
        <v>13.541382795478951</v>
      </c>
      <c r="N36" s="71">
        <v>2188.5072142857148</v>
      </c>
    </row>
    <row r="37" spans="2:14" s="71" customFormat="1" x14ac:dyDescent="0.25">
      <c r="B37" s="71" t="str">
        <f>VLOOKUP(F37,[1]NUTS_Europa!$A$2:$C$81,2,FALSE)</f>
        <v>FRI2</v>
      </c>
      <c r="C37" s="71">
        <f>VLOOKUP(F37,[1]NUTS_Europa!$A$2:$C$81,3,FALSE)</f>
        <v>269</v>
      </c>
      <c r="D37" s="71" t="str">
        <f>VLOOKUP(G37,[1]NUTS_Europa!$A$2:$C$81,2,FALSE)</f>
        <v>ES12</v>
      </c>
      <c r="E37" s="71">
        <f>VLOOKUP(G37,[1]NUTS_Europa!$A$2:$C$81,3,FALSE)</f>
        <v>163</v>
      </c>
      <c r="F37" s="71">
        <v>29</v>
      </c>
      <c r="G37" s="71">
        <v>52</v>
      </c>
      <c r="H37" s="71">
        <v>2043266.8084565343</v>
      </c>
      <c r="I37" s="71">
        <v>883639.42284709681</v>
      </c>
      <c r="J37" s="71">
        <v>120437.35243536306</v>
      </c>
      <c r="K37" s="71">
        <v>28.410747663551405</v>
      </c>
      <c r="L37" s="71">
        <v>17.247254944279597</v>
      </c>
      <c r="M37" s="71">
        <v>20.651328699878288</v>
      </c>
      <c r="N37" s="71">
        <v>2988.6329159212883</v>
      </c>
    </row>
    <row r="38" spans="2:14" s="71" customFormat="1" x14ac:dyDescent="0.25">
      <c r="B38" s="71" t="str">
        <f>VLOOKUP(F38,[1]NUTS_Europa!$A$2:$C$81,2,FALSE)</f>
        <v>FRI2</v>
      </c>
      <c r="C38" s="71">
        <f>VLOOKUP(F38,[1]NUTS_Europa!$A$2:$C$81,3,FALSE)</f>
        <v>269</v>
      </c>
      <c r="D38" s="71" t="str">
        <f>VLOOKUP(G38,[1]NUTS_Europa!$A$2:$C$81,2,FALSE)</f>
        <v>FRG0</v>
      </c>
      <c r="E38" s="71">
        <f>VLOOKUP(G38,[1]NUTS_Europa!$A$2:$C$81,3,FALSE)</f>
        <v>283</v>
      </c>
      <c r="F38" s="71">
        <v>29</v>
      </c>
      <c r="G38" s="71">
        <v>62</v>
      </c>
      <c r="H38" s="71">
        <v>1317969.0330337081</v>
      </c>
      <c r="I38" s="71">
        <v>709122.22059395153</v>
      </c>
      <c r="J38" s="71">
        <v>118487.95435333898</v>
      </c>
      <c r="K38" s="71">
        <v>21.635514018691591</v>
      </c>
      <c r="L38" s="71">
        <v>11.668793105716773</v>
      </c>
      <c r="M38" s="71">
        <v>13.541382795478951</v>
      </c>
      <c r="N38" s="71">
        <v>2188.5072142857148</v>
      </c>
    </row>
    <row r="39" spans="2:14" s="71" customFormat="1" x14ac:dyDescent="0.25">
      <c r="B39" s="71" t="str">
        <f>VLOOKUP(F39,[1]NUTS_Europa!$A$2:$C$81,2,FALSE)</f>
        <v>NL11</v>
      </c>
      <c r="C39" s="71">
        <f>VLOOKUP(F39,[1]NUTS_Europa!$A$2:$C$81,3,FALSE)</f>
        <v>245</v>
      </c>
      <c r="D39" s="71" t="str">
        <f>VLOOKUP(G39,[1]NUTS_Europa!$A$2:$C$81,2,FALSE)</f>
        <v>FRI1</v>
      </c>
      <c r="E39" s="71">
        <f>VLOOKUP(G39,[1]NUTS_Europa!$A$2:$C$81,3,FALSE)</f>
        <v>275</v>
      </c>
      <c r="F39" s="71">
        <v>30</v>
      </c>
      <c r="G39" s="71">
        <v>64</v>
      </c>
      <c r="H39" s="71">
        <v>849870.63111685263</v>
      </c>
      <c r="I39" s="71">
        <v>7269704.4745891718</v>
      </c>
      <c r="J39" s="71">
        <v>114346.85142443764</v>
      </c>
      <c r="K39" s="71">
        <v>55.607476635514026</v>
      </c>
      <c r="L39" s="71">
        <v>12.107765439792708</v>
      </c>
      <c r="M39" s="71">
        <v>1.3844639087389849</v>
      </c>
      <c r="N39" s="71">
        <v>200.35778175313061</v>
      </c>
    </row>
    <row r="40" spans="2:14" s="71" customFormat="1" x14ac:dyDescent="0.25">
      <c r="B40" s="71" t="str">
        <f>VLOOKUP(F40,[1]NUTS_Europa!$A$2:$C$81,2,FALSE)</f>
        <v>NL11</v>
      </c>
      <c r="C40" s="71">
        <f>VLOOKUP(F40,[1]NUTS_Europa!$A$2:$C$81,3,FALSE)</f>
        <v>245</v>
      </c>
      <c r="D40" s="71" t="str">
        <f>VLOOKUP(G40,[1]NUTS_Europa!$A$2:$C$81,2,FALSE)</f>
        <v>FRI2</v>
      </c>
      <c r="E40" s="71">
        <f>VLOOKUP(G40,[1]NUTS_Europa!$A$2:$C$81,3,FALSE)</f>
        <v>275</v>
      </c>
      <c r="F40" s="71">
        <v>30</v>
      </c>
      <c r="G40" s="71">
        <v>69</v>
      </c>
      <c r="H40" s="71">
        <v>815145.4218145269</v>
      </c>
      <c r="I40" s="71">
        <v>7269704.4745891718</v>
      </c>
      <c r="J40" s="71">
        <v>145277.79316174539</v>
      </c>
      <c r="K40" s="71">
        <v>55.607476635514026</v>
      </c>
      <c r="L40" s="71">
        <v>12.107765439792708</v>
      </c>
      <c r="M40" s="71">
        <v>1.3844639087389849</v>
      </c>
      <c r="N40" s="71">
        <v>200.35778175313061</v>
      </c>
    </row>
    <row r="41" spans="2:14" s="71" customFormat="1" x14ac:dyDescent="0.25">
      <c r="B41" s="71" t="str">
        <f>VLOOKUP(F41,[1]NUTS_Europa!$A$2:$C$81,2,FALSE)</f>
        <v>NL33</v>
      </c>
      <c r="C41" s="71">
        <f>VLOOKUP(F41,[1]NUTS_Europa!$A$2:$C$81,3,FALSE)</f>
        <v>250</v>
      </c>
      <c r="D41" s="71" t="str">
        <f>VLOOKUP(G41,[1]NUTS_Europa!$A$2:$C$81,2,FALSE)</f>
        <v>PT15</v>
      </c>
      <c r="E41" s="71">
        <f>VLOOKUP(G41,[1]NUTS_Europa!$A$2:$C$81,3,FALSE)</f>
        <v>1065</v>
      </c>
      <c r="F41" s="71">
        <v>33</v>
      </c>
      <c r="G41" s="71">
        <v>37</v>
      </c>
      <c r="H41" s="71">
        <v>3110599.128268017</v>
      </c>
      <c r="I41" s="71">
        <v>1201247.595503985</v>
      </c>
      <c r="J41" s="71">
        <v>114346.85142443764</v>
      </c>
      <c r="K41" s="71">
        <v>54.47476635514019</v>
      </c>
      <c r="L41" s="71">
        <v>6.4348008819122446</v>
      </c>
      <c r="M41" s="71">
        <v>48.072875286453709</v>
      </c>
      <c r="N41" s="71">
        <v>8027.7332586984066</v>
      </c>
    </row>
    <row r="42" spans="2:14" s="71" customFormat="1" x14ac:dyDescent="0.25">
      <c r="B42" s="71" t="str">
        <f>VLOOKUP(F42,[1]NUTS_Europa!$A$2:$C$81,2,FALSE)</f>
        <v>NL33</v>
      </c>
      <c r="C42" s="71">
        <f>VLOOKUP(F42,[1]NUTS_Europa!$A$2:$C$81,3,FALSE)</f>
        <v>250</v>
      </c>
      <c r="D42" s="71" t="str">
        <f>VLOOKUP(G42,[1]NUTS_Europa!$A$2:$C$81,2,FALSE)</f>
        <v>PT18</v>
      </c>
      <c r="E42" s="71">
        <f>VLOOKUP(G42,[1]NUTS_Europa!$A$2:$C$81,3,FALSE)</f>
        <v>1065</v>
      </c>
      <c r="F42" s="71">
        <v>33</v>
      </c>
      <c r="G42" s="71">
        <v>40</v>
      </c>
      <c r="H42" s="71">
        <v>2541416.7847597827</v>
      </c>
      <c r="I42" s="71">
        <v>1201247.595503985</v>
      </c>
      <c r="J42" s="71">
        <v>137713.62258431225</v>
      </c>
      <c r="K42" s="71">
        <v>54.47476635514019</v>
      </c>
      <c r="L42" s="71">
        <v>6.4348008819122446</v>
      </c>
      <c r="M42" s="71">
        <v>48.072875286453709</v>
      </c>
      <c r="N42" s="71">
        <v>8027.7332586984066</v>
      </c>
    </row>
    <row r="43" spans="2:14" s="71" customFormat="1" x14ac:dyDescent="0.25">
      <c r="B43" s="71" t="str">
        <f>VLOOKUP(F43,[1]NUTS_Europa!$A$2:$C$81,2,FALSE)</f>
        <v>NL34</v>
      </c>
      <c r="C43" s="71">
        <f>VLOOKUP(F43,[1]NUTS_Europa!$A$2:$C$81,3,FALSE)</f>
        <v>250</v>
      </c>
      <c r="D43" s="71" t="str">
        <f>VLOOKUP(G43,[1]NUTS_Europa!$A$2:$C$81,2,FALSE)</f>
        <v>PT11</v>
      </c>
      <c r="E43" s="71">
        <f>VLOOKUP(G43,[1]NUTS_Europa!$A$2:$C$81,3,FALSE)</f>
        <v>111</v>
      </c>
      <c r="F43" s="71">
        <v>34</v>
      </c>
      <c r="G43" s="71">
        <v>36</v>
      </c>
      <c r="H43" s="71">
        <v>1399780.5014016347</v>
      </c>
      <c r="I43" s="71">
        <v>1035760.1571383511</v>
      </c>
      <c r="J43" s="71">
        <v>176841.96373917855</v>
      </c>
      <c r="K43" s="71">
        <v>45.038317757009352</v>
      </c>
      <c r="L43" s="71">
        <v>5.7895981782680828</v>
      </c>
      <c r="M43" s="71">
        <v>19.174507279672543</v>
      </c>
      <c r="N43" s="71">
        <v>3201.9684466753083</v>
      </c>
    </row>
    <row r="44" spans="2:14" s="71" customFormat="1" x14ac:dyDescent="0.25">
      <c r="B44" s="71" t="str">
        <f>VLOOKUP(F44,[1]NUTS_Europa!$A$2:$C$81,2,FALSE)</f>
        <v>NL34</v>
      </c>
      <c r="C44" s="71">
        <f>VLOOKUP(F44,[1]NUTS_Europa!$A$2:$C$81,3,FALSE)</f>
        <v>250</v>
      </c>
      <c r="D44" s="71" t="str">
        <f>VLOOKUP(G44,[1]NUTS_Europa!$A$2:$C$81,2,FALSE)</f>
        <v>PT16</v>
      </c>
      <c r="E44" s="71">
        <f>VLOOKUP(G44,[1]NUTS_Europa!$A$2:$C$81,3,FALSE)</f>
        <v>111</v>
      </c>
      <c r="F44" s="71">
        <v>34</v>
      </c>
      <c r="G44" s="71">
        <v>38</v>
      </c>
      <c r="H44" s="71">
        <v>1294675.8871395176</v>
      </c>
      <c r="I44" s="71">
        <v>1035760.1571383511</v>
      </c>
      <c r="J44" s="71">
        <v>199058.85825050285</v>
      </c>
      <c r="K44" s="71">
        <v>45.038317757009352</v>
      </c>
      <c r="L44" s="71">
        <v>5.7895981782680828</v>
      </c>
      <c r="M44" s="71">
        <v>19.174507279672543</v>
      </c>
      <c r="N44" s="71">
        <v>3201.9684466753083</v>
      </c>
    </row>
    <row r="45" spans="2:14" s="71" customFormat="1" x14ac:dyDescent="0.25">
      <c r="B45" s="71" t="str">
        <f>VLOOKUP(F45,[1]NUTS_Europa!$A$2:$C$81,2,FALSE)</f>
        <v>NL41</v>
      </c>
      <c r="C45" s="71">
        <f>VLOOKUP(F45,[1]NUTS_Europa!$A$2:$C$81,3,FALSE)</f>
        <v>253</v>
      </c>
      <c r="D45" s="71" t="str">
        <f>VLOOKUP(G45,[1]NUTS_Europa!$A$2:$C$81,2,FALSE)</f>
        <v>PT11</v>
      </c>
      <c r="E45" s="71">
        <f>VLOOKUP(G45,[1]NUTS_Europa!$A$2:$C$81,3,FALSE)</f>
        <v>111</v>
      </c>
      <c r="F45" s="71">
        <v>35</v>
      </c>
      <c r="G45" s="71">
        <v>36</v>
      </c>
      <c r="H45" s="71">
        <v>1089296.7212784274</v>
      </c>
      <c r="I45" s="71">
        <v>1016706.2726983886</v>
      </c>
      <c r="J45" s="71">
        <v>163029.68053166996</v>
      </c>
      <c r="K45" s="71">
        <v>45.088785046728972</v>
      </c>
      <c r="L45" s="71">
        <v>9.9130323975520618</v>
      </c>
      <c r="M45" s="71">
        <v>19.174507279672543</v>
      </c>
      <c r="N45" s="71">
        <v>3201.9684466753083</v>
      </c>
    </row>
    <row r="46" spans="2:14" s="71" customFormat="1" x14ac:dyDescent="0.25">
      <c r="B46" s="71" t="str">
        <f>VLOOKUP(F46,[1]NUTS_Europa!$A$2:$C$81,2,FALSE)</f>
        <v>NL41</v>
      </c>
      <c r="C46" s="71">
        <f>VLOOKUP(F46,[1]NUTS_Europa!$A$2:$C$81,3,FALSE)</f>
        <v>253</v>
      </c>
      <c r="D46" s="71" t="str">
        <f>VLOOKUP(G46,[1]NUTS_Europa!$A$2:$C$81,2,FALSE)</f>
        <v>PT16</v>
      </c>
      <c r="E46" s="71">
        <f>VLOOKUP(G46,[1]NUTS_Europa!$A$2:$C$81,3,FALSE)</f>
        <v>111</v>
      </c>
      <c r="F46" s="71">
        <v>35</v>
      </c>
      <c r="G46" s="71">
        <v>38</v>
      </c>
      <c r="H46" s="71">
        <v>984192.10701631045</v>
      </c>
      <c r="I46" s="71">
        <v>1016706.2726983886</v>
      </c>
      <c r="J46" s="71">
        <v>122072.63094995193</v>
      </c>
      <c r="K46" s="71">
        <v>45.088785046728972</v>
      </c>
      <c r="L46" s="71">
        <v>9.9130323975520618</v>
      </c>
      <c r="M46" s="71">
        <v>19.174507279672543</v>
      </c>
      <c r="N46" s="71">
        <v>3201.9684466753083</v>
      </c>
    </row>
    <row r="47" spans="2:14" s="71" customFormat="1" x14ac:dyDescent="0.25">
      <c r="B47" s="71" t="str">
        <f>VLOOKUP(F47,[1]NUTS_Europa!$A$2:$C$81,2,FALSE)</f>
        <v>BE21</v>
      </c>
      <c r="C47" s="71">
        <f>VLOOKUP(F47,[1]NUTS_Europa!$A$2:$C$81,3,FALSE)</f>
        <v>250</v>
      </c>
      <c r="D47" s="71" t="str">
        <f>VLOOKUP(G47,[1]NUTS_Europa!$A$2:$C$81,2,FALSE)</f>
        <v>FRE1</v>
      </c>
      <c r="E47" s="71">
        <f>VLOOKUP(G47,[1]NUTS_Europa!$A$2:$C$81,3,FALSE)</f>
        <v>235</v>
      </c>
      <c r="F47" s="71">
        <v>41</v>
      </c>
      <c r="G47" s="71">
        <v>61</v>
      </c>
      <c r="H47" s="71">
        <v>614150.40564750833</v>
      </c>
      <c r="I47" s="71">
        <v>501265.27024462179</v>
      </c>
      <c r="J47" s="71">
        <v>142392.8717171422</v>
      </c>
      <c r="K47" s="71">
        <v>6.5887850467289724</v>
      </c>
      <c r="L47" s="71">
        <v>8.9581301954664347</v>
      </c>
      <c r="M47" s="71">
        <v>10.227627549015152</v>
      </c>
      <c r="N47" s="71">
        <v>1705.3756088534108</v>
      </c>
    </row>
    <row r="48" spans="2:14" s="71" customFormat="1" x14ac:dyDescent="0.25">
      <c r="B48" s="71" t="str">
        <f>VLOOKUP(F48,[1]NUTS_Europa!$A$2:$C$81,2,FALSE)</f>
        <v>BE21</v>
      </c>
      <c r="C48" s="71">
        <f>VLOOKUP(F48,[1]NUTS_Europa!$A$2:$C$81,3,FALSE)</f>
        <v>250</v>
      </c>
      <c r="D48" s="71" t="str">
        <f>VLOOKUP(G48,[1]NUTS_Europa!$A$2:$C$81,2,FALSE)</f>
        <v>FRF2</v>
      </c>
      <c r="E48" s="71">
        <f>VLOOKUP(G48,[1]NUTS_Europa!$A$2:$C$81,3,FALSE)</f>
        <v>235</v>
      </c>
      <c r="F48" s="71">
        <v>41</v>
      </c>
      <c r="G48" s="71">
        <v>67</v>
      </c>
      <c r="H48" s="71">
        <v>1170357.2961745611</v>
      </c>
      <c r="I48" s="71">
        <v>501265.27024462179</v>
      </c>
      <c r="J48" s="71">
        <v>156784.57749147405</v>
      </c>
      <c r="K48" s="71">
        <v>6.5887850467289724</v>
      </c>
      <c r="L48" s="71">
        <v>8.9581301954664347</v>
      </c>
      <c r="M48" s="71">
        <v>10.227627549015152</v>
      </c>
      <c r="N48" s="71">
        <v>1705.3756088534108</v>
      </c>
    </row>
    <row r="49" spans="2:14" s="71" customFormat="1" x14ac:dyDescent="0.25">
      <c r="B49" s="71" t="str">
        <f>VLOOKUP(F49,[1]NUTS_Europa!$A$2:$C$81,2,FALSE)</f>
        <v>BE23</v>
      </c>
      <c r="C49" s="71">
        <f>VLOOKUP(F49,[1]NUTS_Europa!$A$2:$C$81,3,FALSE)</f>
        <v>220</v>
      </c>
      <c r="D49" s="71" t="str">
        <f>VLOOKUP(G49,[1]NUTS_Europa!$A$2:$C$81,2,FALSE)</f>
        <v>ES12</v>
      </c>
      <c r="E49" s="71">
        <f>VLOOKUP(G49,[1]NUTS_Europa!$A$2:$C$81,3,FALSE)</f>
        <v>163</v>
      </c>
      <c r="F49" s="71">
        <v>42</v>
      </c>
      <c r="G49" s="71">
        <v>52</v>
      </c>
      <c r="H49" s="71">
        <v>1504808.0291065609</v>
      </c>
      <c r="I49" s="71">
        <v>872057.87188087101</v>
      </c>
      <c r="J49" s="71">
        <v>137713.62258431225</v>
      </c>
      <c r="K49" s="71">
        <v>34.112149532710283</v>
      </c>
      <c r="L49" s="71">
        <v>16.303848143195918</v>
      </c>
      <c r="M49" s="71">
        <v>18.828368009499005</v>
      </c>
      <c r="N49" s="71">
        <v>2988.6329159212883</v>
      </c>
    </row>
    <row r="50" spans="2:14" s="71" customFormat="1" x14ac:dyDescent="0.25">
      <c r="B50" s="71" t="str">
        <f>VLOOKUP(F50,[1]NUTS_Europa!$A$2:$C$81,2,FALSE)</f>
        <v>BE23</v>
      </c>
      <c r="C50" s="71">
        <f>VLOOKUP(F50,[1]NUTS_Europa!$A$2:$C$81,3,FALSE)</f>
        <v>220</v>
      </c>
      <c r="D50" s="71" t="str">
        <f>VLOOKUP(G50,[1]NUTS_Europa!$A$2:$C$81,2,FALSE)</f>
        <v>NL11</v>
      </c>
      <c r="E50" s="71">
        <f>VLOOKUP(G50,[1]NUTS_Europa!$A$2:$C$81,3,FALSE)</f>
        <v>218</v>
      </c>
      <c r="F50" s="71">
        <v>42</v>
      </c>
      <c r="G50" s="71">
        <v>70</v>
      </c>
      <c r="H50" s="71">
        <v>1882131.7337616603</v>
      </c>
      <c r="I50" s="71">
        <v>481322.96295278368</v>
      </c>
      <c r="J50" s="71">
        <v>117061.71481038857</v>
      </c>
      <c r="K50" s="71">
        <v>5.8411214953271031</v>
      </c>
      <c r="L50" s="71">
        <v>9.7434481564846109</v>
      </c>
      <c r="M50" s="71">
        <v>26.700444976077176</v>
      </c>
      <c r="N50" s="71">
        <v>5283.3813751893604</v>
      </c>
    </row>
    <row r="51" spans="2:14" s="71" customFormat="1" x14ac:dyDescent="0.25">
      <c r="B51" s="71" t="str">
        <f>VLOOKUP(F51,[1]NUTS_Europa!$A$2:$C$81,2,FALSE)</f>
        <v>BE25</v>
      </c>
      <c r="C51" s="71">
        <f>VLOOKUP(F51,[1]NUTS_Europa!$A$2:$C$81,3,FALSE)</f>
        <v>220</v>
      </c>
      <c r="D51" s="71" t="str">
        <f>VLOOKUP(G51,[1]NUTS_Europa!$A$2:$C$81,2,FALSE)</f>
        <v>FRD1</v>
      </c>
      <c r="E51" s="71">
        <f>VLOOKUP(G51,[1]NUTS_Europa!$A$2:$C$81,3,FALSE)</f>
        <v>269</v>
      </c>
      <c r="F51" s="71">
        <v>43</v>
      </c>
      <c r="G51" s="71">
        <v>59</v>
      </c>
      <c r="H51" s="71">
        <v>3950648.3135760175</v>
      </c>
      <c r="I51" s="71">
        <v>540957.51756175118</v>
      </c>
      <c r="J51" s="71">
        <v>199058.85825050285</v>
      </c>
      <c r="K51" s="71">
        <v>8.4574766355140198</v>
      </c>
      <c r="L51" s="71">
        <v>13.505876797967389</v>
      </c>
      <c r="M51" s="71">
        <v>96.877896804728721</v>
      </c>
      <c r="N51" s="71">
        <v>15377.459749552776</v>
      </c>
    </row>
    <row r="52" spans="2:14" s="71" customFormat="1" x14ac:dyDescent="0.25">
      <c r="B52" s="71" t="str">
        <f>VLOOKUP(F52,[1]NUTS_Europa!$A$2:$C$81,2,FALSE)</f>
        <v>BE25</v>
      </c>
      <c r="C52" s="71">
        <f>VLOOKUP(F52,[1]NUTS_Europa!$A$2:$C$81,3,FALSE)</f>
        <v>220</v>
      </c>
      <c r="D52" s="71" t="str">
        <f>VLOOKUP(G52,[1]NUTS_Europa!$A$2:$C$81,2,FALSE)</f>
        <v>PT18</v>
      </c>
      <c r="E52" s="71">
        <f>VLOOKUP(G52,[1]NUTS_Europa!$A$2:$C$81,3,FALSE)</f>
        <v>61</v>
      </c>
      <c r="F52" s="71">
        <v>43</v>
      </c>
      <c r="G52" s="71">
        <v>80</v>
      </c>
      <c r="H52" s="71">
        <v>12082111.223044278</v>
      </c>
      <c r="I52" s="71">
        <v>1236441.7837970729</v>
      </c>
      <c r="J52" s="71">
        <v>117768.50934211678</v>
      </c>
      <c r="K52" s="71">
        <v>63.255607476635518</v>
      </c>
      <c r="L52" s="71">
        <v>12.535179430720477</v>
      </c>
      <c r="M52" s="71">
        <v>90.290483661299604</v>
      </c>
      <c r="N52" s="71">
        <v>17957.974070304699</v>
      </c>
    </row>
    <row r="53" spans="2:14" s="71" customFormat="1" x14ac:dyDescent="0.25">
      <c r="B53" s="71" t="str">
        <f>VLOOKUP(F53,[1]NUTS_Europa!$A$2:$C$81,2,FALSE)</f>
        <v>DE50</v>
      </c>
      <c r="C53" s="71">
        <f>VLOOKUP(F53,[1]NUTS_Europa!$A$2:$C$81,3,FALSE)</f>
        <v>1069</v>
      </c>
      <c r="D53" s="71" t="str">
        <f>VLOOKUP(G53,[1]NUTS_Europa!$A$2:$C$81,2,FALSE)</f>
        <v>FRJ2</v>
      </c>
      <c r="E53" s="71">
        <f>VLOOKUP(G53,[1]NUTS_Europa!$A$2:$C$81,3,FALSE)</f>
        <v>163</v>
      </c>
      <c r="F53" s="71">
        <v>44</v>
      </c>
      <c r="G53" s="71">
        <v>68</v>
      </c>
      <c r="H53" s="71">
        <v>2639781.8754229564</v>
      </c>
      <c r="I53" s="71">
        <v>1100451.899847985</v>
      </c>
      <c r="J53" s="71">
        <v>122072.63094995193</v>
      </c>
      <c r="K53" s="71">
        <v>48.97429906542056</v>
      </c>
      <c r="L53" s="71">
        <v>13.980599380814315</v>
      </c>
      <c r="M53" s="71">
        <v>17.896979485261216</v>
      </c>
      <c r="N53" s="71">
        <v>2988.6329159212883</v>
      </c>
    </row>
    <row r="54" spans="2:14" s="71" customFormat="1" x14ac:dyDescent="0.25">
      <c r="B54" s="71" t="str">
        <f>VLOOKUP(F54,[1]NUTS_Europa!$A$2:$C$81,2,FALSE)</f>
        <v>DE50</v>
      </c>
      <c r="C54" s="71">
        <f>VLOOKUP(F54,[1]NUTS_Europa!$A$2:$C$81,3,FALSE)</f>
        <v>1069</v>
      </c>
      <c r="D54" s="71" t="str">
        <f>VLOOKUP(G54,[1]NUTS_Europa!$A$2:$C$81,2,FALSE)</f>
        <v>NL11</v>
      </c>
      <c r="E54" s="71">
        <f>VLOOKUP(G54,[1]NUTS_Europa!$A$2:$C$81,3,FALSE)</f>
        <v>218</v>
      </c>
      <c r="F54" s="71">
        <v>44</v>
      </c>
      <c r="G54" s="71">
        <v>70</v>
      </c>
      <c r="H54" s="71">
        <v>2136106.9334305408</v>
      </c>
      <c r="I54" s="71">
        <v>593828.69511824683</v>
      </c>
      <c r="J54" s="71">
        <v>120437.35243536306</v>
      </c>
      <c r="K54" s="71">
        <v>12.615420560747665</v>
      </c>
      <c r="L54" s="71">
        <v>7.4201993941030073</v>
      </c>
      <c r="M54" s="71">
        <v>25.053912624844571</v>
      </c>
      <c r="N54" s="71">
        <v>5283.3813751893604</v>
      </c>
    </row>
    <row r="55" spans="2:14" s="71" customFormat="1" x14ac:dyDescent="0.25">
      <c r="B55" s="71" t="str">
        <f>VLOOKUP(F55,[1]NUTS_Europa!$A$2:$C$81,2,FALSE)</f>
        <v>DE60</v>
      </c>
      <c r="C55" s="71">
        <f>VLOOKUP(F55,[1]NUTS_Europa!$A$2:$C$81,3,FALSE)</f>
        <v>245</v>
      </c>
      <c r="D55" s="71" t="str">
        <f>VLOOKUP(G55,[1]NUTS_Europa!$A$2:$C$81,2,FALSE)</f>
        <v>ES62</v>
      </c>
      <c r="E55" s="71">
        <f>VLOOKUP(G55,[1]NUTS_Europa!$A$2:$C$81,3,FALSE)</f>
        <v>462</v>
      </c>
      <c r="F55" s="71">
        <v>45</v>
      </c>
      <c r="G55" s="71">
        <v>58</v>
      </c>
      <c r="H55" s="71">
        <v>3663082.7067158092</v>
      </c>
      <c r="I55" s="71">
        <v>7999635.6020320375</v>
      </c>
      <c r="J55" s="71">
        <v>114346.85142443764</v>
      </c>
      <c r="K55" s="71">
        <v>79.908411214953276</v>
      </c>
      <c r="L55" s="71">
        <v>12.795112928248352</v>
      </c>
      <c r="M55" s="71">
        <v>5.6569944514413955</v>
      </c>
      <c r="N55" s="71">
        <v>944.66665934802472</v>
      </c>
    </row>
    <row r="56" spans="2:14" s="71" customFormat="1" x14ac:dyDescent="0.25">
      <c r="B56" s="71" t="str">
        <f>VLOOKUP(F56,[1]NUTS_Europa!$A$2:$C$81,2,FALSE)</f>
        <v>DE60</v>
      </c>
      <c r="C56" s="71">
        <f>VLOOKUP(F56,[1]NUTS_Europa!$A$2:$C$81,3,FALSE)</f>
        <v>245</v>
      </c>
      <c r="D56" s="71" t="str">
        <f>VLOOKUP(G56,[1]NUTS_Europa!$A$2:$C$81,2,FALSE)</f>
        <v>FRD2</v>
      </c>
      <c r="E56" s="71">
        <f>VLOOKUP(G56,[1]NUTS_Europa!$A$2:$C$81,3,FALSE)</f>
        <v>271</v>
      </c>
      <c r="F56" s="71">
        <v>45</v>
      </c>
      <c r="G56" s="71">
        <v>60</v>
      </c>
      <c r="H56" s="71">
        <v>1273426.4174798925</v>
      </c>
      <c r="I56" s="71">
        <v>8855008.0943916515</v>
      </c>
      <c r="J56" s="71">
        <v>141734.02658349604</v>
      </c>
      <c r="K56" s="71">
        <v>130.70093457943926</v>
      </c>
      <c r="L56" s="71">
        <v>13.017422893278916</v>
      </c>
      <c r="M56" s="71">
        <v>2.318596319562896</v>
      </c>
      <c r="N56" s="71">
        <v>335.54418604651164</v>
      </c>
    </row>
    <row r="57" spans="2:14" s="71" customFormat="1" x14ac:dyDescent="0.25">
      <c r="B57" s="71" t="str">
        <f>VLOOKUP(F57,[1]NUTS_Europa!$A$2:$C$81,2,FALSE)</f>
        <v>DE80</v>
      </c>
      <c r="C57" s="71">
        <f>VLOOKUP(F57,[1]NUTS_Europa!$A$2:$C$81,3,FALSE)</f>
        <v>245</v>
      </c>
      <c r="D57" s="71" t="str">
        <f>VLOOKUP(G57,[1]NUTS_Europa!$A$2:$C$81,2,FALSE)</f>
        <v>ES11</v>
      </c>
      <c r="E57" s="71">
        <f>VLOOKUP(G57,[1]NUTS_Europa!$A$2:$C$81,3,FALSE)</f>
        <v>285</v>
      </c>
      <c r="F57" s="71">
        <v>46</v>
      </c>
      <c r="G57" s="71">
        <v>51</v>
      </c>
      <c r="H57" s="71">
        <v>59259.211635068961</v>
      </c>
      <c r="I57" s="71">
        <v>8037499.5536889601</v>
      </c>
      <c r="J57" s="71">
        <v>127001.21695280854</v>
      </c>
      <c r="K57" s="71">
        <v>47.006542056074771</v>
      </c>
      <c r="L57" s="71">
        <v>13.82589837124879</v>
      </c>
      <c r="M57" s="71">
        <v>9.347503527921551E-2</v>
      </c>
      <c r="N57" s="71">
        <v>15.60948133635801</v>
      </c>
    </row>
    <row r="58" spans="2:14" s="71" customFormat="1" x14ac:dyDescent="0.25">
      <c r="B58" s="71" t="str">
        <f>VLOOKUP(F58,[1]NUTS_Europa!$A$2:$C$81,2,FALSE)</f>
        <v>DE80</v>
      </c>
      <c r="C58" s="71">
        <f>VLOOKUP(F58,[1]NUTS_Europa!$A$2:$C$81,3,FALSE)</f>
        <v>245</v>
      </c>
      <c r="D58" s="71" t="str">
        <f>VLOOKUP(G58,[1]NUTS_Europa!$A$2:$C$81,2,FALSE)</f>
        <v>ES13</v>
      </c>
      <c r="E58" s="71">
        <f>VLOOKUP(G58,[1]NUTS_Europa!$A$2:$C$81,3,FALSE)</f>
        <v>285</v>
      </c>
      <c r="F58" s="71">
        <v>46</v>
      </c>
      <c r="G58" s="71">
        <v>53</v>
      </c>
      <c r="H58" s="71">
        <v>66002.148554304891</v>
      </c>
      <c r="I58" s="71">
        <v>8037499.5536889601</v>
      </c>
      <c r="J58" s="71">
        <v>117768.50934211678</v>
      </c>
      <c r="K58" s="71">
        <v>47.006542056074771</v>
      </c>
      <c r="L58" s="71">
        <v>13.82589837124879</v>
      </c>
      <c r="M58" s="71">
        <v>9.347503527921551E-2</v>
      </c>
      <c r="N58" s="71">
        <v>15.60948133635801</v>
      </c>
    </row>
    <row r="59" spans="2:14" s="71" customFormat="1" x14ac:dyDescent="0.25">
      <c r="B59" s="71" t="str">
        <f>VLOOKUP(F59,[1]NUTS_Europa!$A$2:$C$81,2,FALSE)</f>
        <v>DE93</v>
      </c>
      <c r="C59" s="71">
        <f>VLOOKUP(F59,[1]NUTS_Europa!$A$2:$C$81,3,FALSE)</f>
        <v>245</v>
      </c>
      <c r="D59" s="71" t="str">
        <f>VLOOKUP(G59,[1]NUTS_Europa!$A$2:$C$81,2,FALSE)</f>
        <v>FRI1</v>
      </c>
      <c r="E59" s="71">
        <f>VLOOKUP(G59,[1]NUTS_Europa!$A$2:$C$81,3,FALSE)</f>
        <v>275</v>
      </c>
      <c r="F59" s="71">
        <v>47</v>
      </c>
      <c r="G59" s="71">
        <v>64</v>
      </c>
      <c r="H59" s="71">
        <v>851975.1892563873</v>
      </c>
      <c r="I59" s="71">
        <v>7269704.4745891718</v>
      </c>
      <c r="J59" s="71">
        <v>154854.30087154222</v>
      </c>
      <c r="K59" s="71">
        <v>55.607476635514026</v>
      </c>
      <c r="L59" s="71">
        <v>12.107765439792708</v>
      </c>
      <c r="M59" s="71">
        <v>1.3844639087389849</v>
      </c>
      <c r="N59" s="71">
        <v>200.35778175313061</v>
      </c>
    </row>
    <row r="60" spans="2:14" s="71" customFormat="1" x14ac:dyDescent="0.25">
      <c r="B60" s="71" t="str">
        <f>VLOOKUP(F60,[1]NUTS_Europa!$A$2:$C$81,2,FALSE)</f>
        <v>DE93</v>
      </c>
      <c r="C60" s="71">
        <f>VLOOKUP(F60,[1]NUTS_Europa!$A$2:$C$81,3,FALSE)</f>
        <v>245</v>
      </c>
      <c r="D60" s="71" t="str">
        <f>VLOOKUP(G60,[1]NUTS_Europa!$A$2:$C$81,2,FALSE)</f>
        <v>FRI2</v>
      </c>
      <c r="E60" s="71">
        <f>VLOOKUP(G60,[1]NUTS_Europa!$A$2:$C$81,3,FALSE)</f>
        <v>275</v>
      </c>
      <c r="F60" s="71">
        <v>47</v>
      </c>
      <c r="G60" s="71">
        <v>69</v>
      </c>
      <c r="H60" s="71">
        <v>817249.9799540618</v>
      </c>
      <c r="I60" s="71">
        <v>7269704.4745891718</v>
      </c>
      <c r="J60" s="71">
        <v>114346.85142443764</v>
      </c>
      <c r="K60" s="71">
        <v>55.607476635514026</v>
      </c>
      <c r="L60" s="71">
        <v>12.107765439792708</v>
      </c>
      <c r="M60" s="71">
        <v>1.3844639087389849</v>
      </c>
      <c r="N60" s="71">
        <v>200.35778175313061</v>
      </c>
    </row>
    <row r="61" spans="2:14" s="71" customFormat="1" x14ac:dyDescent="0.25">
      <c r="B61" s="71" t="str">
        <f>VLOOKUP(F61,[1]NUTS_Europa!$A$2:$C$81,2,FALSE)</f>
        <v>DE94</v>
      </c>
      <c r="C61" s="71">
        <f>VLOOKUP(F61,[1]NUTS_Europa!$A$2:$C$81,3,FALSE)</f>
        <v>1069</v>
      </c>
      <c r="D61" s="71" t="str">
        <f>VLOOKUP(G61,[1]NUTS_Europa!$A$2:$C$81,2,FALSE)</f>
        <v>FRE1</v>
      </c>
      <c r="E61" s="71">
        <f>VLOOKUP(G61,[1]NUTS_Europa!$A$2:$C$81,3,FALSE)</f>
        <v>235</v>
      </c>
      <c r="F61" s="71">
        <v>48</v>
      </c>
      <c r="G61" s="71">
        <v>61</v>
      </c>
      <c r="H61" s="71">
        <v>640350.16740627377</v>
      </c>
      <c r="I61" s="71">
        <v>606726.28509507654</v>
      </c>
      <c r="J61" s="71">
        <v>507158.32774652442</v>
      </c>
      <c r="K61" s="71">
        <v>19.049532710280378</v>
      </c>
      <c r="L61" s="71">
        <v>9.9168037160677791</v>
      </c>
      <c r="M61" s="71">
        <v>8.6559390543026709</v>
      </c>
      <c r="N61" s="71">
        <v>1705.3756088534108</v>
      </c>
    </row>
    <row r="62" spans="2:14" s="71" customFormat="1" x14ac:dyDescent="0.25">
      <c r="B62" s="71" t="str">
        <f>VLOOKUP(F62,[1]NUTS_Europa!$A$2:$C$81,2,FALSE)</f>
        <v>DE94</v>
      </c>
      <c r="C62" s="71">
        <f>VLOOKUP(F62,[1]NUTS_Europa!$A$2:$C$81,3,FALSE)</f>
        <v>1069</v>
      </c>
      <c r="D62" s="71" t="str">
        <f>VLOOKUP(G62,[1]NUTS_Europa!$A$2:$C$81,2,FALSE)</f>
        <v>FRF2</v>
      </c>
      <c r="E62" s="71">
        <f>VLOOKUP(G62,[1]NUTS_Europa!$A$2:$C$81,3,FALSE)</f>
        <v>235</v>
      </c>
      <c r="F62" s="71">
        <v>48</v>
      </c>
      <c r="G62" s="71">
        <v>67</v>
      </c>
      <c r="H62" s="71">
        <v>1196557.0579333266</v>
      </c>
      <c r="I62" s="71">
        <v>606726.28509507654</v>
      </c>
      <c r="J62" s="71">
        <v>126450.71705482846</v>
      </c>
      <c r="K62" s="71">
        <v>19.049532710280378</v>
      </c>
      <c r="L62" s="71">
        <v>9.9168037160677791</v>
      </c>
      <c r="M62" s="71">
        <v>8.6559390543026709</v>
      </c>
      <c r="N62" s="71">
        <v>1705.3756088534108</v>
      </c>
    </row>
    <row r="63" spans="2:14" s="71" customFormat="1" x14ac:dyDescent="0.25">
      <c r="B63" s="71" t="str">
        <f>VLOOKUP(F63,[1]NUTS_Europa!$A$2:$C$81,2,FALSE)</f>
        <v>DEA1</v>
      </c>
      <c r="C63" s="71">
        <f>VLOOKUP(F63,[1]NUTS_Europa!$A$2:$C$81,3,FALSE)</f>
        <v>245</v>
      </c>
      <c r="D63" s="71" t="str">
        <f>VLOOKUP(G63,[1]NUTS_Europa!$A$2:$C$81,2,FALSE)</f>
        <v>ES11</v>
      </c>
      <c r="E63" s="71">
        <f>VLOOKUP(G63,[1]NUTS_Europa!$A$2:$C$81,3,FALSE)</f>
        <v>285</v>
      </c>
      <c r="F63" s="71">
        <v>49</v>
      </c>
      <c r="G63" s="71">
        <v>51</v>
      </c>
      <c r="H63" s="71">
        <v>58049.991944385321</v>
      </c>
      <c r="I63" s="71">
        <v>8037499.5536889601</v>
      </c>
      <c r="J63" s="71">
        <v>176841.96373917855</v>
      </c>
      <c r="K63" s="71">
        <v>47.006542056074771</v>
      </c>
      <c r="L63" s="71">
        <v>13.82589837124879</v>
      </c>
      <c r="M63" s="71">
        <v>9.347503527921551E-2</v>
      </c>
      <c r="N63" s="71">
        <v>15.60948133635801</v>
      </c>
    </row>
    <row r="64" spans="2:14" s="71" customFormat="1" x14ac:dyDescent="0.25">
      <c r="B64" s="71" t="str">
        <f>VLOOKUP(F64,[1]NUTS_Europa!$A$2:$C$81,2,FALSE)</f>
        <v>DEA1</v>
      </c>
      <c r="C64" s="71">
        <f>VLOOKUP(F64,[1]NUTS_Europa!$A$2:$C$81,3,FALSE)</f>
        <v>245</v>
      </c>
      <c r="D64" s="71" t="str">
        <f>VLOOKUP(G64,[1]NUTS_Europa!$A$2:$C$81,2,FALSE)</f>
        <v>ES13</v>
      </c>
      <c r="E64" s="71">
        <f>VLOOKUP(G64,[1]NUTS_Europa!$A$2:$C$81,3,FALSE)</f>
        <v>285</v>
      </c>
      <c r="F64" s="71">
        <v>49</v>
      </c>
      <c r="G64" s="71">
        <v>53</v>
      </c>
      <c r="H64" s="71">
        <v>64792.928863621244</v>
      </c>
      <c r="I64" s="71">
        <v>8037499.5536889601</v>
      </c>
      <c r="J64" s="71">
        <v>199058.85825050285</v>
      </c>
      <c r="K64" s="71">
        <v>47.006542056074771</v>
      </c>
      <c r="L64" s="71">
        <v>13.82589837124879</v>
      </c>
      <c r="M64" s="71">
        <v>9.347503527921551E-2</v>
      </c>
      <c r="N64" s="71">
        <v>15.60948133635801</v>
      </c>
    </row>
    <row r="65" spans="2:14" s="71" customFormat="1" x14ac:dyDescent="0.25">
      <c r="B65" s="71" t="str">
        <f>VLOOKUP(F65,[1]NUTS_Europa!$A$2:$C$81,2,FALSE)</f>
        <v>DEF0</v>
      </c>
      <c r="C65" s="71">
        <f>VLOOKUP(F65,[1]NUTS_Europa!$A$2:$C$81,3,FALSE)</f>
        <v>245</v>
      </c>
      <c r="D65" s="71" t="str">
        <f>VLOOKUP(G65,[1]NUTS_Europa!$A$2:$C$81,2,FALSE)</f>
        <v>ES62</v>
      </c>
      <c r="E65" s="71">
        <f>VLOOKUP(G65,[1]NUTS_Europa!$A$2:$C$81,3,FALSE)</f>
        <v>462</v>
      </c>
      <c r="F65" s="71">
        <v>50</v>
      </c>
      <c r="G65" s="71">
        <v>58</v>
      </c>
      <c r="H65" s="71">
        <v>3614709.1610905742</v>
      </c>
      <c r="I65" s="71">
        <v>7999635.6020320375</v>
      </c>
      <c r="J65" s="71">
        <v>117923.68175590989</v>
      </c>
      <c r="K65" s="71">
        <v>79.908411214953276</v>
      </c>
      <c r="L65" s="71">
        <v>12.795112928248352</v>
      </c>
      <c r="M65" s="71">
        <v>5.6569944514413955</v>
      </c>
      <c r="N65" s="71">
        <v>944.66665934802472</v>
      </c>
    </row>
    <row r="66" spans="2:14" s="71" customFormat="1" x14ac:dyDescent="0.25">
      <c r="B66" s="71" t="str">
        <f>VLOOKUP(F66,[1]NUTS_Europa!$A$2:$C$81,2,FALSE)</f>
        <v>DEF0</v>
      </c>
      <c r="C66" s="71">
        <f>VLOOKUP(F66,[1]NUTS_Europa!$A$2:$C$81,3,FALSE)</f>
        <v>245</v>
      </c>
      <c r="D66" s="71" t="str">
        <f>VLOOKUP(G66,[1]NUTS_Europa!$A$2:$C$81,2,FALSE)</f>
        <v>FRD2</v>
      </c>
      <c r="E66" s="71">
        <f>VLOOKUP(G66,[1]NUTS_Europa!$A$2:$C$81,3,FALSE)</f>
        <v>271</v>
      </c>
      <c r="F66" s="71">
        <v>50</v>
      </c>
      <c r="G66" s="71">
        <v>60</v>
      </c>
      <c r="H66" s="71">
        <v>1256244.2063450087</v>
      </c>
      <c r="I66" s="71">
        <v>8855008.0943916515</v>
      </c>
      <c r="J66" s="71">
        <v>176841.96373917855</v>
      </c>
      <c r="K66" s="71">
        <v>130.70093457943926</v>
      </c>
      <c r="L66" s="71">
        <v>13.017422893278916</v>
      </c>
      <c r="M66" s="71">
        <v>2.318596319562896</v>
      </c>
      <c r="N66" s="71">
        <v>335.54418604651164</v>
      </c>
    </row>
    <row r="67" spans="2:14" s="71" customFormat="1" x14ac:dyDescent="0.25">
      <c r="B67" s="71" t="str">
        <f>VLOOKUP(F67,[1]NUTS_Europa!$A$2:$C$81,2,FALSE)</f>
        <v>ES21</v>
      </c>
      <c r="C67" s="71">
        <f>VLOOKUP(F67,[1]NUTS_Europa!$A$2:$C$81,3,FALSE)</f>
        <v>1063</v>
      </c>
      <c r="D67" s="71" t="str">
        <f>VLOOKUP(G67,[1]NUTS_Europa!$A$2:$C$81,2,FALSE)</f>
        <v>ES61</v>
      </c>
      <c r="E67" s="71">
        <f>VLOOKUP(G67,[1]NUTS_Europa!$A$2:$C$81,3,FALSE)</f>
        <v>297</v>
      </c>
      <c r="F67" s="71">
        <v>54</v>
      </c>
      <c r="G67" s="71">
        <v>57</v>
      </c>
      <c r="H67" s="71">
        <v>1030497.4930215988</v>
      </c>
      <c r="I67" s="71">
        <v>4334339.89671872</v>
      </c>
      <c r="J67" s="71">
        <v>199597.7643046609</v>
      </c>
      <c r="K67" s="71">
        <v>27.383177570093459</v>
      </c>
      <c r="L67" s="71">
        <v>8.8419448367673965</v>
      </c>
      <c r="M67" s="71">
        <v>4.4268993443652347</v>
      </c>
      <c r="N67" s="71">
        <v>873.71723799457936</v>
      </c>
    </row>
    <row r="68" spans="2:14" s="71" customFormat="1" x14ac:dyDescent="0.25">
      <c r="B68" s="71" t="str">
        <f>VLOOKUP(F68,[1]NUTS_Europa!$A$2:$C$81,2,FALSE)</f>
        <v>ES21</v>
      </c>
      <c r="C68" s="71">
        <f>VLOOKUP(F68,[1]NUTS_Europa!$A$2:$C$81,3,FALSE)</f>
        <v>1063</v>
      </c>
      <c r="D68" s="71" t="str">
        <f>VLOOKUP(G68,[1]NUTS_Europa!$A$2:$C$81,2,FALSE)</f>
        <v>FRH0</v>
      </c>
      <c r="E68" s="71">
        <f>VLOOKUP(G68,[1]NUTS_Europa!$A$2:$C$81,3,FALSE)</f>
        <v>282</v>
      </c>
      <c r="F68" s="71">
        <v>54</v>
      </c>
      <c r="G68" s="71">
        <v>63</v>
      </c>
      <c r="H68" s="71">
        <v>826584.74581411888</v>
      </c>
      <c r="I68" s="71">
        <v>4980296.9992418699</v>
      </c>
      <c r="J68" s="71">
        <v>141734.02658349604</v>
      </c>
      <c r="K68" s="71">
        <v>68.691588785046733</v>
      </c>
      <c r="L68" s="71">
        <v>10.410588193023683</v>
      </c>
      <c r="M68" s="71">
        <v>4.7209922024532647</v>
      </c>
      <c r="N68" s="71">
        <v>788.36279069767454</v>
      </c>
    </row>
    <row r="69" spans="2:14" s="71" customFormat="1" x14ac:dyDescent="0.25">
      <c r="B69" s="71" t="str">
        <f>VLOOKUP(F69,[1]NUTS_Europa!$A$2:$C$81,2,FALSE)</f>
        <v>ES51</v>
      </c>
      <c r="C69" s="71">
        <f>VLOOKUP(F69,[1]NUTS_Europa!$A$2:$C$81,3,FALSE)</f>
        <v>1064</v>
      </c>
      <c r="D69" s="71" t="str">
        <f>VLOOKUP(G69,[1]NUTS_Europa!$A$2:$C$81,2,FALSE)</f>
        <v>FRH0</v>
      </c>
      <c r="E69" s="71">
        <f>VLOOKUP(G69,[1]NUTS_Europa!$A$2:$C$81,3,FALSE)</f>
        <v>282</v>
      </c>
      <c r="F69" s="71">
        <v>55</v>
      </c>
      <c r="G69" s="71">
        <v>63</v>
      </c>
      <c r="H69" s="71">
        <v>558023.66082764522</v>
      </c>
      <c r="I69" s="71">
        <v>1209549.0732896365</v>
      </c>
      <c r="J69" s="71">
        <v>127001.21695280854</v>
      </c>
      <c r="K69" s="71">
        <v>58.739205607476642</v>
      </c>
      <c r="L69" s="71">
        <v>13.161929866727091</v>
      </c>
      <c r="M69" s="71">
        <v>4.7209922024532647</v>
      </c>
      <c r="N69" s="71">
        <v>788.36279069767454</v>
      </c>
    </row>
    <row r="70" spans="2:14" s="71" customFormat="1" x14ac:dyDescent="0.25">
      <c r="B70" s="71" t="str">
        <f>VLOOKUP(F70,[1]NUTS_Europa!$A$2:$C$81,2,FALSE)</f>
        <v>ES51</v>
      </c>
      <c r="C70" s="71">
        <f>VLOOKUP(F70,[1]NUTS_Europa!$A$2:$C$81,3,FALSE)</f>
        <v>1064</v>
      </c>
      <c r="D70" s="71" t="str">
        <f>VLOOKUP(G70,[1]NUTS_Europa!$A$2:$C$81,2,FALSE)</f>
        <v>FRI3</v>
      </c>
      <c r="E70" s="71">
        <f>VLOOKUP(G70,[1]NUTS_Europa!$A$2:$C$81,3,FALSE)</f>
        <v>282</v>
      </c>
      <c r="F70" s="71">
        <v>55</v>
      </c>
      <c r="G70" s="71">
        <v>65</v>
      </c>
      <c r="H70" s="71">
        <v>703975.62935787789</v>
      </c>
      <c r="I70" s="71">
        <v>1209549.0732896365</v>
      </c>
      <c r="J70" s="71">
        <v>117768.50934211678</v>
      </c>
      <c r="K70" s="71">
        <v>58.739205607476642</v>
      </c>
      <c r="L70" s="71">
        <v>13.161929866727091</v>
      </c>
      <c r="M70" s="71">
        <v>4.7209922024532647</v>
      </c>
      <c r="N70" s="71">
        <v>788.36279069767454</v>
      </c>
    </row>
    <row r="71" spans="2:14" s="71" customFormat="1" x14ac:dyDescent="0.25">
      <c r="B71" s="71" t="str">
        <f>VLOOKUP(F71,[1]NUTS_Europa!$A$2:$C$81,2,FALSE)</f>
        <v>ES52</v>
      </c>
      <c r="C71" s="71">
        <f>VLOOKUP(F71,[1]NUTS_Europa!$A$2:$C$81,3,FALSE)</f>
        <v>1063</v>
      </c>
      <c r="D71" s="71" t="str">
        <f>VLOOKUP(G71,[1]NUTS_Europa!$A$2:$C$81,2,FALSE)</f>
        <v>ES61</v>
      </c>
      <c r="E71" s="71">
        <f>VLOOKUP(G71,[1]NUTS_Europa!$A$2:$C$81,3,FALSE)</f>
        <v>297</v>
      </c>
      <c r="F71" s="71">
        <v>56</v>
      </c>
      <c r="G71" s="71">
        <v>57</v>
      </c>
      <c r="H71" s="71">
        <v>750582.9540507996</v>
      </c>
      <c r="I71" s="71">
        <v>4334339.89671872</v>
      </c>
      <c r="J71" s="71">
        <v>176841.96373917855</v>
      </c>
      <c r="K71" s="71">
        <v>27.383177570093459</v>
      </c>
      <c r="L71" s="71">
        <v>8.8419448367673965</v>
      </c>
      <c r="M71" s="71">
        <v>4.4268993443652347</v>
      </c>
      <c r="N71" s="71">
        <v>873.71723799457936</v>
      </c>
    </row>
    <row r="72" spans="2:14" s="71" customFormat="1" x14ac:dyDescent="0.25">
      <c r="B72" s="71" t="str">
        <f>VLOOKUP(F72,[1]NUTS_Europa!$A$2:$C$81,2,FALSE)</f>
        <v>ES52</v>
      </c>
      <c r="C72" s="71">
        <f>VLOOKUP(F72,[1]NUTS_Europa!$A$2:$C$81,3,FALSE)</f>
        <v>1063</v>
      </c>
      <c r="D72" s="71" t="str">
        <f>VLOOKUP(G72,[1]NUTS_Europa!$A$2:$C$81,2,FALSE)</f>
        <v>FRI3</v>
      </c>
      <c r="E72" s="71">
        <f>VLOOKUP(G72,[1]NUTS_Europa!$A$2:$C$81,3,FALSE)</f>
        <v>282</v>
      </c>
      <c r="F72" s="71">
        <v>56</v>
      </c>
      <c r="G72" s="71">
        <v>65</v>
      </c>
      <c r="H72" s="71">
        <v>719967.35036295606</v>
      </c>
      <c r="I72" s="71">
        <v>4980296.9992418699</v>
      </c>
      <c r="J72" s="71">
        <v>122072.63094995193</v>
      </c>
      <c r="K72" s="71">
        <v>68.691588785046733</v>
      </c>
      <c r="L72" s="71">
        <v>10.410588193023683</v>
      </c>
      <c r="M72" s="71">
        <v>4.7209922024532647</v>
      </c>
      <c r="N72" s="71">
        <v>788.36279069767454</v>
      </c>
    </row>
    <row r="73" spans="2:14" s="71" customFormat="1" x14ac:dyDescent="0.25">
      <c r="B73" s="71" t="str">
        <f>VLOOKUP(F73,[1]NUTS_Europa!$A$2:$C$81,2,FALSE)</f>
        <v>FRD1</v>
      </c>
      <c r="C73" s="71">
        <f>VLOOKUP(F73,[1]NUTS_Europa!$A$2:$C$81,3,FALSE)</f>
        <v>269</v>
      </c>
      <c r="D73" s="71" t="str">
        <f>VLOOKUP(G73,[1]NUTS_Europa!$A$2:$C$81,2,FALSE)</f>
        <v>FRJ2</v>
      </c>
      <c r="E73" s="71">
        <f>VLOOKUP(G73,[1]NUTS_Europa!$A$2:$C$81,3,FALSE)</f>
        <v>163</v>
      </c>
      <c r="F73" s="71">
        <v>59</v>
      </c>
      <c r="G73" s="71">
        <v>68</v>
      </c>
      <c r="H73" s="71">
        <v>2722131.7866751389</v>
      </c>
      <c r="I73" s="71">
        <v>883639.42284709681</v>
      </c>
      <c r="J73" s="71">
        <v>145277.79316174539</v>
      </c>
      <c r="K73" s="71">
        <v>28.410747663551405</v>
      </c>
      <c r="L73" s="71">
        <v>17.247254944279597</v>
      </c>
      <c r="M73" s="71">
        <v>20.651328699878288</v>
      </c>
      <c r="N73" s="71">
        <v>2988.6329159212883</v>
      </c>
    </row>
    <row r="74" spans="2:14" s="71" customFormat="1" x14ac:dyDescent="0.25">
      <c r="B74" s="71" t="str">
        <f>VLOOKUP(F74,[1]NUTS_Europa!$A$2:$C$81,2,FALSE)</f>
        <v>FRJ1</v>
      </c>
      <c r="C74" s="71">
        <f>VLOOKUP(F74,[1]NUTS_Europa!$A$2:$C$81,3,FALSE)</f>
        <v>1064</v>
      </c>
      <c r="D74" s="71" t="str">
        <f>VLOOKUP(G74,[1]NUTS_Europa!$A$2:$C$81,2,FALSE)</f>
        <v>PT11</v>
      </c>
      <c r="E74" s="71">
        <f>VLOOKUP(G74,[1]NUTS_Europa!$A$2:$C$81,3,FALSE)</f>
        <v>288</v>
      </c>
      <c r="F74" s="71">
        <v>66</v>
      </c>
      <c r="G74" s="71">
        <v>76</v>
      </c>
      <c r="H74" s="71">
        <v>782741.15901504259</v>
      </c>
      <c r="I74" s="71">
        <v>1020411.0188596761</v>
      </c>
      <c r="J74" s="71">
        <v>123614.25510828695</v>
      </c>
      <c r="K74" s="71">
        <v>42.616822429906541</v>
      </c>
      <c r="L74" s="71">
        <v>11.964306332420822</v>
      </c>
      <c r="M74" s="71">
        <v>4.7144357961536105</v>
      </c>
      <c r="N74" s="71">
        <v>930.46701587219775</v>
      </c>
    </row>
    <row r="75" spans="2:14" s="71" customFormat="1" x14ac:dyDescent="0.25">
      <c r="B75" s="71" t="str">
        <f>VLOOKUP(F75,[1]NUTS_Europa!$A$2:$C$81,2,FALSE)</f>
        <v>FRJ1</v>
      </c>
      <c r="C75" s="71">
        <f>VLOOKUP(F75,[1]NUTS_Europa!$A$2:$C$81,3,FALSE)</f>
        <v>1064</v>
      </c>
      <c r="D75" s="71" t="str">
        <f>VLOOKUP(G75,[1]NUTS_Europa!$A$2:$C$81,2,FALSE)</f>
        <v>PT17</v>
      </c>
      <c r="E75" s="71">
        <f>VLOOKUP(G75,[1]NUTS_Europa!$A$2:$C$81,3,FALSE)</f>
        <v>297</v>
      </c>
      <c r="F75" s="71">
        <v>66</v>
      </c>
      <c r="G75" s="71">
        <v>79</v>
      </c>
      <c r="H75" s="71">
        <v>813951.36708536651</v>
      </c>
      <c r="I75" s="71">
        <v>628194.34778216982</v>
      </c>
      <c r="J75" s="71">
        <v>192445.71807502842</v>
      </c>
      <c r="K75" s="71">
        <v>21.635514018691591</v>
      </c>
      <c r="L75" s="71">
        <v>11.593286510470804</v>
      </c>
      <c r="M75" s="71">
        <v>4.4268993443652347</v>
      </c>
      <c r="N75" s="71">
        <v>873.71723799457936</v>
      </c>
    </row>
    <row r="76" spans="2:14" s="71" customFormat="1" x14ac:dyDescent="0.25">
      <c r="B76" s="71" t="str">
        <f>VLOOKUP(F76,[1]NUTS_Europa!$A$2:$C$81,2,FALSE)</f>
        <v>NL12</v>
      </c>
      <c r="C76" s="71">
        <f>VLOOKUP(F76,[1]NUTS_Europa!$A$2:$C$81,3,FALSE)</f>
        <v>250</v>
      </c>
      <c r="D76" s="71" t="str">
        <f>VLOOKUP(G76,[1]NUTS_Europa!$A$2:$C$81,2,FALSE)</f>
        <v>PT11</v>
      </c>
      <c r="E76" s="71">
        <f>VLOOKUP(G76,[1]NUTS_Europa!$A$2:$C$81,3,FALSE)</f>
        <v>288</v>
      </c>
      <c r="F76" s="71">
        <v>71</v>
      </c>
      <c r="G76" s="71">
        <v>76</v>
      </c>
      <c r="H76" s="71">
        <v>681960.09712651349</v>
      </c>
      <c r="I76" s="71">
        <v>1102828.9678666797</v>
      </c>
      <c r="J76" s="71">
        <v>142841.86171918266</v>
      </c>
      <c r="K76" s="71">
        <v>42.514953271028041</v>
      </c>
      <c r="L76" s="71">
        <v>9.7661814502898494</v>
      </c>
      <c r="M76" s="71">
        <v>5.5719620185082395</v>
      </c>
      <c r="N76" s="71">
        <v>930.46701587219775</v>
      </c>
    </row>
    <row r="77" spans="2:14" s="71" customFormat="1" x14ac:dyDescent="0.25">
      <c r="B77" s="71" t="str">
        <f>VLOOKUP(F77,[1]NUTS_Europa!$A$2:$C$81,2,FALSE)</f>
        <v>NL12</v>
      </c>
      <c r="C77" s="71">
        <f>VLOOKUP(F77,[1]NUTS_Europa!$A$2:$C$81,3,FALSE)</f>
        <v>250</v>
      </c>
      <c r="D77" s="71" t="str">
        <f>VLOOKUP(G77,[1]NUTS_Europa!$A$2:$C$81,2,FALSE)</f>
        <v>PT16</v>
      </c>
      <c r="E77" s="71">
        <f>VLOOKUP(G77,[1]NUTS_Europa!$A$2:$C$81,3,FALSE)</f>
        <v>294</v>
      </c>
      <c r="F77" s="71">
        <v>71</v>
      </c>
      <c r="G77" s="71">
        <v>78</v>
      </c>
      <c r="H77" s="71">
        <v>2661860.4390580296</v>
      </c>
      <c r="I77" s="71">
        <v>1137763.9242921949</v>
      </c>
      <c r="J77" s="71">
        <v>135416.16142478216</v>
      </c>
      <c r="K77" s="71">
        <v>52.229439252336455</v>
      </c>
      <c r="L77" s="71">
        <v>5.5949699007168778</v>
      </c>
      <c r="M77" s="71">
        <v>19.738463376133499</v>
      </c>
      <c r="N77" s="71">
        <v>3296.1439892245817</v>
      </c>
    </row>
    <row r="78" spans="2:14" s="71" customFormat="1" x14ac:dyDescent="0.25">
      <c r="B78" s="71" t="str">
        <f>VLOOKUP(F78,[1]NUTS_Europa!$A$2:$C$81,2,FALSE)</f>
        <v>NL32</v>
      </c>
      <c r="C78" s="71">
        <f>VLOOKUP(F78,[1]NUTS_Europa!$A$2:$C$81,3,FALSE)</f>
        <v>253</v>
      </c>
      <c r="D78" s="71" t="str">
        <f>VLOOKUP(G78,[1]NUTS_Europa!$A$2:$C$81,2,FALSE)</f>
        <v>NL34</v>
      </c>
      <c r="E78" s="71">
        <f>VLOOKUP(G78,[1]NUTS_Europa!$A$2:$C$81,3,FALSE)</f>
        <v>218</v>
      </c>
      <c r="F78" s="71">
        <v>72</v>
      </c>
      <c r="G78" s="71">
        <v>74</v>
      </c>
      <c r="H78" s="71">
        <v>2689927.9988549636</v>
      </c>
      <c r="I78" s="71">
        <v>567811.85551850277</v>
      </c>
      <c r="J78" s="71">
        <v>120125.80522925351</v>
      </c>
      <c r="K78" s="71">
        <v>8.364018691588786</v>
      </c>
      <c r="L78" s="71">
        <v>10.584960092785639</v>
      </c>
      <c r="M78" s="71">
        <v>29.92312130676439</v>
      </c>
      <c r="N78" s="71">
        <v>5283.3813751893604</v>
      </c>
    </row>
    <row r="79" spans="2:14" s="71" customFormat="1" x14ac:dyDescent="0.25">
      <c r="B79" s="71" t="str">
        <f>VLOOKUP(F79,[1]NUTS_Europa!$A$2:$C$81,2,FALSE)</f>
        <v>NL32</v>
      </c>
      <c r="C79" s="71">
        <f>VLOOKUP(F79,[1]NUTS_Europa!$A$2:$C$81,3,FALSE)</f>
        <v>253</v>
      </c>
      <c r="D79" s="71" t="str">
        <f>VLOOKUP(G79,[1]NUTS_Europa!$A$2:$C$81,2,FALSE)</f>
        <v>NL41</v>
      </c>
      <c r="E79" s="71">
        <f>VLOOKUP(G79,[1]NUTS_Europa!$A$2:$C$81,3,FALSE)</f>
        <v>218</v>
      </c>
      <c r="F79" s="71">
        <v>72</v>
      </c>
      <c r="G79" s="71">
        <v>75</v>
      </c>
      <c r="H79" s="71">
        <v>2308388.6128456639</v>
      </c>
      <c r="I79" s="71">
        <v>567811.85551850277</v>
      </c>
      <c r="J79" s="71">
        <v>159445.52860932166</v>
      </c>
      <c r="K79" s="71">
        <v>8.364018691588786</v>
      </c>
      <c r="L79" s="71">
        <v>10.584960092785639</v>
      </c>
      <c r="M79" s="71">
        <v>29.92312130676439</v>
      </c>
      <c r="N79" s="71">
        <v>5283.3813751893604</v>
      </c>
    </row>
    <row r="80" spans="2:14" s="71" customFormat="1" x14ac:dyDescent="0.25">
      <c r="B80" s="71" t="str">
        <f>VLOOKUP(F80,[1]NUTS_Europa!$A$2:$C$81,2,FALSE)</f>
        <v>NL33</v>
      </c>
      <c r="C80" s="71">
        <f>VLOOKUP(F80,[1]NUTS_Europa!$A$2:$C$81,3,FALSE)</f>
        <v>220</v>
      </c>
      <c r="D80" s="71" t="str">
        <f>VLOOKUP(G80,[1]NUTS_Europa!$A$2:$C$81,2,FALSE)</f>
        <v>NL34</v>
      </c>
      <c r="E80" s="71">
        <f>VLOOKUP(G80,[1]NUTS_Europa!$A$2:$C$81,3,FALSE)</f>
        <v>218</v>
      </c>
      <c r="F80" s="71">
        <v>73</v>
      </c>
      <c r="G80" s="71">
        <v>74</v>
      </c>
      <c r="H80" s="71">
        <v>2848466.9423270319</v>
      </c>
      <c r="I80" s="71">
        <v>481322.96295278368</v>
      </c>
      <c r="J80" s="71">
        <v>145277.79316174539</v>
      </c>
      <c r="K80" s="71">
        <v>5.8411214953271031</v>
      </c>
      <c r="L80" s="71">
        <v>9.7434481564846109</v>
      </c>
      <c r="M80" s="71">
        <v>26.700444976077176</v>
      </c>
      <c r="N80" s="71">
        <v>5283.3813751893604</v>
      </c>
    </row>
    <row r="81" spans="2:26" s="71" customFormat="1" x14ac:dyDescent="0.25">
      <c r="B81" s="71" t="str">
        <f>VLOOKUP(F81,[1]NUTS_Europa!$A$2:$C$81,2,FALSE)</f>
        <v>NL33</v>
      </c>
      <c r="C81" s="71">
        <f>VLOOKUP(F81,[1]NUTS_Europa!$A$2:$C$81,3,FALSE)</f>
        <v>220</v>
      </c>
      <c r="D81" s="71" t="str">
        <f>VLOOKUP(G81,[1]NUTS_Europa!$A$2:$C$81,2,FALSE)</f>
        <v>NL41</v>
      </c>
      <c r="E81" s="71">
        <f>VLOOKUP(G81,[1]NUTS_Europa!$A$2:$C$81,3,FALSE)</f>
        <v>218</v>
      </c>
      <c r="F81" s="71">
        <v>73</v>
      </c>
      <c r="G81" s="71">
        <v>75</v>
      </c>
      <c r="H81" s="71">
        <v>2466927.5563177322</v>
      </c>
      <c r="I81" s="71">
        <v>481322.96295278368</v>
      </c>
      <c r="J81" s="71">
        <v>176841.96373917855</v>
      </c>
      <c r="K81" s="71">
        <v>5.8411214953271031</v>
      </c>
      <c r="L81" s="71">
        <v>9.7434481564846109</v>
      </c>
      <c r="M81" s="71">
        <v>26.700444976077176</v>
      </c>
      <c r="N81" s="71">
        <v>5283.3813751893604</v>
      </c>
    </row>
    <row r="82" spans="2:26" s="71" customFormat="1" x14ac:dyDescent="0.25">
      <c r="B82" s="71" t="str">
        <f>VLOOKUP(F82,[1]NUTS_Europa!$A$2:$C$81,2,FALSE)</f>
        <v>PT15</v>
      </c>
      <c r="C82" s="71">
        <f>VLOOKUP(F82,[1]NUTS_Europa!$A$2:$C$81,3,FALSE)</f>
        <v>61</v>
      </c>
      <c r="D82" s="71" t="str">
        <f>VLOOKUP(G82,[1]NUTS_Europa!$A$2:$C$81,2,FALSE)</f>
        <v>PT16</v>
      </c>
      <c r="E82" s="71">
        <f>VLOOKUP(G82,[1]NUTS_Europa!$A$2:$C$81,3,FALSE)</f>
        <v>294</v>
      </c>
      <c r="F82" s="71">
        <v>77</v>
      </c>
      <c r="G82" s="71">
        <v>78</v>
      </c>
      <c r="H82" s="71">
        <v>2767212.4405751233</v>
      </c>
      <c r="I82" s="71">
        <v>507267.1150521721</v>
      </c>
      <c r="J82" s="71">
        <v>127001.21695280854</v>
      </c>
      <c r="K82" s="71">
        <v>14.378504672897197</v>
      </c>
      <c r="L82" s="71">
        <v>8.8496016175365959</v>
      </c>
      <c r="M82" s="71">
        <v>15.545383941006817</v>
      </c>
      <c r="N82" s="71">
        <v>3296.1439892245817</v>
      </c>
    </row>
    <row r="83" spans="2:26" s="71" customFormat="1" x14ac:dyDescent="0.25">
      <c r="B83" s="71" t="str">
        <f>VLOOKUP(F83,[1]NUTS_Europa!$A$2:$C$81,2,FALSE)</f>
        <v>PT15</v>
      </c>
      <c r="C83" s="71">
        <f>VLOOKUP(F83,[1]NUTS_Europa!$A$2:$C$81,3,FALSE)</f>
        <v>61</v>
      </c>
      <c r="D83" s="71" t="str">
        <f>VLOOKUP(G83,[1]NUTS_Europa!$A$2:$C$81,2,FALSE)</f>
        <v>PT17</v>
      </c>
      <c r="E83" s="71">
        <f>VLOOKUP(G83,[1]NUTS_Europa!$A$2:$C$81,3,FALSE)</f>
        <v>297</v>
      </c>
      <c r="F83" s="71">
        <v>77</v>
      </c>
      <c r="G83" s="71">
        <v>79</v>
      </c>
      <c r="H83" s="71">
        <v>744887.58641441562</v>
      </c>
      <c r="I83" s="71">
        <v>348388.57131585502</v>
      </c>
      <c r="J83" s="71">
        <v>113696.3812050019</v>
      </c>
      <c r="K83" s="71">
        <v>3.504672897196262</v>
      </c>
      <c r="L83" s="71">
        <v>12.649793345159551</v>
      </c>
      <c r="M83" s="71">
        <v>4.1206543054258367</v>
      </c>
      <c r="N83" s="71">
        <v>873.71723799457936</v>
      </c>
    </row>
    <row r="84" spans="2:26" s="71" customFormat="1" x14ac:dyDescent="0.25"/>
    <row r="85" spans="2:26" s="71" customFormat="1" x14ac:dyDescent="0.25">
      <c r="B85" s="71" t="s">
        <v>132</v>
      </c>
    </row>
    <row r="86" spans="2:26" s="71" customFormat="1" x14ac:dyDescent="0.25">
      <c r="B86" s="71" t="s">
        <v>134</v>
      </c>
      <c r="C86" s="71" t="s">
        <v>135</v>
      </c>
      <c r="D86" s="71" t="s">
        <v>131</v>
      </c>
      <c r="E86" s="71" t="s">
        <v>136</v>
      </c>
      <c r="F86" s="71" t="s">
        <v>39</v>
      </c>
      <c r="G86" s="71" t="s">
        <v>40</v>
      </c>
      <c r="H86" s="71" t="s">
        <v>137</v>
      </c>
      <c r="I86" s="71" t="s">
        <v>133</v>
      </c>
      <c r="J86" s="71" t="s">
        <v>41</v>
      </c>
      <c r="K86" s="71" t="s">
        <v>42</v>
      </c>
      <c r="L86" s="71" t="s">
        <v>43</v>
      </c>
      <c r="M86" s="71" t="s">
        <v>44</v>
      </c>
      <c r="N86" s="71" t="s">
        <v>45</v>
      </c>
    </row>
    <row r="87" spans="2:26" s="71" customFormat="1" x14ac:dyDescent="0.25">
      <c r="B87" s="71" t="str">
        <f>VLOOKUP(F87,[1]NUTS_Europa!$A$2:$C$81,2,FALSE)</f>
        <v>PT15</v>
      </c>
      <c r="C87" s="71">
        <f>VLOOKUP(F87,[1]NUTS_Europa!$A$2:$C$81,3,FALSE)</f>
        <v>61</v>
      </c>
      <c r="D87" s="71" t="str">
        <f>VLOOKUP(G87,[1]NUTS_Europa!$A$2:$C$81,2,FALSE)</f>
        <v>PT16</v>
      </c>
      <c r="E87" s="71">
        <f>VLOOKUP(G87,[1]NUTS_Europa!$A$2:$C$81,3,FALSE)</f>
        <v>294</v>
      </c>
      <c r="F87" s="71">
        <v>77</v>
      </c>
      <c r="G87" s="71">
        <v>78</v>
      </c>
      <c r="H87" s="71">
        <v>2767212.4405751233</v>
      </c>
      <c r="I87" s="71">
        <v>507267.1150521721</v>
      </c>
      <c r="J87" s="71">
        <v>127001.21695280854</v>
      </c>
      <c r="K87" s="71">
        <v>14.378504672897197</v>
      </c>
      <c r="L87" s="71">
        <v>8.8496016175365959</v>
      </c>
      <c r="M87" s="71">
        <v>15.545383941006817</v>
      </c>
      <c r="N87" s="71">
        <v>3296.1439892245817</v>
      </c>
    </row>
    <row r="88" spans="2:26" s="71" customFormat="1" x14ac:dyDescent="0.25">
      <c r="B88" s="71" t="str">
        <f>VLOOKUP(G88,[1]NUTS_Europa!$A$2:$C$81,2,FALSE)</f>
        <v>PT16</v>
      </c>
      <c r="C88" s="71">
        <f>VLOOKUP(G88,[1]NUTS_Europa!$A$2:$C$81,3,FALSE)</f>
        <v>294</v>
      </c>
      <c r="D88" s="71" t="str">
        <f>VLOOKUP(F88,[1]NUTS_Europa!$A$2:$C$81,2,FALSE)</f>
        <v>NL12</v>
      </c>
      <c r="E88" s="71">
        <f>VLOOKUP(F88,[1]NUTS_Europa!$A$2:$C$81,3,FALSE)</f>
        <v>250</v>
      </c>
      <c r="F88" s="71">
        <v>71</v>
      </c>
      <c r="G88" s="71">
        <v>78</v>
      </c>
      <c r="H88" s="71">
        <v>2661860.4390580296</v>
      </c>
      <c r="I88" s="71">
        <v>1137763.9242921949</v>
      </c>
      <c r="J88" s="71">
        <v>135416.16142478216</v>
      </c>
      <c r="K88" s="71">
        <v>52.229439252336455</v>
      </c>
      <c r="L88" s="71">
        <v>5.5949699007168778</v>
      </c>
      <c r="M88" s="71">
        <v>19.738463376133499</v>
      </c>
      <c r="N88" s="71">
        <v>3296.1439892245817</v>
      </c>
    </row>
    <row r="89" spans="2:26" s="71" customFormat="1" x14ac:dyDescent="0.25">
      <c r="B89" s="71" t="str">
        <f>VLOOKUP(F89,[1]NUTS_Europa!$A$2:$C$81,2,FALSE)</f>
        <v>NL12</v>
      </c>
      <c r="C89" s="71">
        <f>VLOOKUP(F89,[1]NUTS_Europa!$A$2:$C$81,3,FALSE)</f>
        <v>250</v>
      </c>
      <c r="D89" s="71" t="str">
        <f>VLOOKUP(G89,[1]NUTS_Europa!$A$2:$C$81,2,FALSE)</f>
        <v>PT11</v>
      </c>
      <c r="E89" s="71">
        <f>VLOOKUP(G89,[1]NUTS_Europa!$A$2:$C$81,3,FALSE)</f>
        <v>288</v>
      </c>
      <c r="F89" s="71">
        <v>71</v>
      </c>
      <c r="G89" s="71">
        <v>76</v>
      </c>
      <c r="H89" s="71">
        <v>681960.09712651349</v>
      </c>
      <c r="I89" s="71">
        <v>1102828.9678666797</v>
      </c>
      <c r="J89" s="71">
        <v>142841.86171918266</v>
      </c>
      <c r="K89" s="71">
        <v>42.514953271028041</v>
      </c>
      <c r="L89" s="71">
        <v>9.7661814502898494</v>
      </c>
      <c r="M89" s="71">
        <v>5.5719620185082395</v>
      </c>
      <c r="N89" s="71">
        <v>930.46701587219775</v>
      </c>
    </row>
    <row r="90" spans="2:26" s="71" customFormat="1" x14ac:dyDescent="0.25">
      <c r="B90" s="71" t="str">
        <f>VLOOKUP(G90,[1]NUTS_Europa!$A$2:$C$81,2,FALSE)</f>
        <v>PT11</v>
      </c>
      <c r="C90" s="71">
        <f>VLOOKUP(G90,[1]NUTS_Europa!$A$2:$C$81,3,FALSE)</f>
        <v>288</v>
      </c>
      <c r="D90" s="71" t="str">
        <f>VLOOKUP(F90,[1]NUTS_Europa!$A$2:$C$81,2,FALSE)</f>
        <v>FRJ1</v>
      </c>
      <c r="E90" s="71">
        <f>VLOOKUP(F90,[1]NUTS_Europa!$A$2:$C$81,3,FALSE)</f>
        <v>1064</v>
      </c>
      <c r="F90" s="71">
        <v>66</v>
      </c>
      <c r="G90" s="71">
        <v>76</v>
      </c>
      <c r="H90" s="71">
        <v>782741.15901504259</v>
      </c>
      <c r="I90" s="71">
        <v>1020411.0188596761</v>
      </c>
      <c r="J90" s="71">
        <v>123614.25510828695</v>
      </c>
      <c r="K90" s="71">
        <v>42.616822429906541</v>
      </c>
      <c r="L90" s="71">
        <v>11.964306332420822</v>
      </c>
      <c r="M90" s="71">
        <v>4.7144357961536105</v>
      </c>
      <c r="N90" s="71">
        <v>930.46701587219775</v>
      </c>
    </row>
    <row r="91" spans="2:26" s="71" customFormat="1" x14ac:dyDescent="0.25">
      <c r="B91" s="71" t="str">
        <f>VLOOKUP(F91,[1]NUTS_Europa!$A$2:$C$81,2,FALSE)</f>
        <v>FRJ1</v>
      </c>
      <c r="C91" s="71">
        <f>VLOOKUP(F91,[1]NUTS_Europa!$A$2:$C$81,3,FALSE)</f>
        <v>1064</v>
      </c>
      <c r="D91" s="71" t="str">
        <f>VLOOKUP(G91,[1]NUTS_Europa!$A$2:$C$81,2,FALSE)</f>
        <v>PT17</v>
      </c>
      <c r="E91" s="71">
        <f>VLOOKUP(G91,[1]NUTS_Europa!$A$2:$C$81,3,FALSE)</f>
        <v>297</v>
      </c>
      <c r="F91" s="71">
        <v>66</v>
      </c>
      <c r="G91" s="71">
        <v>79</v>
      </c>
      <c r="H91" s="71">
        <v>813951.36708536651</v>
      </c>
      <c r="I91" s="71">
        <v>628194.34778216982</v>
      </c>
      <c r="J91" s="71">
        <v>192445.71807502842</v>
      </c>
      <c r="K91" s="71">
        <v>21.635514018691591</v>
      </c>
      <c r="L91" s="71">
        <v>11.593286510470804</v>
      </c>
      <c r="M91" s="71">
        <v>4.4268993443652347</v>
      </c>
      <c r="N91" s="71">
        <v>873.71723799457936</v>
      </c>
    </row>
    <row r="92" spans="2:26" s="71" customFormat="1" x14ac:dyDescent="0.25">
      <c r="B92" s="71" t="str">
        <f>VLOOKUP(G92,[1]NUTS_Europa!$A$2:$C$81,2,FALSE)</f>
        <v>PT17</v>
      </c>
      <c r="C92" s="71">
        <f>VLOOKUP(G92,[1]NUTS_Europa!$A$2:$C$81,3,FALSE)</f>
        <v>297</v>
      </c>
      <c r="D92" s="71" t="str">
        <f>VLOOKUP(F92,[1]NUTS_Europa!$A$2:$C$81,2,FALSE)</f>
        <v>PT15</v>
      </c>
      <c r="E92" s="71">
        <f>VLOOKUP(F92,[1]NUTS_Europa!$A$2:$C$81,3,FALSE)</f>
        <v>61</v>
      </c>
      <c r="F92" s="71">
        <v>77</v>
      </c>
      <c r="G92" s="71">
        <v>79</v>
      </c>
      <c r="H92" s="71">
        <v>744887.58641441562</v>
      </c>
      <c r="I92" s="71">
        <v>348388.57131585502</v>
      </c>
      <c r="J92" s="71">
        <v>113696.3812050019</v>
      </c>
      <c r="K92" s="71">
        <v>3.504672897196262</v>
      </c>
      <c r="L92" s="71">
        <v>12.649793345159551</v>
      </c>
      <c r="M92" s="71">
        <v>4.1206543054258367</v>
      </c>
      <c r="N92" s="71">
        <v>873.71723799457936</v>
      </c>
    </row>
    <row r="93" spans="2:26" s="71" customFormat="1" x14ac:dyDescent="0.25"/>
    <row r="94" spans="2:26" s="71" customFormat="1" x14ac:dyDescent="0.25">
      <c r="B94" s="71" t="s">
        <v>138</v>
      </c>
      <c r="Q94" s="75">
        <f>Q98+Q101+Q102+Q103</f>
        <v>267.21493755644116</v>
      </c>
      <c r="R94" s="71">
        <f>Q94/24</f>
        <v>11.133955731518382</v>
      </c>
      <c r="S94" s="71">
        <f>R94/7</f>
        <v>1.5905651045026261</v>
      </c>
      <c r="Z94" s="71">
        <f>(Z98+Z101++Z102+Z103)/4</f>
        <v>17.196265610889711</v>
      </c>
    </row>
    <row r="95" spans="2:26" s="71" customFormat="1" x14ac:dyDescent="0.25">
      <c r="B95" s="71" t="s">
        <v>134</v>
      </c>
      <c r="C95" s="71" t="s">
        <v>135</v>
      </c>
      <c r="D95" s="71" t="s">
        <v>131</v>
      </c>
      <c r="E95" s="71" t="s">
        <v>136</v>
      </c>
      <c r="F95" s="71" t="s">
        <v>39</v>
      </c>
      <c r="G95" s="71" t="s">
        <v>40</v>
      </c>
      <c r="H95" s="71" t="s">
        <v>137</v>
      </c>
      <c r="I95" s="71" t="s">
        <v>133</v>
      </c>
      <c r="J95" s="71" t="s">
        <v>154</v>
      </c>
      <c r="K95" s="71" t="s">
        <v>41</v>
      </c>
      <c r="L95" s="71" t="s">
        <v>42</v>
      </c>
      <c r="M95" s="71" t="s">
        <v>43</v>
      </c>
      <c r="N95" s="71" t="s">
        <v>44</v>
      </c>
      <c r="O95" s="71" t="s">
        <v>45</v>
      </c>
      <c r="P95" s="71" t="e">
        <f>'13 buques 19.5 kn 12500 charter'!P104</f>
        <v>#REF!</v>
      </c>
      <c r="Q95" s="71" t="e">
        <f>'13 buques 19.5 kn 12500 charter'!Q104</f>
        <v>#REF!</v>
      </c>
      <c r="R95" s="71" t="e">
        <f>'13 buques 19.5 kn 12500 charter'!R104</f>
        <v>#REF!</v>
      </c>
      <c r="S95" s="71" t="e">
        <f>'13 buques 19.5 kn 12500 charter'!S104</f>
        <v>#REF!</v>
      </c>
      <c r="T95" s="71" t="e">
        <f>'13 buques 19.5 kn 12500 charter'!T104</f>
        <v>#REF!</v>
      </c>
      <c r="U95" s="71" t="e">
        <f>'13 buques 19.5 kn 12500 charter'!U104</f>
        <v>#REF!</v>
      </c>
      <c r="V95" s="71" t="e">
        <f>'13 buques 19.5 kn 12500 charter'!V104</f>
        <v>#REF!</v>
      </c>
      <c r="W95" s="71" t="e">
        <f>'13 buques 19.5 kn 12500 charter'!W104</f>
        <v>#REF!</v>
      </c>
      <c r="X95" s="71" t="e">
        <f>'13 buques 19.5 kn 12500 charter'!X104</f>
        <v>#REF!</v>
      </c>
      <c r="Y95" s="71" t="e">
        <f>'13 buques 19.5 kn 12500 charter'!Y104</f>
        <v>#REF!</v>
      </c>
    </row>
    <row r="96" spans="2:26" s="71" customFormat="1" x14ac:dyDescent="0.25">
      <c r="B96" s="71" t="str">
        <f>VLOOKUP(F96,[1]NUTS_Europa!$A$2:$C$81,2,FALSE)</f>
        <v>BE21</v>
      </c>
      <c r="C96" s="71">
        <f>VLOOKUP(F96,[1]NUTS_Europa!$A$2:$C$81,3,FALSE)</f>
        <v>253</v>
      </c>
      <c r="D96" s="71" t="str">
        <f>VLOOKUP(G96,[1]NUTS_Europa!$A$2:$C$81,2,FALSE)</f>
        <v>BE25</v>
      </c>
      <c r="E96" s="71">
        <f>VLOOKUP(G96,[1]NUTS_Europa!$A$2:$C$81,3,FALSE)</f>
        <v>235</v>
      </c>
      <c r="F96" s="71">
        <v>1</v>
      </c>
      <c r="G96" s="71">
        <v>3</v>
      </c>
      <c r="H96" s="72">
        <v>321056.31181180733</v>
      </c>
      <c r="I96" s="72">
        <v>451647.09967142105</v>
      </c>
      <c r="K96" s="71">
        <v>135416.16142478216</v>
      </c>
      <c r="L96" s="71">
        <v>5.8785046728971961</v>
      </c>
      <c r="M96" s="71">
        <v>13.081564414750414</v>
      </c>
      <c r="N96" s="71">
        <v>10.227627549015152</v>
      </c>
      <c r="O96" s="71">
        <v>1705.3756088534108</v>
      </c>
    </row>
    <row r="97" spans="2:28" s="71" customFormat="1" x14ac:dyDescent="0.25">
      <c r="B97" s="71" t="str">
        <f>VLOOKUP(G97,[1]NUTS_Europa!$A$2:$C$81,2,FALSE)</f>
        <v>BE25</v>
      </c>
      <c r="C97" s="71">
        <f>VLOOKUP(G97,[1]NUTS_Europa!$A$2:$C$81,3,FALSE)</f>
        <v>235</v>
      </c>
      <c r="D97" s="71" t="str">
        <f>VLOOKUP(F97,[1]NUTS_Europa!$A$2:$C$81,2,FALSE)</f>
        <v>BE23</v>
      </c>
      <c r="E97" s="71">
        <f>VLOOKUP(F97,[1]NUTS_Europa!$A$2:$C$81,3,FALSE)</f>
        <v>253</v>
      </c>
      <c r="F97" s="71">
        <v>2</v>
      </c>
      <c r="G97" s="71">
        <v>3</v>
      </c>
      <c r="H97" s="71">
        <v>397187.68974224129</v>
      </c>
      <c r="I97" s="71">
        <v>451647.09967142105</v>
      </c>
      <c r="K97" s="71">
        <v>135416.16142478216</v>
      </c>
      <c r="L97" s="71">
        <v>5.8785046728971961</v>
      </c>
      <c r="M97" s="71">
        <v>13.081564414750414</v>
      </c>
      <c r="N97" s="71">
        <v>10.227627549015152</v>
      </c>
      <c r="O97" s="71">
        <v>1705.3756088534108</v>
      </c>
    </row>
    <row r="98" spans="2:28" s="71" customFormat="1" x14ac:dyDescent="0.25">
      <c r="B98" s="71" t="str">
        <f>VLOOKUP(F98,[1]NUTS_Europa!$A$2:$C$81,2,FALSE)</f>
        <v>BE23</v>
      </c>
      <c r="C98" s="71">
        <f>VLOOKUP(F98,[1]NUTS_Europa!$A$2:$C$81,3,FALSE)</f>
        <v>253</v>
      </c>
      <c r="D98" s="71" t="str">
        <f>VLOOKUP(G98,[1]NUTS_Europa!$A$2:$C$81,2,FALSE)</f>
        <v>ES13</v>
      </c>
      <c r="E98" s="71">
        <f>VLOOKUP(G98,[1]NUTS_Europa!$A$2:$C$81,3,FALSE)</f>
        <v>163</v>
      </c>
      <c r="F98" s="71">
        <v>2</v>
      </c>
      <c r="G98" s="71">
        <v>13</v>
      </c>
      <c r="H98" s="73">
        <v>919374.01558634057</v>
      </c>
      <c r="I98" s="73">
        <v>952160.21401528246</v>
      </c>
      <c r="J98" s="73">
        <f t="shared" ref="J98:J104" si="0">I98/13</f>
        <v>73243.093385790955</v>
      </c>
      <c r="K98" s="74">
        <v>117923.68175590989</v>
      </c>
      <c r="L98" s="75">
        <v>36.257476635514017</v>
      </c>
      <c r="M98" s="75">
        <v>17.145360079496946</v>
      </c>
      <c r="N98" s="75">
        <v>20.651328699878288</v>
      </c>
      <c r="O98" s="74">
        <v>2988.6329159212883</v>
      </c>
      <c r="P98" s="71">
        <f t="shared" ref="P98:P104" si="1">N98*(R98/O98)</f>
        <v>10.903914132379247</v>
      </c>
      <c r="Q98" s="75">
        <f t="shared" ref="Q98:Q104" si="2">P98+M98+L98</f>
        <v>64.306750847390219</v>
      </c>
      <c r="R98" s="71">
        <v>1578</v>
      </c>
      <c r="S98" s="73">
        <f t="shared" ref="S98:S103" si="3">H98*(R98/O98)</f>
        <v>485430.0402256074</v>
      </c>
      <c r="T98" s="73">
        <f t="shared" ref="T98:T103" si="4">J98*2</f>
        <v>146486.18677158191</v>
      </c>
      <c r="U98" s="73">
        <f t="shared" ref="U98:U103" si="5">T98+S98</f>
        <v>631916.22699718934</v>
      </c>
      <c r="V98" s="71" t="str">
        <f>VLOOKUP(B98,NUTS_Europa!$B$2:$F$41,5,FALSE)</f>
        <v>Prov. Oost-Vlaanderen</v>
      </c>
      <c r="W98" s="71" t="str">
        <f>VLOOKUP(C98,Puertos!$N$3:$O$27,2,FALSE)</f>
        <v>Amberes</v>
      </c>
      <c r="X98" s="71" t="str">
        <f>VLOOKUP(D98,NUTS_Europa!$B$2:$F$41,5,FALSE)</f>
        <v>Cantabria</v>
      </c>
      <c r="Y98" s="71" t="str">
        <f>VLOOKUP(E98,Puertos!$N$3:$O$27,2,FALSE)</f>
        <v>Bilbao</v>
      </c>
      <c r="Z98" s="71">
        <f t="shared" ref="Z98:Z103" si="6">(168/2)-Q98</f>
        <v>19.693249152609781</v>
      </c>
      <c r="AA98" s="71">
        <f t="shared" ref="AA98:AA103" si="7">Q98/24</f>
        <v>2.6794479519745926</v>
      </c>
    </row>
    <row r="99" spans="2:28" s="71" customFormat="1" x14ac:dyDescent="0.25">
      <c r="B99" s="71" t="str">
        <f>VLOOKUP(G99,[1]NUTS_Europa!$A$2:$C$81,2,FALSE)</f>
        <v>ES13</v>
      </c>
      <c r="C99" s="71">
        <f>VLOOKUP(G99,[1]NUTS_Europa!$A$2:$C$81,3,FALSE)</f>
        <v>163</v>
      </c>
      <c r="D99" s="71" t="str">
        <f>VLOOKUP(F99,[1]NUTS_Europa!$A$2:$C$81,2,FALSE)</f>
        <v>DEF0</v>
      </c>
      <c r="E99" s="71">
        <f>VLOOKUP(F99,[1]NUTS_Europa!$A$2:$C$81,3,FALSE)</f>
        <v>1069</v>
      </c>
      <c r="F99" s="71">
        <v>10</v>
      </c>
      <c r="G99" s="71">
        <v>13</v>
      </c>
      <c r="H99" s="71">
        <v>1046215.0103676075</v>
      </c>
      <c r="I99" s="73">
        <v>1100451.899847985</v>
      </c>
      <c r="J99" s="73">
        <f t="shared" si="0"/>
        <v>84650.146142152691</v>
      </c>
      <c r="K99" s="74">
        <v>163171.48832599766</v>
      </c>
      <c r="L99" s="75">
        <v>48.97429906542056</v>
      </c>
      <c r="M99" s="75">
        <v>13.980599380814315</v>
      </c>
      <c r="N99" s="75">
        <v>17.896979485261216</v>
      </c>
      <c r="O99" s="74">
        <v>2988.6329159212883</v>
      </c>
      <c r="P99" s="71">
        <f t="shared" si="1"/>
        <v>9.4496160693714284</v>
      </c>
      <c r="Q99" s="75">
        <f t="shared" si="2"/>
        <v>72.404514515606309</v>
      </c>
      <c r="R99" s="71">
        <v>1578</v>
      </c>
      <c r="S99" s="73">
        <f t="shared" si="3"/>
        <v>552402.16272969835</v>
      </c>
      <c r="T99" s="73">
        <f t="shared" si="4"/>
        <v>169300.29228430538</v>
      </c>
      <c r="U99" s="73">
        <f t="shared" si="5"/>
        <v>721702.45501400367</v>
      </c>
      <c r="V99" s="71" t="str">
        <f>VLOOKUP(B99,NUTS_Europa!$B$2:$F$41,5,FALSE)</f>
        <v>Cantabria</v>
      </c>
      <c r="W99" s="71" t="str">
        <f>VLOOKUP(C99,Puertos!$N$3:$O$27,2,FALSE)</f>
        <v>Bilbao</v>
      </c>
      <c r="X99" s="71" t="str">
        <f>VLOOKUP(D99,NUTS_Europa!$B$2:$F$41,5,FALSE)</f>
        <v>Schleswig-Holstein</v>
      </c>
      <c r="Y99" s="71" t="str">
        <f>VLOOKUP(E99,Puertos!$N$3:$O$27,2,FALSE)</f>
        <v>Hamburgo</v>
      </c>
      <c r="Z99" s="71">
        <f t="shared" si="6"/>
        <v>11.595485484393691</v>
      </c>
      <c r="AA99" s="71">
        <f t="shared" si="7"/>
        <v>3.016854771483596</v>
      </c>
    </row>
    <row r="100" spans="2:28" s="71" customFormat="1" x14ac:dyDescent="0.25">
      <c r="B100" s="71" t="str">
        <f>VLOOKUP(F100,[1]NUTS_Europa!$A$2:$C$81,2,FALSE)</f>
        <v>DEF0</v>
      </c>
      <c r="C100" s="71">
        <f>VLOOKUP(F100,[1]NUTS_Europa!$A$2:$C$81,3,FALSE)</f>
        <v>1069</v>
      </c>
      <c r="D100" s="71" t="str">
        <f>VLOOKUP(G100,[1]NUTS_Europa!$A$2:$C$81,2,FALSE)</f>
        <v>ES21</v>
      </c>
      <c r="E100" s="71">
        <f>VLOOKUP(G100,[1]NUTS_Europa!$A$2:$C$81,3,FALSE)</f>
        <v>163</v>
      </c>
      <c r="F100" s="71">
        <v>10</v>
      </c>
      <c r="G100" s="71">
        <v>14</v>
      </c>
      <c r="H100" s="71">
        <v>870416.44953411922</v>
      </c>
      <c r="I100" s="73">
        <v>1100451.899847985</v>
      </c>
      <c r="J100" s="73">
        <f t="shared" si="0"/>
        <v>84650.146142152691</v>
      </c>
      <c r="K100" s="74">
        <v>199058.85825050285</v>
      </c>
      <c r="L100" s="75">
        <v>48.97429906542056</v>
      </c>
      <c r="M100" s="75">
        <v>13.980599380814315</v>
      </c>
      <c r="N100" s="75">
        <v>17.896979485261216</v>
      </c>
      <c r="O100" s="74">
        <v>2988.6329159212883</v>
      </c>
      <c r="P100" s="71">
        <f t="shared" si="1"/>
        <v>9.4496160693714284</v>
      </c>
      <c r="Q100" s="75">
        <f t="shared" si="2"/>
        <v>72.404514515606309</v>
      </c>
      <c r="R100" s="71">
        <v>1578</v>
      </c>
      <c r="S100" s="73">
        <f t="shared" si="3"/>
        <v>459580.41552969848</v>
      </c>
      <c r="T100" s="73">
        <f t="shared" si="4"/>
        <v>169300.29228430538</v>
      </c>
      <c r="U100" s="73">
        <f t="shared" si="5"/>
        <v>628880.70781400381</v>
      </c>
      <c r="V100" s="71" t="str">
        <f>VLOOKUP(B100,NUTS_Europa!$B$2:$F$41,5,FALSE)</f>
        <v>Schleswig-Holstein</v>
      </c>
      <c r="W100" s="71" t="str">
        <f>VLOOKUP(C100,Puertos!$N$3:$O$27,2,FALSE)</f>
        <v>Hamburgo</v>
      </c>
      <c r="X100" s="71" t="str">
        <f>VLOOKUP(D100,NUTS_Europa!$B$2:$F$41,5,FALSE)</f>
        <v>País Vasco</v>
      </c>
      <c r="Y100" s="71" t="str">
        <f>VLOOKUP(E100,Puertos!$N$3:$O$27,2,FALSE)</f>
        <v>Bilbao</v>
      </c>
      <c r="Z100" s="71">
        <f t="shared" si="6"/>
        <v>11.595485484393691</v>
      </c>
      <c r="AA100" s="71">
        <f t="shared" si="7"/>
        <v>3.016854771483596</v>
      </c>
    </row>
    <row r="101" spans="2:28" s="71" customFormat="1" x14ac:dyDescent="0.25">
      <c r="B101" s="71" t="str">
        <f>VLOOKUP(G101,[1]NUTS_Europa!$A$2:$C$81,2,FALSE)</f>
        <v>ES21</v>
      </c>
      <c r="C101" s="71">
        <f>VLOOKUP(G101,[1]NUTS_Europa!$A$2:$C$81,3,FALSE)</f>
        <v>163</v>
      </c>
      <c r="D101" s="71" t="str">
        <f>VLOOKUP(F101,[1]NUTS_Europa!$A$2:$C$81,2,FALSE)</f>
        <v>DE80</v>
      </c>
      <c r="E101" s="71">
        <f>VLOOKUP(F101,[1]NUTS_Europa!$A$2:$C$81,3,FALSE)</f>
        <v>1069</v>
      </c>
      <c r="F101" s="71">
        <v>6</v>
      </c>
      <c r="G101" s="71">
        <v>14</v>
      </c>
      <c r="H101" s="73">
        <v>1420179.3596406309</v>
      </c>
      <c r="I101" s="73">
        <v>1100451.899847985</v>
      </c>
      <c r="J101" s="73">
        <f t="shared" si="0"/>
        <v>84650.146142152691</v>
      </c>
      <c r="K101" s="74">
        <v>154854.30087154222</v>
      </c>
      <c r="L101" s="75">
        <v>48.97429906542056</v>
      </c>
      <c r="M101" s="75">
        <v>13.980599380814315</v>
      </c>
      <c r="N101" s="75">
        <v>17.896979485261216</v>
      </c>
      <c r="O101" s="74">
        <v>2988.6329159212883</v>
      </c>
      <c r="P101" s="71">
        <f t="shared" si="1"/>
        <v>9.4496160693714284</v>
      </c>
      <c r="Q101" s="75">
        <f t="shared" si="2"/>
        <v>72.404514515606309</v>
      </c>
      <c r="R101" s="71">
        <v>1578</v>
      </c>
      <c r="S101" s="73">
        <f t="shared" si="3"/>
        <v>749855.56692969846</v>
      </c>
      <c r="T101" s="73">
        <f t="shared" si="4"/>
        <v>169300.29228430538</v>
      </c>
      <c r="U101" s="73">
        <f t="shared" si="5"/>
        <v>919155.8592140039</v>
      </c>
      <c r="V101" s="71" t="str">
        <f>VLOOKUP(B101,NUTS_Europa!$B$2:$F$41,5,FALSE)</f>
        <v>País Vasco</v>
      </c>
      <c r="W101" s="71" t="str">
        <f>VLOOKUP(C101,Puertos!$N$3:$O$27,2,FALSE)</f>
        <v>Bilbao</v>
      </c>
      <c r="X101" s="71" t="str">
        <f>VLOOKUP(D101,NUTS_Europa!$B$2:$F$41,5,FALSE)</f>
        <v>Mecklenburg-Vorpommern</v>
      </c>
      <c r="Y101" s="71" t="str">
        <f>VLOOKUP(E101,Puertos!$N$3:$O$27,2,FALSE)</f>
        <v>Hamburgo</v>
      </c>
      <c r="Z101" s="71">
        <f t="shared" si="6"/>
        <v>11.595485484393691</v>
      </c>
      <c r="AA101" s="71">
        <f t="shared" si="7"/>
        <v>3.016854771483596</v>
      </c>
    </row>
    <row r="102" spans="2:28" s="71" customFormat="1" x14ac:dyDescent="0.25">
      <c r="B102" s="71" t="str">
        <f>VLOOKUP(F102,[1]NUTS_Europa!$A$2:$C$81,2,FALSE)</f>
        <v>DE80</v>
      </c>
      <c r="C102" s="71">
        <f>VLOOKUP(F102,[1]NUTS_Europa!$A$2:$C$81,3,FALSE)</f>
        <v>1069</v>
      </c>
      <c r="D102" s="71" t="str">
        <f>VLOOKUP(G102,[1]NUTS_Europa!$A$2:$C$81,2,FALSE)</f>
        <v>ES11</v>
      </c>
      <c r="E102" s="71">
        <f>VLOOKUP(G102,[1]NUTS_Europa!$A$2:$C$81,3,FALSE)</f>
        <v>288</v>
      </c>
      <c r="F102" s="71">
        <v>6</v>
      </c>
      <c r="G102" s="71">
        <v>11</v>
      </c>
      <c r="H102" s="73">
        <v>501050.34643502434</v>
      </c>
      <c r="I102" s="73">
        <v>1193239.9797113515</v>
      </c>
      <c r="J102" s="73">
        <f t="shared" si="0"/>
        <v>91787.690747027038</v>
      </c>
      <c r="K102" s="74">
        <v>142841.86171918266</v>
      </c>
      <c r="L102" s="75">
        <v>54.147196261682247</v>
      </c>
      <c r="M102" s="75">
        <v>10.724854970891197</v>
      </c>
      <c r="N102" s="75">
        <v>4.7144357961536105</v>
      </c>
      <c r="O102" s="74">
        <v>930.46701587219775</v>
      </c>
      <c r="P102" s="71">
        <f t="shared" si="1"/>
        <v>4.7144357961536105</v>
      </c>
      <c r="Q102" s="75">
        <f t="shared" si="2"/>
        <v>69.586487028727049</v>
      </c>
      <c r="R102" s="74">
        <f>O102</f>
        <v>930.46701587219775</v>
      </c>
      <c r="S102" s="73">
        <f t="shared" si="3"/>
        <v>501050.34643502434</v>
      </c>
      <c r="T102" s="73">
        <f t="shared" si="4"/>
        <v>183575.38149405408</v>
      </c>
      <c r="U102" s="73">
        <f t="shared" si="5"/>
        <v>684625.72792907839</v>
      </c>
      <c r="V102" s="71" t="str">
        <f>VLOOKUP(B102,NUTS_Europa!$B$2:$F$41,5,FALSE)</f>
        <v>Mecklenburg-Vorpommern</v>
      </c>
      <c r="W102" s="71" t="str">
        <f>VLOOKUP(C102,Puertos!$N$3:$O$27,2,FALSE)</f>
        <v>Hamburgo</v>
      </c>
      <c r="X102" s="71" t="str">
        <f>VLOOKUP(D102,NUTS_Europa!$B$2:$F$41,5,FALSE)</f>
        <v>Galicia</v>
      </c>
      <c r="Y102" s="71" t="str">
        <f>VLOOKUP(E102,Puertos!$N$3:$O$27,2,FALSE)</f>
        <v>Vigo</v>
      </c>
      <c r="Z102" s="71">
        <f t="shared" si="6"/>
        <v>14.413512971272951</v>
      </c>
      <c r="AA102" s="71">
        <f t="shared" si="7"/>
        <v>2.8994369595302936</v>
      </c>
    </row>
    <row r="103" spans="2:28" s="71" customFormat="1" x14ac:dyDescent="0.25">
      <c r="B103" s="71" t="str">
        <f>VLOOKUP(G103,[1]NUTS_Europa!$A$2:$C$81,2,FALSE)</f>
        <v>ES11</v>
      </c>
      <c r="C103" s="71">
        <f>VLOOKUP(G103,[1]NUTS_Europa!$A$2:$C$81,3,FALSE)</f>
        <v>288</v>
      </c>
      <c r="D103" s="71" t="str">
        <f>VLOOKUP(F103,[1]NUTS_Europa!$A$2:$C$81,2,FALSE)</f>
        <v>DEA1</v>
      </c>
      <c r="E103" s="71">
        <f>VLOOKUP(F103,[1]NUTS_Europa!$A$2:$C$81,3,FALSE)</f>
        <v>253</v>
      </c>
      <c r="F103" s="71">
        <v>9</v>
      </c>
      <c r="G103" s="71">
        <v>11</v>
      </c>
      <c r="H103" s="73">
        <v>521732.34332207637</v>
      </c>
      <c r="I103" s="73">
        <v>1053645.3594930181</v>
      </c>
      <c r="J103" s="73">
        <f t="shared" si="0"/>
        <v>81049.64303792447</v>
      </c>
      <c r="K103" s="74">
        <v>142392.8717171422</v>
      </c>
      <c r="L103" s="75">
        <v>41.455607476635514</v>
      </c>
      <c r="M103" s="75">
        <v>13.889615669573828</v>
      </c>
      <c r="N103" s="75">
        <v>5.5719620185082395</v>
      </c>
      <c r="O103" s="74">
        <v>930.46701587219775</v>
      </c>
      <c r="P103" s="71">
        <f t="shared" si="1"/>
        <v>5.5719620185082395</v>
      </c>
      <c r="Q103" s="75">
        <f t="shared" si="2"/>
        <v>60.91718516471758</v>
      </c>
      <c r="R103" s="74">
        <f>O103</f>
        <v>930.46701587219775</v>
      </c>
      <c r="S103" s="73">
        <f t="shared" si="3"/>
        <v>521732.34332207637</v>
      </c>
      <c r="T103" s="73">
        <f t="shared" si="4"/>
        <v>162099.28607584894</v>
      </c>
      <c r="U103" s="73">
        <f t="shared" si="5"/>
        <v>683831.62939792534</v>
      </c>
      <c r="V103" s="71" t="str">
        <f>VLOOKUP(B103,NUTS_Europa!$B$2:$F$41,5,FALSE)</f>
        <v>Galicia</v>
      </c>
      <c r="W103" s="71" t="str">
        <f>VLOOKUP(C103,Puertos!$N$3:$O$27,2,FALSE)</f>
        <v>Vigo</v>
      </c>
      <c r="X103" s="71" t="str">
        <f>VLOOKUP(D103,NUTS_Europa!$B$2:$F$41,5,FALSE)</f>
        <v>Düsseldorf</v>
      </c>
      <c r="Y103" s="71" t="str">
        <f>VLOOKUP(E103,Puertos!$N$3:$O$27,2,FALSE)</f>
        <v>Amberes</v>
      </c>
      <c r="Z103" s="71">
        <f t="shared" si="6"/>
        <v>23.08281483528242</v>
      </c>
      <c r="AA103" s="71">
        <f t="shared" si="7"/>
        <v>2.538216048529899</v>
      </c>
    </row>
    <row r="104" spans="2:28" s="71" customFormat="1" x14ac:dyDescent="0.25">
      <c r="B104" s="71" t="str">
        <f>VLOOKUP(F104,[1]NUTS_Europa!$A$2:$C$81,2,FALSE)</f>
        <v>DEA1</v>
      </c>
      <c r="C104" s="71">
        <f>VLOOKUP(F104,[1]NUTS_Europa!$A$2:$C$81,3,FALSE)</f>
        <v>253</v>
      </c>
      <c r="D104" s="71" t="str">
        <f>VLOOKUP(G104,[1]NUTS_Europa!$A$2:$C$81,2,FALSE)</f>
        <v>FRI3</v>
      </c>
      <c r="E104" s="71">
        <f>VLOOKUP(G104,[1]NUTS_Europa!$A$2:$C$81,3,FALSE)</f>
        <v>283</v>
      </c>
      <c r="F104" s="71">
        <v>9</v>
      </c>
      <c r="G104" s="71">
        <v>25</v>
      </c>
      <c r="H104" s="73">
        <v>1025896.5995660863</v>
      </c>
      <c r="I104" s="73">
        <v>816121.51974265231</v>
      </c>
      <c r="J104" s="73">
        <f t="shared" si="0"/>
        <v>62778.578441742487</v>
      </c>
      <c r="K104" s="74">
        <v>127001.21695280854</v>
      </c>
      <c r="L104" s="75">
        <v>32.271028037383182</v>
      </c>
      <c r="M104" s="75">
        <v>11.566898240934124</v>
      </c>
      <c r="N104" s="75">
        <v>13.541382795478951</v>
      </c>
      <c r="O104" s="74">
        <v>2188.5072142857148</v>
      </c>
      <c r="P104" s="71">
        <f t="shared" si="1"/>
        <v>0</v>
      </c>
      <c r="Q104" s="75">
        <f t="shared" si="2"/>
        <v>43.837926278317305</v>
      </c>
      <c r="W104" s="71" t="str">
        <f>VLOOKUP(C104,Puertos!$N$3:$O$27,2,FALSE)</f>
        <v>Amberes</v>
      </c>
      <c r="Y104" s="71" t="str">
        <f>VLOOKUP(E104,Puertos!$N$3:$O$27,2,FALSE)</f>
        <v>La Rochelle</v>
      </c>
    </row>
    <row r="105" spans="2:28" s="71" customFormat="1" x14ac:dyDescent="0.25">
      <c r="B105" s="71" t="str">
        <f>VLOOKUP(G105,[1]NUTS_Europa!$A$2:$C$81,2,FALSE)</f>
        <v>FRI3</v>
      </c>
      <c r="C105" s="71">
        <f>VLOOKUP(G105,[1]NUTS_Europa!$A$2:$C$81,3,FALSE)</f>
        <v>283</v>
      </c>
      <c r="D105" s="71" t="str">
        <f>VLOOKUP(F105,[1]NUTS_Europa!$A$2:$C$81,2,FALSE)</f>
        <v>FRE1</v>
      </c>
      <c r="E105" s="71">
        <f>VLOOKUP(F105,[1]NUTS_Europa!$A$2:$C$81,3,FALSE)</f>
        <v>220</v>
      </c>
      <c r="F105" s="71">
        <v>21</v>
      </c>
      <c r="G105" s="71">
        <v>25</v>
      </c>
      <c r="H105" s="73">
        <v>652039.95233403542</v>
      </c>
      <c r="I105" s="73">
        <v>706043.07110509195</v>
      </c>
      <c r="J105" s="73"/>
      <c r="K105" s="74">
        <v>117061.71481038857</v>
      </c>
      <c r="L105" s="75">
        <v>28.130373831775703</v>
      </c>
      <c r="M105" s="75">
        <v>10.725386304633094</v>
      </c>
      <c r="N105" s="75">
        <v>12.206470568219187</v>
      </c>
      <c r="O105" s="74">
        <v>2188.5072142857148</v>
      </c>
      <c r="Q105" s="75"/>
    </row>
    <row r="106" spans="2:28" s="71" customFormat="1" x14ac:dyDescent="0.25">
      <c r="B106" s="71" t="str">
        <f>VLOOKUP(F106,[1]NUTS_Europa!$A$2:$C$81,2,FALSE)</f>
        <v>FRE1</v>
      </c>
      <c r="C106" s="71">
        <f>VLOOKUP(F106,[1]NUTS_Europa!$A$2:$C$81,3,FALSE)</f>
        <v>220</v>
      </c>
      <c r="D106" s="71" t="str">
        <f>VLOOKUP(G106,[1]NUTS_Europa!$A$2:$C$81,2,FALSE)</f>
        <v>FRI1</v>
      </c>
      <c r="E106" s="71">
        <f>VLOOKUP(G106,[1]NUTS_Europa!$A$2:$C$81,3,FALSE)</f>
        <v>283</v>
      </c>
      <c r="F106" s="71">
        <v>21</v>
      </c>
      <c r="G106" s="71">
        <v>24</v>
      </c>
      <c r="H106" s="73">
        <v>998297.90400307125</v>
      </c>
      <c r="I106" s="73">
        <v>706043.07110509195</v>
      </c>
      <c r="J106" s="73">
        <f t="shared" ref="J106:J132" si="8">I106/13</f>
        <v>54311.005469622454</v>
      </c>
      <c r="K106" s="74">
        <v>123840.01515725654</v>
      </c>
      <c r="L106" s="75">
        <v>28.130373831775703</v>
      </c>
      <c r="M106" s="75">
        <v>10.725386304633094</v>
      </c>
      <c r="N106" s="75">
        <v>12.206470568219187</v>
      </c>
      <c r="O106" s="74">
        <v>2188.5072142857148</v>
      </c>
      <c r="P106" s="71">
        <f t="shared" ref="P106:P116" si="9">N106*(R106/O106)</f>
        <v>0</v>
      </c>
      <c r="Q106" s="75">
        <f t="shared" ref="Q106:Q116" si="10">P106+M106+L106</f>
        <v>38.855760136408797</v>
      </c>
      <c r="W106" s="71" t="str">
        <f>VLOOKUP(C106,Puertos!$N$3:$O$27,2,FALSE)</f>
        <v>Zeebrugge</v>
      </c>
      <c r="Y106" s="71" t="str">
        <f>VLOOKUP(E106,Puertos!$N$3:$O$27,2,FALSE)</f>
        <v>La Rochelle</v>
      </c>
    </row>
    <row r="107" spans="2:28" s="71" customFormat="1" x14ac:dyDescent="0.25">
      <c r="B107" s="71" t="str">
        <f>VLOOKUP(G107,[1]NUTS_Europa!$A$2:$C$81,2,FALSE)</f>
        <v>FRH0</v>
      </c>
      <c r="C107" s="71">
        <f>VLOOKUP(G107,[1]NUTS_Europa!$A$2:$C$81,3,FALSE)</f>
        <v>283</v>
      </c>
      <c r="D107" s="71" t="str">
        <f>VLOOKUP(F107,[1]NUTS_Europa!$A$2:$C$81,2,FALSE)</f>
        <v>FRD2</v>
      </c>
      <c r="E107" s="71">
        <f>VLOOKUP(F107,[1]NUTS_Europa!$A$2:$C$81,3,FALSE)</f>
        <v>269</v>
      </c>
      <c r="F107" s="71">
        <v>20</v>
      </c>
      <c r="G107" s="71">
        <v>23</v>
      </c>
      <c r="H107" s="73">
        <v>1053031.4135823792</v>
      </c>
      <c r="I107" s="73">
        <v>709122.22059395153</v>
      </c>
      <c r="J107" s="73">
        <f t="shared" si="8"/>
        <v>54547.863122611656</v>
      </c>
      <c r="K107" s="74">
        <v>159445.52860932166</v>
      </c>
      <c r="L107" s="75">
        <v>21.635514018691591</v>
      </c>
      <c r="M107" s="75">
        <v>11.668793105716773</v>
      </c>
      <c r="N107" s="75">
        <v>13.541382795478951</v>
      </c>
      <c r="O107" s="74">
        <v>2188.5072142857148</v>
      </c>
      <c r="P107" s="71">
        <f t="shared" si="9"/>
        <v>0</v>
      </c>
      <c r="Q107" s="75">
        <f t="shared" si="10"/>
        <v>33.304307124408368</v>
      </c>
      <c r="W107" s="71" t="str">
        <f>VLOOKUP(C107,Puertos!$N$3:$O$27,2,FALSE)</f>
        <v>La Rochelle</v>
      </c>
      <c r="Y107" s="71" t="str">
        <f>VLOOKUP(E107,Puertos!$N$3:$O$27,2,FALSE)</f>
        <v>Le Havre</v>
      </c>
    </row>
    <row r="108" spans="2:28" s="71" customFormat="1" x14ac:dyDescent="0.25">
      <c r="B108" s="71" t="str">
        <f>VLOOKUP(F108,[1]NUTS_Europa!$A$2:$C$81,2,FALSE)</f>
        <v>FRD2</v>
      </c>
      <c r="C108" s="71">
        <f>VLOOKUP(F108,[1]NUTS_Europa!$A$2:$C$81,3,FALSE)</f>
        <v>269</v>
      </c>
      <c r="D108" s="71" t="str">
        <f>VLOOKUP(G108,[1]NUTS_Europa!$A$2:$C$81,2,FALSE)</f>
        <v>FRI1</v>
      </c>
      <c r="E108" s="71">
        <f>VLOOKUP(G108,[1]NUTS_Europa!$A$2:$C$81,3,FALSE)</f>
        <v>283</v>
      </c>
      <c r="F108" s="71">
        <v>20</v>
      </c>
      <c r="G108" s="71">
        <v>24</v>
      </c>
      <c r="H108" s="73">
        <v>869126.77535152214</v>
      </c>
      <c r="I108" s="73">
        <v>709122.22059395153</v>
      </c>
      <c r="J108" s="73">
        <f t="shared" si="8"/>
        <v>54547.863122611656</v>
      </c>
      <c r="K108" s="74">
        <v>114346.85142443764</v>
      </c>
      <c r="L108" s="75">
        <v>21.635514018691591</v>
      </c>
      <c r="M108" s="75">
        <v>11.668793105716773</v>
      </c>
      <c r="N108" s="75">
        <v>13.541382795478951</v>
      </c>
      <c r="O108" s="74">
        <v>2188.5072142857148</v>
      </c>
      <c r="P108" s="71">
        <f t="shared" si="9"/>
        <v>0</v>
      </c>
      <c r="Q108" s="75">
        <f t="shared" si="10"/>
        <v>33.304307124408368</v>
      </c>
      <c r="W108" s="71" t="str">
        <f>VLOOKUP(C108,Puertos!$N$3:$O$27,2,FALSE)</f>
        <v>Le Havre</v>
      </c>
      <c r="Y108" s="71" t="str">
        <f>VLOOKUP(E108,Puertos!$N$3:$O$27,2,FALSE)</f>
        <v>La Rochelle</v>
      </c>
    </row>
    <row r="109" spans="2:28" s="71" customFormat="1" x14ac:dyDescent="0.25">
      <c r="B109" s="71" t="str">
        <f>VLOOKUP(G109,[1]NUTS_Europa!$A$2:$C$81,2,FALSE)</f>
        <v>FRI1</v>
      </c>
      <c r="C109" s="71">
        <f>VLOOKUP(G109,[1]NUTS_Europa!$A$2:$C$81,3,FALSE)</f>
        <v>283</v>
      </c>
      <c r="D109" s="71" t="str">
        <f>VLOOKUP(F109,[1]NUTS_Europa!$A$2:$C$81,2,FALSE)</f>
        <v>FRD2</v>
      </c>
      <c r="E109" s="71">
        <f>VLOOKUP(F109,[1]NUTS_Europa!$A$2:$C$81,3,FALSE)</f>
        <v>269</v>
      </c>
      <c r="F109" s="71">
        <v>20</v>
      </c>
      <c r="G109" s="71">
        <v>24</v>
      </c>
      <c r="H109" s="73">
        <v>869126.77535152214</v>
      </c>
      <c r="I109" s="73">
        <v>709122.22059395153</v>
      </c>
      <c r="J109" s="73">
        <f t="shared" si="8"/>
        <v>54547.863122611656</v>
      </c>
      <c r="K109" s="74">
        <v>114346.85142443764</v>
      </c>
      <c r="L109" s="75">
        <v>21.635514018691591</v>
      </c>
      <c r="M109" s="75">
        <v>11.668793105716773</v>
      </c>
      <c r="N109" s="75">
        <v>13.541382795478951</v>
      </c>
      <c r="O109" s="74">
        <v>2188.5072142857148</v>
      </c>
      <c r="P109" s="71">
        <f t="shared" si="9"/>
        <v>0</v>
      </c>
      <c r="Q109" s="75">
        <f t="shared" si="10"/>
        <v>33.304307124408368</v>
      </c>
      <c r="W109" s="71" t="str">
        <f>VLOOKUP(C109,Puertos!$N$3:$O$27,2,FALSE)</f>
        <v>La Rochelle</v>
      </c>
      <c r="Y109" s="71" t="str">
        <f>VLOOKUP(E109,Puertos!$N$3:$O$27,2,FALSE)</f>
        <v>Le Havre</v>
      </c>
    </row>
    <row r="110" spans="2:28" s="71" customFormat="1" x14ac:dyDescent="0.25">
      <c r="B110" s="71" t="str">
        <f>VLOOKUP(F110,[1]NUTS_Europa!$A$2:$C$81,2,FALSE)</f>
        <v>FRD2</v>
      </c>
      <c r="C110" s="71">
        <f>VLOOKUP(F110,[1]NUTS_Europa!$A$2:$C$81,3,FALSE)</f>
        <v>269</v>
      </c>
      <c r="D110" s="71" t="str">
        <f>VLOOKUP(G110,[1]NUTS_Europa!$A$2:$C$81,2,FALSE)</f>
        <v>FRH0</v>
      </c>
      <c r="E110" s="71">
        <f>VLOOKUP(G110,[1]NUTS_Europa!$A$2:$C$81,3,FALSE)</f>
        <v>283</v>
      </c>
      <c r="F110" s="71">
        <v>20</v>
      </c>
      <c r="G110" s="71">
        <v>23</v>
      </c>
      <c r="H110" s="73">
        <v>1053031.4135823792</v>
      </c>
      <c r="I110" s="73">
        <v>709122.22059395153</v>
      </c>
      <c r="J110" s="73">
        <f t="shared" si="8"/>
        <v>54547.863122611656</v>
      </c>
      <c r="K110" s="74">
        <v>159445.52860932166</v>
      </c>
      <c r="L110" s="75">
        <v>21.635514018691591</v>
      </c>
      <c r="M110" s="75">
        <v>11.668793105716773</v>
      </c>
      <c r="N110" s="75">
        <v>13.541382795478951</v>
      </c>
      <c r="O110" s="74">
        <v>2188.5072142857148</v>
      </c>
      <c r="P110" s="71">
        <f t="shared" si="9"/>
        <v>0</v>
      </c>
      <c r="Q110" s="75">
        <f t="shared" si="10"/>
        <v>33.304307124408368</v>
      </c>
      <c r="W110" s="71" t="str">
        <f>VLOOKUP(C110,Puertos!$N$3:$O$27,2,FALSE)</f>
        <v>Le Havre</v>
      </c>
      <c r="Y110" s="71" t="str">
        <f>VLOOKUP(E110,Puertos!$N$3:$O$27,2,FALSE)</f>
        <v>La Rochelle</v>
      </c>
    </row>
    <row r="111" spans="2:28" s="71" customFormat="1" x14ac:dyDescent="0.25">
      <c r="B111" s="71" t="str">
        <f>VLOOKUP(G111,[1]NUTS_Europa!$A$2:$C$81,2,FALSE)</f>
        <v>FRH0</v>
      </c>
      <c r="C111" s="71">
        <f>VLOOKUP(G111,[1]NUTS_Europa!$A$2:$C$81,3,FALSE)</f>
        <v>283</v>
      </c>
      <c r="D111" s="71" t="str">
        <f>VLOOKUP(F111,[1]NUTS_Europa!$A$2:$C$81,2,FALSE)</f>
        <v>ES61</v>
      </c>
      <c r="E111" s="71">
        <f>VLOOKUP(F111,[1]NUTS_Europa!$A$2:$C$81,3,FALSE)</f>
        <v>61</v>
      </c>
      <c r="F111" s="71">
        <v>17</v>
      </c>
      <c r="G111" s="71">
        <v>23</v>
      </c>
      <c r="H111" s="73">
        <v>1617471.29743993</v>
      </c>
      <c r="I111" s="73">
        <v>987728.57012832281</v>
      </c>
      <c r="J111" s="73">
        <f t="shared" si="8"/>
        <v>75979.120779101751</v>
      </c>
      <c r="K111" s="74">
        <v>191087.21980936834</v>
      </c>
      <c r="L111" s="75">
        <v>47.940186915887857</v>
      </c>
      <c r="M111" s="75">
        <v>10.698095738469863</v>
      </c>
      <c r="N111" s="75">
        <v>10.757346471869615</v>
      </c>
      <c r="O111" s="74">
        <v>2188.5072142857148</v>
      </c>
      <c r="P111" s="71">
        <f t="shared" si="9"/>
        <v>7.75647099621309</v>
      </c>
      <c r="Q111" s="75">
        <f t="shared" si="10"/>
        <v>66.394753650570806</v>
      </c>
      <c r="R111" s="71">
        <f>R101</f>
        <v>1578</v>
      </c>
      <c r="S111" s="73">
        <f t="shared" ref="S111:S116" si="11">H111*(R111/O111)</f>
        <v>1166260.5865310123</v>
      </c>
      <c r="T111" s="73">
        <f t="shared" ref="T111:T116" si="12">J111*3</f>
        <v>227937.36233730527</v>
      </c>
      <c r="U111" s="73">
        <f t="shared" ref="U111:U132" si="13">T111+S111</f>
        <v>1394197.9488683175</v>
      </c>
      <c r="V111" s="71" t="str">
        <f>VLOOKUP(B111,NUTS_Europa!$B$2:$F$41,5,FALSE)</f>
        <v>Bretagne</v>
      </c>
      <c r="W111" s="71" t="str">
        <f>VLOOKUP(C111,Puertos!$N$3:$O$27,2,FALSE)</f>
        <v>La Rochelle</v>
      </c>
      <c r="X111" s="71" t="str">
        <f>VLOOKUP(D111,NUTS_Europa!$B$2:$F$41,5,FALSE)</f>
        <v>Andalucía</v>
      </c>
      <c r="Y111" s="71" t="str">
        <f>VLOOKUP(E111,Puertos!$N$3:$O$27,2,FALSE)</f>
        <v>Algeciras</v>
      </c>
      <c r="Z111" s="71">
        <f t="shared" ref="Z111:Z116" si="14">(168/2)-Q111</f>
        <v>17.605246349429194</v>
      </c>
      <c r="AA111" s="71">
        <f t="shared" ref="AA111:AA116" si="15">Q111/24</f>
        <v>2.7664480687737836</v>
      </c>
    </row>
    <row r="112" spans="2:28" s="71" customFormat="1" x14ac:dyDescent="0.25">
      <c r="B112" s="71" t="str">
        <f>VLOOKUP(F112,[1]NUTS_Europa!$A$2:$C$81,2,FALSE)</f>
        <v>ES61</v>
      </c>
      <c r="C112" s="71">
        <f>VLOOKUP(F112,[1]NUTS_Europa!$A$2:$C$81,3,FALSE)</f>
        <v>61</v>
      </c>
      <c r="D112" s="71" t="str">
        <f>VLOOKUP(G112,[1]NUTS_Europa!$A$2:$C$81,2,FALSE)</f>
        <v>FRG0</v>
      </c>
      <c r="E112" s="71">
        <f>VLOOKUP(G112,[1]NUTS_Europa!$A$2:$C$81,3,FALSE)</f>
        <v>282</v>
      </c>
      <c r="F112" s="71">
        <v>17</v>
      </c>
      <c r="G112" s="71">
        <v>22</v>
      </c>
      <c r="H112" s="73">
        <v>517275.57774220122</v>
      </c>
      <c r="I112" s="73">
        <v>1054974.8604697192</v>
      </c>
      <c r="J112" s="73">
        <f t="shared" si="8"/>
        <v>81151.912343824544</v>
      </c>
      <c r="K112" s="74">
        <v>115262.59218235347</v>
      </c>
      <c r="L112" s="75">
        <v>49.15121495327103</v>
      </c>
      <c r="M112" s="75">
        <v>14.218436701415838</v>
      </c>
      <c r="N112" s="75">
        <v>4.4446645954923039</v>
      </c>
      <c r="O112" s="74">
        <v>788.36279069767454</v>
      </c>
      <c r="P112" s="71">
        <f t="shared" si="9"/>
        <v>4.4446645954923039</v>
      </c>
      <c r="Q112" s="75">
        <f t="shared" si="10"/>
        <v>67.814316250179175</v>
      </c>
      <c r="R112" s="74">
        <f>O112</f>
        <v>788.36279069767454</v>
      </c>
      <c r="S112" s="73">
        <f t="shared" si="11"/>
        <v>517275.57774220122</v>
      </c>
      <c r="T112" s="73">
        <f t="shared" si="12"/>
        <v>243455.73703147363</v>
      </c>
      <c r="U112" s="73">
        <f t="shared" si="13"/>
        <v>760731.31477367482</v>
      </c>
      <c r="V112" s="71" t="str">
        <f>VLOOKUP(B112,NUTS_Europa!$B$2:$F$41,5,FALSE)</f>
        <v>Andalucía</v>
      </c>
      <c r="W112" s="71" t="str">
        <f>VLOOKUP(C112,Puertos!$N$3:$O$27,2,FALSE)</f>
        <v>Algeciras</v>
      </c>
      <c r="X112" s="71" t="str">
        <f>VLOOKUP(D112,NUTS_Europa!$B$2:$F$41,5,FALSE)</f>
        <v>Pays de la Loire</v>
      </c>
      <c r="Y112" s="71" t="str">
        <f>VLOOKUP(E112,Puertos!$N$3:$O$27,2,FALSE)</f>
        <v>Saint Nazaire</v>
      </c>
      <c r="Z112" s="71">
        <f t="shared" si="14"/>
        <v>16.185683749820825</v>
      </c>
      <c r="AA112" s="71">
        <f t="shared" si="15"/>
        <v>2.8255965104241323</v>
      </c>
      <c r="AB112" s="71">
        <f>AA112+AA111</f>
        <v>5.5920445791979159</v>
      </c>
    </row>
    <row r="113" spans="2:28" s="71" customFormat="1" x14ac:dyDescent="0.25">
      <c r="B113" s="71" t="str">
        <f>VLOOKUP(G113,[1]NUTS_Europa!$A$2:$C$81,2,FALSE)</f>
        <v>FRG0</v>
      </c>
      <c r="C113" s="71">
        <f>VLOOKUP(G113,[1]NUTS_Europa!$A$2:$C$81,3,FALSE)</f>
        <v>282</v>
      </c>
      <c r="D113" s="71" t="str">
        <f>VLOOKUP(F113,[1]NUTS_Europa!$A$2:$C$81,2,FALSE)</f>
        <v>ES62</v>
      </c>
      <c r="E113" s="71">
        <f>VLOOKUP(F113,[1]NUTS_Europa!$A$2:$C$81,3,FALSE)</f>
        <v>1064</v>
      </c>
      <c r="F113" s="71">
        <v>18</v>
      </c>
      <c r="G113" s="71">
        <v>22</v>
      </c>
      <c r="H113" s="73">
        <v>495916.44017648249</v>
      </c>
      <c r="I113" s="73">
        <v>1209549.0732896365</v>
      </c>
      <c r="J113" s="73">
        <f t="shared" si="8"/>
        <v>93042.236406895114</v>
      </c>
      <c r="K113" s="74">
        <v>135416.16142478216</v>
      </c>
      <c r="L113" s="75">
        <v>58.739205607476642</v>
      </c>
      <c r="M113" s="75">
        <v>13.161929866727091</v>
      </c>
      <c r="N113" s="75">
        <v>4.7209922024532647</v>
      </c>
      <c r="O113" s="74">
        <v>788.36279069767454</v>
      </c>
      <c r="P113" s="71">
        <f t="shared" si="9"/>
        <v>4.7209922024532647</v>
      </c>
      <c r="Q113" s="75">
        <f t="shared" si="10"/>
        <v>76.622127676657001</v>
      </c>
      <c r="R113" s="74">
        <f>O113</f>
        <v>788.36279069767454</v>
      </c>
      <c r="S113" s="73">
        <f t="shared" si="11"/>
        <v>495916.44017648249</v>
      </c>
      <c r="T113" s="73">
        <f t="shared" si="12"/>
        <v>279126.70922068536</v>
      </c>
      <c r="U113" s="73">
        <f t="shared" si="13"/>
        <v>775043.14939716784</v>
      </c>
      <c r="V113" s="71" t="str">
        <f>VLOOKUP(B113,NUTS_Europa!$B$2:$F$41,5,FALSE)</f>
        <v>Pays de la Loire</v>
      </c>
      <c r="W113" s="71" t="str">
        <f>VLOOKUP(C113,Puertos!$N$3:$O$27,2,FALSE)</f>
        <v>Saint Nazaire</v>
      </c>
      <c r="X113" s="71" t="str">
        <f>VLOOKUP(D113,NUTS_Europa!$B$2:$F$41,5,FALSE)</f>
        <v>Región de Murcia</v>
      </c>
      <c r="Y113" s="71" t="str">
        <f>VLOOKUP(E113,Puertos!$N$3:$O$27,2,FALSE)</f>
        <v>Valencia</v>
      </c>
      <c r="Z113" s="71">
        <f t="shared" si="14"/>
        <v>7.3778723233429986</v>
      </c>
      <c r="AA113" s="71">
        <f t="shared" si="15"/>
        <v>3.1925886531940417</v>
      </c>
    </row>
    <row r="114" spans="2:28" s="71" customFormat="1" x14ac:dyDescent="0.25">
      <c r="B114" s="71" t="str">
        <f>VLOOKUP(F114,[1]NUTS_Europa!$A$2:$C$81,2,FALSE)</f>
        <v>ES62</v>
      </c>
      <c r="C114" s="71">
        <f>VLOOKUP(F114,[1]NUTS_Europa!$A$2:$C$81,3,FALSE)</f>
        <v>1064</v>
      </c>
      <c r="D114" s="71" t="str">
        <f>VLOOKUP(G114,[1]NUTS_Europa!$A$2:$C$81,2,FALSE)</f>
        <v>PT17</v>
      </c>
      <c r="E114" s="71">
        <f>VLOOKUP(G114,[1]NUTS_Europa!$A$2:$C$81,3,FALSE)</f>
        <v>294</v>
      </c>
      <c r="F114" s="71">
        <v>18</v>
      </c>
      <c r="G114" s="71">
        <v>39</v>
      </c>
      <c r="H114" s="73">
        <v>1312199.3525333672</v>
      </c>
      <c r="I114" s="73">
        <v>734318.78339447314</v>
      </c>
      <c r="J114" s="73">
        <f t="shared" si="8"/>
        <v>56486.060261113322</v>
      </c>
      <c r="K114" s="74">
        <v>191087.21980936834</v>
      </c>
      <c r="L114" s="75">
        <v>28.94065420560748</v>
      </c>
      <c r="M114" s="75">
        <v>7.7930947828478487</v>
      </c>
      <c r="N114" s="75">
        <v>16.700709371745553</v>
      </c>
      <c r="O114" s="74">
        <v>3296.1439892245817</v>
      </c>
      <c r="P114" s="71">
        <f t="shared" si="9"/>
        <v>7.9953180063636111</v>
      </c>
      <c r="Q114" s="75">
        <f t="shared" si="10"/>
        <v>44.729066994818936</v>
      </c>
      <c r="R114" s="71">
        <f>R111</f>
        <v>1578</v>
      </c>
      <c r="S114" s="73">
        <f t="shared" si="11"/>
        <v>628203.9210261486</v>
      </c>
      <c r="T114" s="73">
        <f t="shared" si="12"/>
        <v>169458.18078333995</v>
      </c>
      <c r="U114" s="73">
        <f t="shared" si="13"/>
        <v>797662.10180948861</v>
      </c>
      <c r="V114" s="71" t="str">
        <f>VLOOKUP(B114,NUTS_Europa!$B$2:$F$41,5,FALSE)</f>
        <v>Región de Murcia</v>
      </c>
      <c r="W114" s="71" t="str">
        <f>VLOOKUP(C114,Puertos!$N$3:$O$27,2,FALSE)</f>
        <v>Valencia</v>
      </c>
      <c r="X114" s="71" t="str">
        <f>VLOOKUP(D114,NUTS_Europa!$B$2:$F$41,5,FALSE)</f>
        <v>Área Metropolitana de Lisboa</v>
      </c>
      <c r="Y114" s="71" t="str">
        <f>VLOOKUP(E114,Puertos!$N$3:$O$27,2,FALSE)</f>
        <v>Lisboa</v>
      </c>
      <c r="Z114" s="71">
        <f t="shared" si="14"/>
        <v>39.270933005181064</v>
      </c>
      <c r="AA114" s="71">
        <f t="shared" si="15"/>
        <v>1.8637111247841223</v>
      </c>
      <c r="AB114" s="71">
        <f>AA114+AA113</f>
        <v>5.0562997779781638</v>
      </c>
    </row>
    <row r="115" spans="2:28" s="71" customFormat="1" x14ac:dyDescent="0.25">
      <c r="B115" s="71" t="str">
        <f>VLOOKUP(G115,[1]NUTS_Europa!$A$2:$C$81,2,FALSE)</f>
        <v>PT17</v>
      </c>
      <c r="C115" s="71">
        <f>VLOOKUP(G115,[1]NUTS_Europa!$A$2:$C$81,3,FALSE)</f>
        <v>294</v>
      </c>
      <c r="D115" s="71" t="str">
        <f>VLOOKUP(F115,[1]NUTS_Europa!$A$2:$C$81,2,FALSE)</f>
        <v>FRJ1</v>
      </c>
      <c r="E115" s="71">
        <f>VLOOKUP(F115,[1]NUTS_Europa!$A$2:$C$81,3,FALSE)</f>
        <v>1063</v>
      </c>
      <c r="F115" s="71">
        <v>26</v>
      </c>
      <c r="G115" s="71">
        <v>39</v>
      </c>
      <c r="H115" s="73">
        <v>1739625.6061240919</v>
      </c>
      <c r="I115" s="73">
        <v>4480401.3855481567</v>
      </c>
      <c r="J115" s="73">
        <f t="shared" si="8"/>
        <v>344646.26042678126</v>
      </c>
      <c r="K115" s="74">
        <v>137713.62258431225</v>
      </c>
      <c r="L115" s="75">
        <v>38.037383177570099</v>
      </c>
      <c r="M115" s="75">
        <v>5.041753109144441</v>
      </c>
      <c r="N115" s="75">
        <v>16.700709371745553</v>
      </c>
      <c r="O115" s="74">
        <v>3296.1439892245817</v>
      </c>
      <c r="P115" s="71">
        <f t="shared" si="9"/>
        <v>7.9953180063636111</v>
      </c>
      <c r="Q115" s="75">
        <f t="shared" si="10"/>
        <v>51.074454293078148</v>
      </c>
      <c r="R115" s="71">
        <f>R111</f>
        <v>1578</v>
      </c>
      <c r="S115" s="73">
        <f t="shared" si="11"/>
        <v>832830.48781786044</v>
      </c>
      <c r="T115" s="73">
        <f t="shared" si="12"/>
        <v>1033938.7812803438</v>
      </c>
      <c r="U115" s="73">
        <f t="shared" si="13"/>
        <v>1866769.2690982041</v>
      </c>
      <c r="V115" s="71" t="str">
        <f>VLOOKUP(B115,NUTS_Europa!$B$2:$F$41,5,FALSE)</f>
        <v>Área Metropolitana de Lisboa</v>
      </c>
      <c r="W115" s="71" t="str">
        <f>VLOOKUP(C115,Puertos!$N$3:$O$27,2,FALSE)</f>
        <v>Lisboa</v>
      </c>
      <c r="X115" s="71" t="str">
        <f>VLOOKUP(D115,NUTS_Europa!$B$2:$F$41,5,FALSE)</f>
        <v>Languedoc-Roussillon</v>
      </c>
      <c r="Y115" s="71" t="str">
        <f>VLOOKUP(E115,Puertos!$N$3:$O$27,2,FALSE)</f>
        <v>Barcelona</v>
      </c>
      <c r="Z115" s="71">
        <f t="shared" si="14"/>
        <v>32.925545706921852</v>
      </c>
      <c r="AA115" s="71">
        <f t="shared" si="15"/>
        <v>2.1281022622115895</v>
      </c>
    </row>
    <row r="116" spans="2:28" s="71" customFormat="1" x14ac:dyDescent="0.25">
      <c r="B116" s="71" t="str">
        <f>VLOOKUP(F116,[1]NUTS_Europa!$A$2:$C$81,2,FALSE)</f>
        <v>FRJ1</v>
      </c>
      <c r="C116" s="71">
        <f>VLOOKUP(F116,[1]NUTS_Europa!$A$2:$C$81,3,FALSE)</f>
        <v>1063</v>
      </c>
      <c r="D116" s="71" t="str">
        <f>VLOOKUP(G116,[1]NUTS_Europa!$A$2:$C$81,2,FALSE)</f>
        <v>FRJ2</v>
      </c>
      <c r="E116" s="71">
        <f>VLOOKUP(G116,[1]NUTS_Europa!$A$2:$C$81,3,FALSE)</f>
        <v>283</v>
      </c>
      <c r="F116" s="71">
        <v>26</v>
      </c>
      <c r="G116" s="71">
        <v>28</v>
      </c>
      <c r="H116" s="73">
        <v>2233444.5493986299</v>
      </c>
      <c r="I116" s="73">
        <v>4973204.4214150747</v>
      </c>
      <c r="J116" s="73">
        <f t="shared" si="8"/>
        <v>382554.18626269803</v>
      </c>
      <c r="K116" s="74">
        <v>142841.86171918266</v>
      </c>
      <c r="L116" s="75">
        <v>72.137242990654215</v>
      </c>
      <c r="M116" s="75">
        <v>6.8902472300777085</v>
      </c>
      <c r="N116" s="75">
        <v>11.524436152504073</v>
      </c>
      <c r="O116" s="74">
        <v>2188.5072142857148</v>
      </c>
      <c r="P116" s="71">
        <f t="shared" si="9"/>
        <v>8.3095729042807065</v>
      </c>
      <c r="Q116" s="75">
        <f t="shared" si="10"/>
        <v>87.337063125012634</v>
      </c>
      <c r="R116" s="71">
        <f>R115</f>
        <v>1578</v>
      </c>
      <c r="S116" s="73">
        <f t="shared" si="11"/>
        <v>1610401.5906117649</v>
      </c>
      <c r="T116" s="73">
        <f t="shared" si="12"/>
        <v>1147662.5587880942</v>
      </c>
      <c r="U116" s="73">
        <f t="shared" si="13"/>
        <v>2758064.1493998589</v>
      </c>
      <c r="V116" s="71" t="str">
        <f>VLOOKUP(B116,NUTS_Europa!$B$2:$F$41,5,FALSE)</f>
        <v>Languedoc-Roussillon</v>
      </c>
      <c r="W116" s="71" t="str">
        <f>VLOOKUP(C116,Puertos!$N$3:$O$27,2,FALSE)</f>
        <v>Barcelona</v>
      </c>
      <c r="X116" s="71" t="str">
        <f>VLOOKUP(D116,NUTS_Europa!$B$2:$F$41,5,FALSE)</f>
        <v>Midi-Pyrénées</v>
      </c>
      <c r="Y116" s="71" t="str">
        <f>VLOOKUP(E116,Puertos!$N$3:$O$27,2,FALSE)</f>
        <v>La Rochelle</v>
      </c>
      <c r="Z116" s="71">
        <f t="shared" si="14"/>
        <v>-3.3370631250126337</v>
      </c>
      <c r="AA116" s="71">
        <f t="shared" si="15"/>
        <v>3.6390442968755266</v>
      </c>
      <c r="AB116" s="71">
        <f>AA116+AA115</f>
        <v>5.7671465590871165</v>
      </c>
    </row>
    <row r="117" spans="2:28" s="71" customFormat="1" x14ac:dyDescent="0.25">
      <c r="B117" s="71" t="str">
        <f>VLOOKUP(G117,[1]NUTS_Europa!$A$2:$C$81,2,FALSE)</f>
        <v>FRJ2</v>
      </c>
      <c r="C117" s="71">
        <f>VLOOKUP(G117,[1]NUTS_Europa!$A$2:$C$81,3,FALSE)</f>
        <v>283</v>
      </c>
      <c r="D117" s="71" t="str">
        <f>VLOOKUP(F117,[1]NUTS_Europa!$A$2:$C$81,2,FALSE)</f>
        <v>FRF2</v>
      </c>
      <c r="E117" s="71">
        <f>VLOOKUP(F117,[1]NUTS_Europa!$A$2:$C$81,3,FALSE)</f>
        <v>269</v>
      </c>
      <c r="F117" s="71">
        <v>27</v>
      </c>
      <c r="G117" s="71">
        <v>28</v>
      </c>
      <c r="H117" s="71">
        <v>1817959.768223851</v>
      </c>
      <c r="I117" s="71">
        <v>709122.22059395153</v>
      </c>
      <c r="J117" s="73">
        <f t="shared" si="8"/>
        <v>54547.863122611656</v>
      </c>
      <c r="K117" s="71">
        <v>21.635514018691591</v>
      </c>
      <c r="L117" s="71">
        <v>11.668793105716773</v>
      </c>
      <c r="M117" s="71">
        <v>13.541382795478951</v>
      </c>
      <c r="N117" s="71">
        <v>2188.5072142857148</v>
      </c>
      <c r="U117" s="73">
        <f t="shared" si="13"/>
        <v>0</v>
      </c>
    </row>
    <row r="118" spans="2:28" s="71" customFormat="1" x14ac:dyDescent="0.25">
      <c r="B118" s="71" t="str">
        <f>VLOOKUP(F118,[1]NUTS_Europa!$A$2:$C$81,2,FALSE)</f>
        <v>FRF2</v>
      </c>
      <c r="C118" s="71">
        <f>VLOOKUP(F118,[1]NUTS_Europa!$A$2:$C$81,3,FALSE)</f>
        <v>269</v>
      </c>
      <c r="D118" s="71" t="str">
        <f>VLOOKUP(G118,[1]NUTS_Europa!$A$2:$C$81,2,FALSE)</f>
        <v>FRG0</v>
      </c>
      <c r="E118" s="71">
        <f>VLOOKUP(G118,[1]NUTS_Europa!$A$2:$C$81,3,FALSE)</f>
        <v>283</v>
      </c>
      <c r="F118" s="71">
        <v>27</v>
      </c>
      <c r="G118" s="71">
        <v>62</v>
      </c>
      <c r="H118" s="71">
        <v>1306474.9931442796</v>
      </c>
      <c r="I118" s="71">
        <v>709122.22059395153</v>
      </c>
      <c r="J118" s="73">
        <f t="shared" si="8"/>
        <v>54547.863122611656</v>
      </c>
      <c r="K118" s="71">
        <v>21.635514018691591</v>
      </c>
      <c r="L118" s="71">
        <v>11.668793105716773</v>
      </c>
      <c r="M118" s="71">
        <v>13.541382795478951</v>
      </c>
      <c r="N118" s="71">
        <v>2188.5072142857148</v>
      </c>
      <c r="U118" s="73">
        <f t="shared" si="13"/>
        <v>0</v>
      </c>
    </row>
    <row r="119" spans="2:28" s="71" customFormat="1" x14ac:dyDescent="0.25">
      <c r="B119" s="71" t="str">
        <f>VLOOKUP(G119,[1]NUTS_Europa!$A$2:$C$81,2,FALSE)</f>
        <v>FRG0</v>
      </c>
      <c r="C119" s="71">
        <f>VLOOKUP(G119,[1]NUTS_Europa!$A$2:$C$81,3,FALSE)</f>
        <v>283</v>
      </c>
      <c r="D119" s="71" t="str">
        <f>VLOOKUP(F119,[1]NUTS_Europa!$A$2:$C$81,2,FALSE)</f>
        <v>FRI2</v>
      </c>
      <c r="E119" s="71">
        <f>VLOOKUP(F119,[1]NUTS_Europa!$A$2:$C$81,3,FALSE)</f>
        <v>269</v>
      </c>
      <c r="F119" s="71">
        <v>29</v>
      </c>
      <c r="G119" s="71">
        <v>62</v>
      </c>
      <c r="H119" s="71">
        <v>1317969.0330337081</v>
      </c>
      <c r="I119" s="71">
        <v>709122.22059395153</v>
      </c>
      <c r="J119" s="73">
        <f t="shared" si="8"/>
        <v>54547.863122611656</v>
      </c>
      <c r="K119" s="71">
        <v>21.635514018691591</v>
      </c>
      <c r="L119" s="71">
        <v>11.668793105716773</v>
      </c>
      <c r="M119" s="71">
        <v>13.541382795478951</v>
      </c>
      <c r="N119" s="71">
        <v>2188.5072142857148</v>
      </c>
      <c r="U119" s="73">
        <f t="shared" si="13"/>
        <v>0</v>
      </c>
    </row>
    <row r="120" spans="2:28" s="71" customFormat="1" x14ac:dyDescent="0.25">
      <c r="B120" s="71" t="str">
        <f>VLOOKUP(F120,[1]NUTS_Europa!$A$2:$C$81,2,FALSE)</f>
        <v>FRI2</v>
      </c>
      <c r="C120" s="71">
        <f>VLOOKUP(F120,[1]NUTS_Europa!$A$2:$C$81,3,FALSE)</f>
        <v>269</v>
      </c>
      <c r="D120" s="71" t="str">
        <f>VLOOKUP(G120,[1]NUTS_Europa!$A$2:$C$81,2,FALSE)</f>
        <v>ES12</v>
      </c>
      <c r="E120" s="71">
        <f>VLOOKUP(G120,[1]NUTS_Europa!$A$2:$C$81,3,FALSE)</f>
        <v>163</v>
      </c>
      <c r="F120" s="71">
        <v>29</v>
      </c>
      <c r="G120" s="71">
        <v>52</v>
      </c>
      <c r="H120" s="71">
        <v>2043266.8084565343</v>
      </c>
      <c r="I120" s="71">
        <v>883639.42284709681</v>
      </c>
      <c r="J120" s="73">
        <f t="shared" si="8"/>
        <v>67972.263295930519</v>
      </c>
      <c r="K120" s="71">
        <v>28.410747663551405</v>
      </c>
      <c r="L120" s="71">
        <v>17.247254944279597</v>
      </c>
      <c r="M120" s="71">
        <v>20.651328699878288</v>
      </c>
      <c r="N120" s="71">
        <v>2988.6329159212883</v>
      </c>
      <c r="U120" s="73">
        <f t="shared" si="13"/>
        <v>0</v>
      </c>
    </row>
    <row r="121" spans="2:28" s="71" customFormat="1" x14ac:dyDescent="0.25">
      <c r="B121" s="71" t="str">
        <f>VLOOKUP(G121,[1]NUTS_Europa!$A$2:$C$81,2,FALSE)</f>
        <v>ES12</v>
      </c>
      <c r="C121" s="71">
        <f>VLOOKUP(G121,[1]NUTS_Europa!$A$2:$C$81,3,FALSE)</f>
        <v>163</v>
      </c>
      <c r="D121" s="71" t="str">
        <f>VLOOKUP(F121,[1]NUTS_Europa!$A$2:$C$81,2,FALSE)</f>
        <v>BE23</v>
      </c>
      <c r="E121" s="71">
        <f>VLOOKUP(F121,[1]NUTS_Europa!$A$2:$C$81,3,FALSE)</f>
        <v>220</v>
      </c>
      <c r="F121" s="71">
        <v>42</v>
      </c>
      <c r="G121" s="71">
        <v>52</v>
      </c>
      <c r="H121" s="71">
        <v>1504808.0291065609</v>
      </c>
      <c r="I121" s="71">
        <v>872057.87188087101</v>
      </c>
      <c r="J121" s="73">
        <f t="shared" si="8"/>
        <v>67081.374760067003</v>
      </c>
      <c r="K121" s="71">
        <v>34.112149532710283</v>
      </c>
      <c r="L121" s="71">
        <v>16.303848143195918</v>
      </c>
      <c r="M121" s="71">
        <v>18.828368009499005</v>
      </c>
      <c r="N121" s="71">
        <v>2988.6329159212883</v>
      </c>
      <c r="U121" s="73">
        <f t="shared" si="13"/>
        <v>0</v>
      </c>
    </row>
    <row r="122" spans="2:28" s="71" customFormat="1" x14ac:dyDescent="0.25">
      <c r="B122" s="76" t="str">
        <f>VLOOKUP(F122,[1]NUTS_Europa!$A$2:$C$81,2,FALSE)</f>
        <v>BE23</v>
      </c>
      <c r="C122" s="76">
        <f>VLOOKUP(F122,[1]NUTS_Europa!$A$2:$C$81,3,FALSE)</f>
        <v>220</v>
      </c>
      <c r="D122" s="76" t="str">
        <f>VLOOKUP(G122,[1]NUTS_Europa!$A$2:$C$81,2,FALSE)</f>
        <v>NL11</v>
      </c>
      <c r="E122" s="76">
        <f>VLOOKUP(G122,[1]NUTS_Europa!$A$2:$C$81,3,FALSE)</f>
        <v>218</v>
      </c>
      <c r="F122" s="76">
        <v>42</v>
      </c>
      <c r="G122" s="76">
        <v>70</v>
      </c>
      <c r="H122" s="76">
        <v>1882131.7337616603</v>
      </c>
      <c r="I122" s="76">
        <v>481322.96295278368</v>
      </c>
      <c r="J122" s="78">
        <f t="shared" si="8"/>
        <v>37024.843304060283</v>
      </c>
      <c r="K122" s="76">
        <v>5.8411214953271031</v>
      </c>
      <c r="L122" s="76">
        <v>9.7434481564846109</v>
      </c>
      <c r="M122" s="76">
        <v>26.700444976077176</v>
      </c>
      <c r="N122" s="76">
        <v>5283.3813751893604</v>
      </c>
      <c r="U122" s="73">
        <f t="shared" si="13"/>
        <v>0</v>
      </c>
    </row>
    <row r="123" spans="2:28" s="71" customFormat="1" x14ac:dyDescent="0.25">
      <c r="B123" s="76" t="str">
        <f>VLOOKUP(G123,[1]NUTS_Europa!$A$2:$C$81,2,FALSE)</f>
        <v>NL11</v>
      </c>
      <c r="C123" s="76">
        <f>VLOOKUP(G123,[1]NUTS_Europa!$A$2:$C$81,3,FALSE)</f>
        <v>218</v>
      </c>
      <c r="D123" s="76" t="str">
        <f>VLOOKUP(F123,[1]NUTS_Europa!$A$2:$C$81,2,FALSE)</f>
        <v>DE50</v>
      </c>
      <c r="E123" s="76">
        <f>VLOOKUP(F123,[1]NUTS_Europa!$A$2:$C$81,3,FALSE)</f>
        <v>1069</v>
      </c>
      <c r="F123" s="76">
        <v>44</v>
      </c>
      <c r="G123" s="76">
        <v>70</v>
      </c>
      <c r="H123" s="76">
        <v>2136106.9334305408</v>
      </c>
      <c r="I123" s="76">
        <v>593828.69511824683</v>
      </c>
      <c r="J123" s="78">
        <f t="shared" si="8"/>
        <v>45679.130393711297</v>
      </c>
      <c r="K123" s="76">
        <v>12.615420560747665</v>
      </c>
      <c r="L123" s="76">
        <v>7.4201993941030073</v>
      </c>
      <c r="M123" s="76">
        <v>25.053912624844571</v>
      </c>
      <c r="N123" s="76">
        <v>5283.3813751893604</v>
      </c>
      <c r="U123" s="73">
        <f t="shared" si="13"/>
        <v>0</v>
      </c>
    </row>
    <row r="124" spans="2:28" s="71" customFormat="1" x14ac:dyDescent="0.25">
      <c r="B124" s="76" t="str">
        <f>VLOOKUP(F124,[1]NUTS_Europa!$A$2:$C$81,2,FALSE)</f>
        <v>DE50</v>
      </c>
      <c r="C124" s="76">
        <f>VLOOKUP(F124,[1]NUTS_Europa!$A$2:$C$81,3,FALSE)</f>
        <v>1069</v>
      </c>
      <c r="D124" s="76" t="str">
        <f>VLOOKUP(G124,[1]NUTS_Europa!$A$2:$C$81,2,FALSE)</f>
        <v>FRJ2</v>
      </c>
      <c r="E124" s="76">
        <f>VLOOKUP(G124,[1]NUTS_Europa!$A$2:$C$81,3,FALSE)</f>
        <v>163</v>
      </c>
      <c r="F124" s="76">
        <v>44</v>
      </c>
      <c r="G124" s="76">
        <v>68</v>
      </c>
      <c r="H124" s="76">
        <v>2639781.8754229564</v>
      </c>
      <c r="I124" s="76">
        <v>1100451.899847985</v>
      </c>
      <c r="J124" s="78">
        <f t="shared" si="8"/>
        <v>84650.146142152691</v>
      </c>
      <c r="K124" s="76">
        <v>48.97429906542056</v>
      </c>
      <c r="L124" s="76">
        <v>13.980599380814315</v>
      </c>
      <c r="M124" s="76">
        <v>17.896979485261216</v>
      </c>
      <c r="N124" s="76">
        <v>2988.6329159212883</v>
      </c>
      <c r="U124" s="73">
        <f t="shared" si="13"/>
        <v>0</v>
      </c>
    </row>
    <row r="125" spans="2:28" s="71" customFormat="1" x14ac:dyDescent="0.25">
      <c r="B125" s="76" t="str">
        <f>VLOOKUP(G125,[1]NUTS_Europa!$A$2:$C$81,2,FALSE)</f>
        <v>FRJ2</v>
      </c>
      <c r="C125" s="76">
        <f>VLOOKUP(G125,[1]NUTS_Europa!$A$2:$C$81,3,FALSE)</f>
        <v>163</v>
      </c>
      <c r="D125" s="76" t="str">
        <f>VLOOKUP(F125,[1]NUTS_Europa!$A$2:$C$81,2,FALSE)</f>
        <v>FRD1</v>
      </c>
      <c r="E125" s="76">
        <f>VLOOKUP(F125,[1]NUTS_Europa!$A$2:$C$81,3,FALSE)</f>
        <v>269</v>
      </c>
      <c r="F125" s="76">
        <v>59</v>
      </c>
      <c r="G125" s="76">
        <v>68</v>
      </c>
      <c r="H125" s="76">
        <v>2722131.7866751389</v>
      </c>
      <c r="I125" s="76">
        <v>883639.42284709681</v>
      </c>
      <c r="J125" s="78">
        <f t="shared" si="8"/>
        <v>67972.263295930519</v>
      </c>
      <c r="K125" s="76">
        <v>28.410747663551405</v>
      </c>
      <c r="L125" s="76">
        <v>17.247254944279597</v>
      </c>
      <c r="M125" s="76">
        <v>20.651328699878288</v>
      </c>
      <c r="N125" s="76">
        <v>2988.6329159212883</v>
      </c>
      <c r="U125" s="73">
        <f t="shared" si="13"/>
        <v>0</v>
      </c>
    </row>
    <row r="126" spans="2:28" s="71" customFormat="1" x14ac:dyDescent="0.25">
      <c r="B126" s="76" t="str">
        <f>VLOOKUP(G126,[1]NUTS_Europa!$A$2:$C$81,2,FALSE)</f>
        <v>FRD1</v>
      </c>
      <c r="C126" s="76">
        <f>VLOOKUP(G126,[1]NUTS_Europa!$A$2:$C$81,3,FALSE)</f>
        <v>269</v>
      </c>
      <c r="D126" s="76" t="str">
        <f>VLOOKUP(F126,[1]NUTS_Europa!$A$2:$C$81,2,FALSE)</f>
        <v>BE25</v>
      </c>
      <c r="E126" s="76">
        <f>VLOOKUP(F126,[1]NUTS_Europa!$A$2:$C$81,3,FALSE)</f>
        <v>220</v>
      </c>
      <c r="F126" s="76">
        <v>43</v>
      </c>
      <c r="G126" s="76">
        <v>59</v>
      </c>
      <c r="H126" s="76">
        <v>3950648.3135760175</v>
      </c>
      <c r="I126" s="76">
        <v>540957.51756175118</v>
      </c>
      <c r="J126" s="78">
        <f t="shared" si="8"/>
        <v>41612.116735519325</v>
      </c>
      <c r="K126" s="76">
        <v>8.4574766355140198</v>
      </c>
      <c r="L126" s="76">
        <v>13.505876797967389</v>
      </c>
      <c r="M126" s="76">
        <v>96.877896804728721</v>
      </c>
      <c r="N126" s="76">
        <v>15377.459749552776</v>
      </c>
      <c r="U126" s="73">
        <f t="shared" si="13"/>
        <v>0</v>
      </c>
    </row>
    <row r="127" spans="2:28" s="71" customFormat="1" x14ac:dyDescent="0.25">
      <c r="B127" s="71" t="str">
        <f>VLOOKUP(F127,[1]NUTS_Europa!$A$2:$C$81,2,FALSE)</f>
        <v>BE25</v>
      </c>
      <c r="C127" s="71">
        <f>VLOOKUP(F127,[1]NUTS_Europa!$A$2:$C$81,3,FALSE)</f>
        <v>220</v>
      </c>
      <c r="D127" s="71" t="str">
        <f>VLOOKUP(G127,[1]NUTS_Europa!$A$2:$C$81,2,FALSE)</f>
        <v>PT18</v>
      </c>
      <c r="E127" s="71">
        <f>VLOOKUP(G127,[1]NUTS_Europa!$A$2:$C$81,3,FALSE)</f>
        <v>61</v>
      </c>
      <c r="F127" s="71">
        <v>43</v>
      </c>
      <c r="G127" s="71">
        <v>80</v>
      </c>
      <c r="H127" s="71">
        <v>12082111.223044278</v>
      </c>
      <c r="I127" s="71">
        <v>1236441.7837970729</v>
      </c>
      <c r="J127" s="73">
        <f t="shared" si="8"/>
        <v>95110.906445928689</v>
      </c>
      <c r="K127" s="71">
        <v>63.255607476635518</v>
      </c>
      <c r="L127" s="71">
        <v>12.535179430720477</v>
      </c>
      <c r="M127" s="71">
        <v>90.290483661299604</v>
      </c>
      <c r="N127" s="71">
        <v>17957.974070304699</v>
      </c>
      <c r="U127" s="73">
        <f t="shared" si="13"/>
        <v>0</v>
      </c>
    </row>
    <row r="128" spans="2:28" s="71" customFormat="1" x14ac:dyDescent="0.25">
      <c r="B128" s="71" t="str">
        <f>VLOOKUP(G128,[1]NUTS_Europa!$A$2:$C$81,2,FALSE)</f>
        <v>PT18</v>
      </c>
      <c r="C128" s="71">
        <f>VLOOKUP(G128,[1]NUTS_Europa!$A$2:$C$81,3,FALSE)</f>
        <v>61</v>
      </c>
      <c r="D128" s="71" t="str">
        <f>VLOOKUP(F128,[1]NUTS_Europa!$A$2:$C$81,2,FALSE)</f>
        <v>DE60</v>
      </c>
      <c r="E128" s="71">
        <f>VLOOKUP(F128,[1]NUTS_Europa!$A$2:$C$81,3,FALSE)</f>
        <v>1069</v>
      </c>
      <c r="F128" s="71">
        <v>5</v>
      </c>
      <c r="G128" s="71">
        <v>80</v>
      </c>
      <c r="H128" s="71">
        <v>11219844.940936025</v>
      </c>
      <c r="I128" s="71">
        <v>1467120.1134148764</v>
      </c>
      <c r="J128" s="73">
        <f t="shared" si="8"/>
        <v>112855.39333960587</v>
      </c>
      <c r="K128" s="71">
        <v>78.167289719626169</v>
      </c>
      <c r="L128" s="71">
        <v>10.211930668338875</v>
      </c>
      <c r="M128" s="71">
        <v>84.693994752093573</v>
      </c>
      <c r="N128" s="71">
        <v>17957.974070304699</v>
      </c>
      <c r="U128" s="73">
        <f t="shared" si="13"/>
        <v>0</v>
      </c>
    </row>
    <row r="129" spans="2:21" s="71" customFormat="1" x14ac:dyDescent="0.25">
      <c r="B129" s="71" t="str">
        <f>VLOOKUP(F129,[1]NUTS_Europa!$A$2:$C$81,2,FALSE)</f>
        <v>DE60</v>
      </c>
      <c r="C129" s="71">
        <f>VLOOKUP(F129,[1]NUTS_Europa!$A$2:$C$81,3,FALSE)</f>
        <v>1069</v>
      </c>
      <c r="D129" s="71" t="str">
        <f>VLOOKUP(G129,[1]NUTS_Europa!$A$2:$C$81,2,FALSE)</f>
        <v>NL32</v>
      </c>
      <c r="E129" s="71">
        <f>VLOOKUP(G129,[1]NUTS_Europa!$A$2:$C$81,3,FALSE)</f>
        <v>218</v>
      </c>
      <c r="F129" s="71">
        <v>5</v>
      </c>
      <c r="G129" s="71">
        <v>32</v>
      </c>
      <c r="H129" s="71">
        <v>320673.1640008369</v>
      </c>
      <c r="I129" s="71">
        <v>593828.69511824683</v>
      </c>
      <c r="J129" s="73">
        <f t="shared" si="8"/>
        <v>45679.130393711297</v>
      </c>
      <c r="K129" s="71">
        <v>12.615420560747665</v>
      </c>
      <c r="L129" s="71">
        <v>7.4201993941030073</v>
      </c>
      <c r="M129" s="71">
        <v>25.053912624844571</v>
      </c>
      <c r="N129" s="71">
        <v>5283.3813751893604</v>
      </c>
      <c r="U129" s="73">
        <f t="shared" si="13"/>
        <v>0</v>
      </c>
    </row>
    <row r="130" spans="2:21" s="71" customFormat="1" x14ac:dyDescent="0.25">
      <c r="B130" s="71" t="str">
        <f>VLOOKUP(G130,[1]NUTS_Europa!$A$2:$C$81,2,FALSE)</f>
        <v>NL32</v>
      </c>
      <c r="C130" s="71">
        <f>VLOOKUP(G130,[1]NUTS_Europa!$A$2:$C$81,3,FALSE)</f>
        <v>218</v>
      </c>
      <c r="D130" s="71" t="str">
        <f>VLOOKUP(F130,[1]NUTS_Europa!$A$2:$C$81,2,FALSE)</f>
        <v>DE93</v>
      </c>
      <c r="E130" s="71">
        <f>VLOOKUP(F130,[1]NUTS_Europa!$A$2:$C$81,3,FALSE)</f>
        <v>1069</v>
      </c>
      <c r="F130" s="71">
        <v>7</v>
      </c>
      <c r="G130" s="71">
        <v>32</v>
      </c>
      <c r="H130" s="71">
        <v>594687.81395297032</v>
      </c>
      <c r="I130" s="71">
        <v>593828.69511824683</v>
      </c>
      <c r="J130" s="73">
        <f t="shared" si="8"/>
        <v>45679.130393711297</v>
      </c>
      <c r="K130" s="71">
        <v>12.615420560747665</v>
      </c>
      <c r="L130" s="71">
        <v>7.4201993941030073</v>
      </c>
      <c r="M130" s="71">
        <v>25.053912624844571</v>
      </c>
      <c r="N130" s="71">
        <v>5283.3813751893604</v>
      </c>
      <c r="U130" s="73">
        <f t="shared" si="13"/>
        <v>0</v>
      </c>
    </row>
    <row r="131" spans="2:21" s="71" customFormat="1" x14ac:dyDescent="0.25">
      <c r="B131" s="71" t="str">
        <f>VLOOKUP(F131,[1]NUTS_Europa!$A$2:$C$81,2,FALSE)</f>
        <v>DE93</v>
      </c>
      <c r="C131" s="71">
        <f>VLOOKUP(F131,[1]NUTS_Europa!$A$2:$C$81,3,FALSE)</f>
        <v>1069</v>
      </c>
      <c r="D131" s="71" t="str">
        <f>VLOOKUP(G131,[1]NUTS_Europa!$A$2:$C$81,2,FALSE)</f>
        <v>NL12</v>
      </c>
      <c r="E131" s="71">
        <f>VLOOKUP(G131,[1]NUTS_Europa!$A$2:$C$81,3,FALSE)</f>
        <v>218</v>
      </c>
      <c r="F131" s="71">
        <v>7</v>
      </c>
      <c r="G131" s="71">
        <v>31</v>
      </c>
      <c r="H131" s="71">
        <v>1411182.1000128717</v>
      </c>
      <c r="I131" s="71">
        <v>593828.69511824683</v>
      </c>
      <c r="J131" s="73">
        <f t="shared" si="8"/>
        <v>45679.130393711297</v>
      </c>
      <c r="K131" s="71">
        <v>12.615420560747665</v>
      </c>
      <c r="L131" s="71">
        <v>7.4201993941030073</v>
      </c>
      <c r="M131" s="71">
        <v>25.053912624844571</v>
      </c>
      <c r="N131" s="71">
        <v>5283.3813751893604</v>
      </c>
      <c r="U131" s="73">
        <f t="shared" si="13"/>
        <v>0</v>
      </c>
    </row>
    <row r="132" spans="2:21" s="71" customFormat="1" x14ac:dyDescent="0.25">
      <c r="B132" s="71" t="str">
        <f>VLOOKUP(G132,[1]NUTS_Europa!$A$2:$C$81,2,FALSE)</f>
        <v>NL12</v>
      </c>
      <c r="C132" s="71">
        <f>VLOOKUP(G132,[1]NUTS_Europa!$A$2:$C$81,3,FALSE)</f>
        <v>218</v>
      </c>
      <c r="D132" s="71" t="str">
        <f>VLOOKUP(F132,[1]NUTS_Europa!$A$2:$C$81,2,FALSE)</f>
        <v>BE21</v>
      </c>
      <c r="E132" s="71">
        <f>VLOOKUP(F132,[1]NUTS_Europa!$A$2:$C$81,3,FALSE)</f>
        <v>253</v>
      </c>
      <c r="F132" s="71">
        <v>1</v>
      </c>
      <c r="G132" s="71">
        <v>31</v>
      </c>
      <c r="H132" s="71">
        <v>1292106.4301118022</v>
      </c>
      <c r="I132" s="71">
        <v>567811.85551850277</v>
      </c>
      <c r="J132" s="73">
        <f t="shared" si="8"/>
        <v>43677.835039884827</v>
      </c>
      <c r="K132" s="71">
        <v>8.364018691588786</v>
      </c>
      <c r="L132" s="71">
        <v>10.584960092785639</v>
      </c>
      <c r="M132" s="71">
        <v>29.92312130676439</v>
      </c>
      <c r="N132" s="71">
        <v>5283.3813751893604</v>
      </c>
      <c r="U132" s="73">
        <f t="shared" si="13"/>
        <v>0</v>
      </c>
    </row>
    <row r="133" spans="2:21" s="71" customFormat="1" x14ac:dyDescent="0.25">
      <c r="Q133" s="75"/>
    </row>
    <row r="134" spans="2:21" s="71" customFormat="1" x14ac:dyDescent="0.25"/>
    <row r="135" spans="2:21" s="71" customFormat="1" x14ac:dyDescent="0.25"/>
    <row r="136" spans="2:21" s="71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0E50-5247-4137-A404-4DB40FDF6D2F}">
  <dimension ref="A1:AB154"/>
  <sheetViews>
    <sheetView topLeftCell="A127" workbookViewId="0">
      <selection activeCell="A4" sqref="A4:XFD152"/>
    </sheetView>
  </sheetViews>
  <sheetFormatPr baseColWidth="10" defaultColWidth="9.140625" defaultRowHeight="15" x14ac:dyDescent="0.25"/>
  <cols>
    <col min="3" max="3" width="9.28515625" bestFit="1" customWidth="1"/>
    <col min="5" max="5" width="9.28515625" bestFit="1" customWidth="1"/>
    <col min="6" max="7" width="5.140625" bestFit="1" customWidth="1"/>
    <col min="8" max="9" width="14.85546875" bestFit="1" customWidth="1"/>
    <col min="10" max="10" width="12.28515625" bestFit="1" customWidth="1"/>
    <col min="11" max="12" width="11.85546875" bestFit="1" customWidth="1"/>
    <col min="13" max="13" width="13.85546875" bestFit="1" customWidth="1"/>
    <col min="14" max="14" width="11.85546875" bestFit="1" customWidth="1"/>
    <col min="15" max="15" width="9.28515625" bestFit="1" customWidth="1"/>
    <col min="16" max="16" width="10.7109375" bestFit="1" customWidth="1"/>
    <col min="17" max="18" width="9.28515625" bestFit="1" customWidth="1"/>
    <col min="19" max="21" width="13.85546875" bestFit="1" customWidth="1"/>
    <col min="26" max="28" width="9.28515625" bestFit="1" customWidth="1"/>
  </cols>
  <sheetData>
    <row r="1" spans="2:14" x14ac:dyDescent="0.25">
      <c r="H1" t="s">
        <v>142</v>
      </c>
    </row>
    <row r="3" spans="2:14" x14ac:dyDescent="0.25">
      <c r="B3" t="s">
        <v>134</v>
      </c>
      <c r="C3" t="s">
        <v>135</v>
      </c>
      <c r="D3" t="s">
        <v>131</v>
      </c>
      <c r="E3" t="s">
        <v>136</v>
      </c>
      <c r="F3" t="s">
        <v>39</v>
      </c>
      <c r="G3" t="s">
        <v>40</v>
      </c>
      <c r="H3" t="s">
        <v>137</v>
      </c>
      <c r="I3" t="s">
        <v>133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71" customFormat="1" x14ac:dyDescent="0.25">
      <c r="B4" s="71" t="str">
        <f>VLOOKUP(F4,[1]NUTS_Europa!$A$2:$C$81,2,FALSE)</f>
        <v>BE21</v>
      </c>
      <c r="C4" s="71">
        <f>VLOOKUP(F4,[1]NUTS_Europa!$A$2:$C$81,3,FALSE)</f>
        <v>253</v>
      </c>
      <c r="D4" s="71" t="str">
        <f>VLOOKUP(G4,[1]NUTS_Europa!$A$2:$C$81,2,FALSE)</f>
        <v>BE25</v>
      </c>
      <c r="E4" s="71">
        <f>VLOOKUP(G4,[1]NUTS_Europa!$A$2:$C$81,3,FALSE)</f>
        <v>235</v>
      </c>
      <c r="F4" s="71">
        <v>1</v>
      </c>
      <c r="G4" s="71">
        <v>3</v>
      </c>
      <c r="H4" s="72">
        <v>343988.90551265067</v>
      </c>
      <c r="I4" s="72">
        <v>445450.74197684036</v>
      </c>
      <c r="J4" s="71">
        <v>135416.16142478216</v>
      </c>
      <c r="K4" s="71">
        <v>6.4512820512820515</v>
      </c>
      <c r="L4" s="71">
        <v>12.078472569463385</v>
      </c>
      <c r="M4" s="71">
        <v>10.958172373944803</v>
      </c>
      <c r="N4" s="71">
        <v>1827.1881523429399</v>
      </c>
    </row>
    <row r="5" spans="2:14" s="71" customFormat="1" x14ac:dyDescent="0.25">
      <c r="B5" s="71" t="str">
        <f>VLOOKUP(F5,[1]NUTS_Europa!$A$2:$C$81,2,FALSE)</f>
        <v>BE21</v>
      </c>
      <c r="C5" s="71">
        <f>VLOOKUP(F5,[1]NUTS_Europa!$A$2:$C$81,3,FALSE)</f>
        <v>253</v>
      </c>
      <c r="D5" s="71" t="str">
        <f>VLOOKUP(G5,[1]NUTS_Europa!$A$2:$C$81,2,FALSE)</f>
        <v>NL32</v>
      </c>
      <c r="E5" s="71">
        <f>VLOOKUP(G5,[1]NUTS_Europa!$A$2:$C$81,3,FALSE)</f>
        <v>218</v>
      </c>
      <c r="F5" s="71">
        <v>1</v>
      </c>
      <c r="G5" s="71">
        <v>32</v>
      </c>
      <c r="H5" s="71">
        <v>504437.12247928901</v>
      </c>
      <c r="I5" s="71">
        <v>577125.76727799885</v>
      </c>
      <c r="J5" s="71">
        <v>198656.28734660565</v>
      </c>
      <c r="K5" s="71">
        <v>9.1789743589743598</v>
      </c>
      <c r="L5" s="71">
        <v>9.9682844076514563</v>
      </c>
      <c r="M5" s="71">
        <v>31.736643810204658</v>
      </c>
      <c r="N5" s="71">
        <v>5603.5863070190189</v>
      </c>
    </row>
    <row r="6" spans="2:14" s="71" customFormat="1" x14ac:dyDescent="0.25">
      <c r="B6" s="71" t="str">
        <f>VLOOKUP(F6,[1]NUTS_Europa!$A$2:$C$81,2,FALSE)</f>
        <v>BE23</v>
      </c>
      <c r="C6" s="71">
        <f>VLOOKUP(F6,[1]NUTS_Europa!$A$2:$C$81,3,FALSE)</f>
        <v>253</v>
      </c>
      <c r="D6" s="71" t="str">
        <f>VLOOKUP(G6,[1]NUTS_Europa!$A$2:$C$81,2,FALSE)</f>
        <v>BE25</v>
      </c>
      <c r="E6" s="71">
        <f>VLOOKUP(G6,[1]NUTS_Europa!$A$2:$C$81,3,FALSE)</f>
        <v>235</v>
      </c>
      <c r="F6" s="71">
        <v>2</v>
      </c>
      <c r="G6" s="71">
        <v>3</v>
      </c>
      <c r="H6" s="71">
        <v>425558.2390095442</v>
      </c>
      <c r="I6" s="71">
        <v>445450.74197684036</v>
      </c>
      <c r="J6" s="71">
        <v>135416.16142478216</v>
      </c>
      <c r="K6" s="71">
        <v>6.4512820512820515</v>
      </c>
      <c r="L6" s="71">
        <v>12.078472569463385</v>
      </c>
      <c r="M6" s="71">
        <v>10.958172373944803</v>
      </c>
      <c r="N6" s="71">
        <v>1827.1881523429399</v>
      </c>
    </row>
    <row r="7" spans="2:14" s="71" customFormat="1" x14ac:dyDescent="0.25">
      <c r="B7" s="71" t="str">
        <f>VLOOKUP(F7,[1]NUTS_Europa!$A$2:$C$81,2,FALSE)</f>
        <v>BE23</v>
      </c>
      <c r="C7" s="71">
        <f>VLOOKUP(F7,[1]NUTS_Europa!$A$2:$C$81,3,FALSE)</f>
        <v>253</v>
      </c>
      <c r="D7" s="71" t="str">
        <f>VLOOKUP(G7,[1]NUTS_Europa!$A$2:$C$81,2,FALSE)</f>
        <v>ES21</v>
      </c>
      <c r="E7" s="71">
        <f>VLOOKUP(G7,[1]NUTS_Europa!$A$2:$C$81,3,FALSE)</f>
        <v>163</v>
      </c>
      <c r="F7" s="71">
        <v>2</v>
      </c>
      <c r="G7" s="71">
        <v>14</v>
      </c>
      <c r="H7" s="71">
        <v>791548.06473690702</v>
      </c>
      <c r="I7" s="71">
        <v>974807.19935932453</v>
      </c>
      <c r="J7" s="71">
        <v>145277.79316174539</v>
      </c>
      <c r="K7" s="71">
        <v>39.790256410256411</v>
      </c>
      <c r="L7" s="71">
        <v>12.821653662814022</v>
      </c>
      <c r="M7" s="71">
        <v>21.983672486967205</v>
      </c>
      <c r="N7" s="71">
        <v>3181.447942754919</v>
      </c>
    </row>
    <row r="8" spans="2:14" s="71" customFormat="1" x14ac:dyDescent="0.25">
      <c r="B8" s="71" t="str">
        <f>VLOOKUP(F8,[1]NUTS_Europa!$A$2:$C$81,2,FALSE)</f>
        <v>DE50</v>
      </c>
      <c r="C8" s="71">
        <f>VLOOKUP(F8,[1]NUTS_Europa!$A$2:$C$81,3,FALSE)</f>
        <v>245</v>
      </c>
      <c r="D8" s="71" t="str">
        <f>VLOOKUP(G8,[1]NUTS_Europa!$A$2:$C$81,2,FALSE)</f>
        <v>ES12</v>
      </c>
      <c r="E8" s="71">
        <f>VLOOKUP(G8,[1]NUTS_Europa!$A$2:$C$81,3,FALSE)</f>
        <v>285</v>
      </c>
      <c r="F8" s="71">
        <v>4</v>
      </c>
      <c r="G8" s="71">
        <v>12</v>
      </c>
      <c r="H8" s="71">
        <v>55467.590571060922</v>
      </c>
      <c r="I8" s="71">
        <v>4876601.5780676613</v>
      </c>
      <c r="J8" s="71">
        <v>114346.85142443764</v>
      </c>
      <c r="K8" s="71">
        <v>51.586666666666666</v>
      </c>
      <c r="L8" s="71">
        <v>7.5456567027646031</v>
      </c>
      <c r="M8" s="71">
        <v>9.347503527921551E-2</v>
      </c>
      <c r="N8" s="71">
        <v>15.60948133635801</v>
      </c>
    </row>
    <row r="9" spans="2:14" s="71" customFormat="1" x14ac:dyDescent="0.25">
      <c r="B9" s="71" t="str">
        <f>VLOOKUP(F9,[1]NUTS_Europa!$A$2:$C$81,2,FALSE)</f>
        <v>DE50</v>
      </c>
      <c r="C9" s="71">
        <f>VLOOKUP(F9,[1]NUTS_Europa!$A$2:$C$81,3,FALSE)</f>
        <v>245</v>
      </c>
      <c r="D9" s="71" t="str">
        <f>VLOOKUP(G9,[1]NUTS_Europa!$A$2:$C$81,2,FALSE)</f>
        <v>FRD1</v>
      </c>
      <c r="E9" s="71">
        <f>VLOOKUP(G9,[1]NUTS_Europa!$A$2:$C$81,3,FALSE)</f>
        <v>268</v>
      </c>
      <c r="F9" s="71">
        <v>4</v>
      </c>
      <c r="G9" s="71">
        <v>19</v>
      </c>
      <c r="H9" s="71">
        <v>426563.49880144087</v>
      </c>
      <c r="I9" s="71">
        <v>4952392.9684852269</v>
      </c>
      <c r="J9" s="71">
        <v>163171.48832599766</v>
      </c>
      <c r="K9" s="71">
        <v>29.894358974358976</v>
      </c>
      <c r="L9" s="71">
        <v>8.1386187719593401</v>
      </c>
      <c r="M9" s="71">
        <v>0.74167709396731318</v>
      </c>
      <c r="N9" s="71">
        <v>107.3345259391771</v>
      </c>
    </row>
    <row r="10" spans="2:14" s="71" customFormat="1" x14ac:dyDescent="0.25">
      <c r="B10" s="71" t="str">
        <f>VLOOKUP(F10,[1]NUTS_Europa!$A$2:$C$81,2,FALSE)</f>
        <v>DE60</v>
      </c>
      <c r="C10" s="71">
        <f>VLOOKUP(F10,[1]NUTS_Europa!$A$2:$C$81,3,FALSE)</f>
        <v>1069</v>
      </c>
      <c r="D10" s="71" t="str">
        <f>VLOOKUP(G10,[1]NUTS_Europa!$A$2:$C$81,2,FALSE)</f>
        <v>NL12</v>
      </c>
      <c r="E10" s="71">
        <f>VLOOKUP(G10,[1]NUTS_Europa!$A$2:$C$81,3,FALSE)</f>
        <v>218</v>
      </c>
      <c r="F10" s="71">
        <v>5</v>
      </c>
      <c r="G10" s="71">
        <v>31</v>
      </c>
      <c r="H10" s="71">
        <v>1206086.6894583588</v>
      </c>
      <c r="I10" s="71">
        <v>614642.19701941637</v>
      </c>
      <c r="J10" s="71">
        <v>120437.35243536306</v>
      </c>
      <c r="K10" s="71">
        <v>13.844615384615386</v>
      </c>
      <c r="L10" s="71">
        <v>7.1823031627156571</v>
      </c>
      <c r="M10" s="71">
        <v>26.572331571804849</v>
      </c>
      <c r="N10" s="71">
        <v>5603.5863070190189</v>
      </c>
    </row>
    <row r="11" spans="2:14" s="71" customFormat="1" x14ac:dyDescent="0.25">
      <c r="B11" s="71" t="str">
        <f>VLOOKUP(F11,[1]NUTS_Europa!$A$2:$C$81,2,FALSE)</f>
        <v>DE60</v>
      </c>
      <c r="C11" s="71">
        <f>VLOOKUP(F11,[1]NUTS_Europa!$A$2:$C$81,3,FALSE)</f>
        <v>1069</v>
      </c>
      <c r="D11" s="71" t="str">
        <f>VLOOKUP(G11,[1]NUTS_Europa!$A$2:$C$81,2,FALSE)</f>
        <v>PT18</v>
      </c>
      <c r="E11" s="71">
        <f>VLOOKUP(G11,[1]NUTS_Europa!$A$2:$C$81,3,FALSE)</f>
        <v>61</v>
      </c>
      <c r="F11" s="71">
        <v>5</v>
      </c>
      <c r="G11" s="71">
        <v>80</v>
      </c>
      <c r="H11" s="71">
        <v>11943705.904867379</v>
      </c>
      <c r="I11" s="71">
        <v>1570826.3309450187</v>
      </c>
      <c r="J11" s="71">
        <v>118487.95435333898</v>
      </c>
      <c r="K11" s="71">
        <v>85.783589743589744</v>
      </c>
      <c r="L11" s="71">
        <v>8.4150153996746599</v>
      </c>
      <c r="M11" s="71">
        <v>90.158123445777008</v>
      </c>
      <c r="N11" s="71">
        <v>19116.553042582418</v>
      </c>
    </row>
    <row r="12" spans="2:14" s="71" customFormat="1" x14ac:dyDescent="0.25">
      <c r="B12" s="71" t="str">
        <f>VLOOKUP(F12,[1]NUTS_Europa!$A$2:$C$81,2,FALSE)</f>
        <v>DE80</v>
      </c>
      <c r="C12" s="71">
        <f>VLOOKUP(F12,[1]NUTS_Europa!$A$2:$C$81,3,FALSE)</f>
        <v>1069</v>
      </c>
      <c r="D12" s="71" t="str">
        <f>VLOOKUP(G12,[1]NUTS_Europa!$A$2:$C$81,2,FALSE)</f>
        <v>ES11</v>
      </c>
      <c r="E12" s="71">
        <f>VLOOKUP(G12,[1]NUTS_Europa!$A$2:$C$81,3,FALSE)</f>
        <v>288</v>
      </c>
      <c r="F12" s="71">
        <v>6</v>
      </c>
      <c r="G12" s="71">
        <v>11</v>
      </c>
      <c r="H12" s="71">
        <v>533376.17523728381</v>
      </c>
      <c r="I12" s="71">
        <v>1263604.1225135101</v>
      </c>
      <c r="J12" s="71">
        <v>142841.86171918266</v>
      </c>
      <c r="K12" s="71">
        <v>59.42307692307692</v>
      </c>
      <c r="L12" s="71">
        <v>9.8036189648900596</v>
      </c>
      <c r="M12" s="71">
        <v>5.0185929442925525</v>
      </c>
      <c r="N12" s="71">
        <v>990.49714592846829</v>
      </c>
    </row>
    <row r="13" spans="2:14" s="71" customFormat="1" x14ac:dyDescent="0.25">
      <c r="B13" s="71" t="str">
        <f>VLOOKUP(F13,[1]NUTS_Europa!$A$2:$C$81,2,FALSE)</f>
        <v>DE80</v>
      </c>
      <c r="C13" s="71">
        <f>VLOOKUP(F13,[1]NUTS_Europa!$A$2:$C$81,3,FALSE)</f>
        <v>1069</v>
      </c>
      <c r="D13" s="71" t="str">
        <f>VLOOKUP(G13,[1]NUTS_Europa!$A$2:$C$81,2,FALSE)</f>
        <v>ES13</v>
      </c>
      <c r="E13" s="71">
        <f>VLOOKUP(G13,[1]NUTS_Europa!$A$2:$C$81,3,FALSE)</f>
        <v>163</v>
      </c>
      <c r="F13" s="71">
        <v>6</v>
      </c>
      <c r="G13" s="71">
        <v>13</v>
      </c>
      <c r="H13" s="71">
        <v>1698944.2379240622</v>
      </c>
      <c r="I13" s="71">
        <v>1147710.6165584009</v>
      </c>
      <c r="J13" s="71">
        <v>135416.16142478216</v>
      </c>
      <c r="K13" s="71">
        <v>53.746153846153845</v>
      </c>
      <c r="L13" s="71">
        <v>10.035672417878224</v>
      </c>
      <c r="M13" s="71">
        <v>19.051623323019999</v>
      </c>
      <c r="N13" s="71">
        <v>3181.447942754919</v>
      </c>
    </row>
    <row r="14" spans="2:14" s="71" customFormat="1" x14ac:dyDescent="0.25">
      <c r="B14" s="71" t="str">
        <f>VLOOKUP(F14,[1]NUTS_Europa!$A$2:$C$81,2,FALSE)</f>
        <v>DE93</v>
      </c>
      <c r="C14" s="71">
        <f>VLOOKUP(F14,[1]NUTS_Europa!$A$2:$C$81,3,FALSE)</f>
        <v>1069</v>
      </c>
      <c r="D14" s="71" t="str">
        <f>VLOOKUP(G14,[1]NUTS_Europa!$A$2:$C$81,2,FALSE)</f>
        <v>NL12</v>
      </c>
      <c r="E14" s="71">
        <f>VLOOKUP(G14,[1]NUTS_Europa!$A$2:$C$81,3,FALSE)</f>
        <v>218</v>
      </c>
      <c r="F14" s="71">
        <v>7</v>
      </c>
      <c r="G14" s="71">
        <v>31</v>
      </c>
      <c r="H14" s="71">
        <v>1496708.2878924396</v>
      </c>
      <c r="I14" s="71">
        <v>614642.19701941637</v>
      </c>
      <c r="J14" s="71">
        <v>163171.48832599766</v>
      </c>
      <c r="K14" s="71">
        <v>13.844615384615386</v>
      </c>
      <c r="L14" s="71">
        <v>7.1823031627156571</v>
      </c>
      <c r="M14" s="71">
        <v>26.572331571804849</v>
      </c>
      <c r="N14" s="71">
        <v>5603.5863070190189</v>
      </c>
    </row>
    <row r="15" spans="2:14" s="71" customFormat="1" x14ac:dyDescent="0.25">
      <c r="B15" s="71" t="str">
        <f>VLOOKUP(F15,[1]NUTS_Europa!$A$2:$C$81,2,FALSE)</f>
        <v>DE93</v>
      </c>
      <c r="C15" s="71">
        <f>VLOOKUP(F15,[1]NUTS_Europa!$A$2:$C$81,3,FALSE)</f>
        <v>1069</v>
      </c>
      <c r="D15" s="71" t="str">
        <f>VLOOKUP(G15,[1]NUTS_Europa!$A$2:$C$81,2,FALSE)</f>
        <v>NL32</v>
      </c>
      <c r="E15" s="71">
        <f>VLOOKUP(G15,[1]NUTS_Europa!$A$2:$C$81,3,FALSE)</f>
        <v>218</v>
      </c>
      <c r="F15" s="71">
        <v>7</v>
      </c>
      <c r="G15" s="71">
        <v>32</v>
      </c>
      <c r="H15" s="71">
        <v>630729.49964708975</v>
      </c>
      <c r="I15" s="71">
        <v>614642.19701941637</v>
      </c>
      <c r="J15" s="71">
        <v>199058.85825050285</v>
      </c>
      <c r="K15" s="71">
        <v>13.844615384615386</v>
      </c>
      <c r="L15" s="71">
        <v>7.1823031627156571</v>
      </c>
      <c r="M15" s="71">
        <v>26.572331571804849</v>
      </c>
      <c r="N15" s="71">
        <v>5603.5863070190189</v>
      </c>
    </row>
    <row r="16" spans="2:14" s="71" customFormat="1" x14ac:dyDescent="0.25">
      <c r="B16" s="71" t="str">
        <f>VLOOKUP(F16,[1]NUTS_Europa!$A$2:$C$81,2,FALSE)</f>
        <v>DE94</v>
      </c>
      <c r="C16" s="71">
        <f>VLOOKUP(F16,[1]NUTS_Europa!$A$2:$C$81,3,FALSE)</f>
        <v>245</v>
      </c>
      <c r="D16" s="71" t="str">
        <f>VLOOKUP(G16,[1]NUTS_Europa!$A$2:$C$81,2,FALSE)</f>
        <v>ES12</v>
      </c>
      <c r="E16" s="71">
        <f>VLOOKUP(G16,[1]NUTS_Europa!$A$2:$C$81,3,FALSE)</f>
        <v>285</v>
      </c>
      <c r="F16" s="71">
        <v>8</v>
      </c>
      <c r="G16" s="71">
        <v>12</v>
      </c>
      <c r="H16" s="71">
        <v>55750.425007186932</v>
      </c>
      <c r="I16" s="71">
        <v>4876601.5780676613</v>
      </c>
      <c r="J16" s="71">
        <v>117061.71481038857</v>
      </c>
      <c r="K16" s="71">
        <v>51.586666666666666</v>
      </c>
      <c r="L16" s="71">
        <v>7.5456567027646031</v>
      </c>
      <c r="M16" s="71">
        <v>9.347503527921551E-2</v>
      </c>
      <c r="N16" s="71">
        <v>15.60948133635801</v>
      </c>
    </row>
    <row r="17" spans="2:14" s="71" customFormat="1" x14ac:dyDescent="0.25">
      <c r="B17" s="71" t="str">
        <f>VLOOKUP(F17,[1]NUTS_Europa!$A$2:$C$81,2,FALSE)</f>
        <v>DE94</v>
      </c>
      <c r="C17" s="71">
        <f>VLOOKUP(F17,[1]NUTS_Europa!$A$2:$C$81,3,FALSE)</f>
        <v>245</v>
      </c>
      <c r="D17" s="71" t="str">
        <f>VLOOKUP(G17,[1]NUTS_Europa!$A$2:$C$81,2,FALSE)</f>
        <v>FRD1</v>
      </c>
      <c r="E17" s="71">
        <f>VLOOKUP(G17,[1]NUTS_Europa!$A$2:$C$81,3,FALSE)</f>
        <v>268</v>
      </c>
      <c r="F17" s="71">
        <v>8</v>
      </c>
      <c r="G17" s="71">
        <v>19</v>
      </c>
      <c r="H17" s="71">
        <v>428508.33601074317</v>
      </c>
      <c r="I17" s="71">
        <v>4952392.9684852269</v>
      </c>
      <c r="J17" s="71">
        <v>113696.3812050019</v>
      </c>
      <c r="K17" s="71">
        <v>29.894358974358976</v>
      </c>
      <c r="L17" s="71">
        <v>8.1386187719593401</v>
      </c>
      <c r="M17" s="71">
        <v>0.74167709396731318</v>
      </c>
      <c r="N17" s="71">
        <v>107.3345259391771</v>
      </c>
    </row>
    <row r="18" spans="2:14" s="71" customFormat="1" x14ac:dyDescent="0.25">
      <c r="B18" s="71" t="str">
        <f>VLOOKUP(F18,[1]NUTS_Europa!$A$2:$C$81,2,FALSE)</f>
        <v>DEA1</v>
      </c>
      <c r="C18" s="71">
        <f>VLOOKUP(F18,[1]NUTS_Europa!$A$2:$C$81,3,FALSE)</f>
        <v>253</v>
      </c>
      <c r="D18" s="71" t="str">
        <f>VLOOKUP(G18,[1]NUTS_Europa!$A$2:$C$81,2,FALSE)</f>
        <v>ES11</v>
      </c>
      <c r="E18" s="71">
        <f>VLOOKUP(G18,[1]NUTS_Europa!$A$2:$C$81,3,FALSE)</f>
        <v>288</v>
      </c>
      <c r="F18" s="71">
        <v>9</v>
      </c>
      <c r="G18" s="71">
        <v>11</v>
      </c>
      <c r="H18" s="71">
        <v>555392.4945041457</v>
      </c>
      <c r="I18" s="71">
        <v>1099178.6336241046</v>
      </c>
      <c r="J18" s="71">
        <v>142392.8717171422</v>
      </c>
      <c r="K18" s="71">
        <v>45.494871794871791</v>
      </c>
      <c r="L18" s="71">
        <v>12.589600209825861</v>
      </c>
      <c r="M18" s="71">
        <v>5.9314434390571567</v>
      </c>
      <c r="N18" s="71">
        <v>990.49714592846829</v>
      </c>
    </row>
    <row r="19" spans="2:14" s="71" customFormat="1" x14ac:dyDescent="0.25">
      <c r="B19" s="71" t="str">
        <f>VLOOKUP(F19,[1]NUTS_Europa!$A$2:$C$81,2,FALSE)</f>
        <v>DEA1</v>
      </c>
      <c r="C19" s="71">
        <f>VLOOKUP(F19,[1]NUTS_Europa!$A$2:$C$81,3,FALSE)</f>
        <v>253</v>
      </c>
      <c r="D19" s="71" t="str">
        <f>VLOOKUP(G19,[1]NUTS_Europa!$A$2:$C$81,2,FALSE)</f>
        <v>FRI3</v>
      </c>
      <c r="E19" s="71">
        <f>VLOOKUP(G19,[1]NUTS_Europa!$A$2:$C$81,3,FALSE)</f>
        <v>283</v>
      </c>
      <c r="F19" s="71">
        <v>9</v>
      </c>
      <c r="G19" s="71">
        <v>25</v>
      </c>
      <c r="H19" s="71">
        <v>1099174.928106521</v>
      </c>
      <c r="I19" s="71">
        <v>894661.11665173457</v>
      </c>
      <c r="J19" s="71">
        <v>127001.21695280854</v>
      </c>
      <c r="K19" s="71">
        <v>35.415384615384617</v>
      </c>
      <c r="L19" s="71">
        <v>14.587409297399544</v>
      </c>
      <c r="M19" s="71">
        <v>14.508624423727444</v>
      </c>
      <c r="N19" s="71">
        <v>2344.8291581632657</v>
      </c>
    </row>
    <row r="20" spans="2:14" s="71" customFormat="1" x14ac:dyDescent="0.25">
      <c r="B20" s="71" t="str">
        <f>VLOOKUP(F20,[1]NUTS_Europa!$A$2:$C$81,2,FALSE)</f>
        <v>DEF0</v>
      </c>
      <c r="C20" s="71">
        <f>VLOOKUP(F20,[1]NUTS_Europa!$A$2:$C$81,3,FALSE)</f>
        <v>1069</v>
      </c>
      <c r="D20" s="71" t="str">
        <f>VLOOKUP(G20,[1]NUTS_Europa!$A$2:$C$81,2,FALSE)</f>
        <v>ES13</v>
      </c>
      <c r="E20" s="71">
        <f>VLOOKUP(G20,[1]NUTS_Europa!$A$2:$C$81,3,FALSE)</f>
        <v>163</v>
      </c>
      <c r="F20" s="71">
        <v>10</v>
      </c>
      <c r="G20" s="71">
        <v>13</v>
      </c>
      <c r="H20" s="71">
        <v>1113712.7529719691</v>
      </c>
      <c r="I20" s="71">
        <v>1147710.6165584009</v>
      </c>
      <c r="J20" s="71">
        <v>163171.48832599766</v>
      </c>
      <c r="K20" s="71">
        <v>53.746153846153845</v>
      </c>
      <c r="L20" s="71">
        <v>10.035672417878224</v>
      </c>
      <c r="M20" s="71">
        <v>19.051623323019999</v>
      </c>
      <c r="N20" s="71">
        <v>3181.447942754919</v>
      </c>
    </row>
    <row r="21" spans="2:14" s="71" customFormat="1" x14ac:dyDescent="0.25">
      <c r="B21" s="71" t="str">
        <f>VLOOKUP(F21,[1]NUTS_Europa!$A$2:$C$81,2,FALSE)</f>
        <v>DEF0</v>
      </c>
      <c r="C21" s="71">
        <f>VLOOKUP(F21,[1]NUTS_Europa!$A$2:$C$81,3,FALSE)</f>
        <v>1069</v>
      </c>
      <c r="D21" s="71" t="str">
        <f>VLOOKUP(G21,[1]NUTS_Europa!$A$2:$C$81,2,FALSE)</f>
        <v>ES21</v>
      </c>
      <c r="E21" s="71">
        <f>VLOOKUP(G21,[1]NUTS_Europa!$A$2:$C$81,3,FALSE)</f>
        <v>163</v>
      </c>
      <c r="F21" s="71">
        <v>10</v>
      </c>
      <c r="G21" s="71">
        <v>14</v>
      </c>
      <c r="H21" s="71">
        <v>926572.34950406221</v>
      </c>
      <c r="I21" s="71">
        <v>1147710.6165584009</v>
      </c>
      <c r="J21" s="71">
        <v>199058.85825050285</v>
      </c>
      <c r="K21" s="71">
        <v>53.746153846153845</v>
      </c>
      <c r="L21" s="71">
        <v>10.035672417878224</v>
      </c>
      <c r="M21" s="71">
        <v>19.051623323019999</v>
      </c>
      <c r="N21" s="71">
        <v>3181.447942754919</v>
      </c>
    </row>
    <row r="22" spans="2:14" s="71" customFormat="1" x14ac:dyDescent="0.25">
      <c r="B22" s="71" t="str">
        <f>VLOOKUP(F22,[1]NUTS_Europa!$A$2:$C$81,2,FALSE)</f>
        <v>ES51</v>
      </c>
      <c r="C22" s="71">
        <f>VLOOKUP(F22,[1]NUTS_Europa!$A$2:$C$81,3,FALSE)</f>
        <v>1063</v>
      </c>
      <c r="D22" s="71" t="str">
        <f>VLOOKUP(G22,[1]NUTS_Europa!$A$2:$C$81,2,FALSE)</f>
        <v>ES52</v>
      </c>
      <c r="E22" s="71">
        <f>VLOOKUP(G22,[1]NUTS_Europa!$A$2:$C$81,3,FALSE)</f>
        <v>1064</v>
      </c>
      <c r="F22" s="71">
        <v>15</v>
      </c>
      <c r="G22" s="71">
        <v>16</v>
      </c>
      <c r="H22" s="71">
        <v>3038875.5776029634</v>
      </c>
      <c r="I22" s="71">
        <v>4096077.2625599001</v>
      </c>
      <c r="J22" s="71">
        <v>135416.16142478216</v>
      </c>
      <c r="K22" s="71">
        <v>8.3076923076923084</v>
      </c>
      <c r="L22" s="71">
        <v>10.313667222599831</v>
      </c>
      <c r="M22" s="71">
        <v>59.581222682636778</v>
      </c>
      <c r="N22" s="71">
        <v>11759.278282410953</v>
      </c>
    </row>
    <row r="23" spans="2:14" s="71" customFormat="1" x14ac:dyDescent="0.25">
      <c r="B23" s="71" t="str">
        <f>VLOOKUP(F23,[1]NUTS_Europa!$A$2:$C$81,2,FALSE)</f>
        <v>ES51</v>
      </c>
      <c r="C23" s="71">
        <f>VLOOKUP(F23,[1]NUTS_Europa!$A$2:$C$81,3,FALSE)</f>
        <v>1063</v>
      </c>
      <c r="D23" s="71" t="str">
        <f>VLOOKUP(G23,[1]NUTS_Europa!$A$2:$C$81,2,FALSE)</f>
        <v>PT18</v>
      </c>
      <c r="E23" s="71">
        <f>VLOOKUP(G23,[1]NUTS_Europa!$A$2:$C$81,3,FALSE)</f>
        <v>1065</v>
      </c>
      <c r="F23" s="71">
        <v>15</v>
      </c>
      <c r="G23" s="71">
        <v>40</v>
      </c>
      <c r="H23" s="71">
        <v>2770620.2596714236</v>
      </c>
      <c r="I23" s="71">
        <v>4588043.9448972018</v>
      </c>
      <c r="J23" s="71">
        <v>192445.71807502842</v>
      </c>
      <c r="K23" s="71">
        <v>40.974358974358971</v>
      </c>
      <c r="L23" s="71">
        <v>9.154596012732787</v>
      </c>
      <c r="M23" s="71">
        <v>39.478141523658536</v>
      </c>
      <c r="N23" s="71">
        <v>7791.6234569719818</v>
      </c>
    </row>
    <row r="24" spans="2:14" s="71" customFormat="1" x14ac:dyDescent="0.25">
      <c r="B24" s="71" t="str">
        <f>VLOOKUP(F24,[1]NUTS_Europa!$A$2:$C$81,2,FALSE)</f>
        <v>ES52</v>
      </c>
      <c r="C24" s="71">
        <f>VLOOKUP(F24,[1]NUTS_Europa!$A$2:$C$81,3,FALSE)</f>
        <v>1064</v>
      </c>
      <c r="D24" s="71" t="str">
        <f>VLOOKUP(G24,[1]NUTS_Europa!$A$2:$C$81,2,FALSE)</f>
        <v>PT15</v>
      </c>
      <c r="E24" s="71">
        <f>VLOOKUP(G24,[1]NUTS_Europa!$A$2:$C$81,3,FALSE)</f>
        <v>1065</v>
      </c>
      <c r="F24" s="71">
        <v>16</v>
      </c>
      <c r="G24" s="71">
        <v>37</v>
      </c>
      <c r="H24" s="71">
        <v>2918325.8285786086</v>
      </c>
      <c r="I24" s="71">
        <v>773983.34026542306</v>
      </c>
      <c r="J24" s="71">
        <v>141512.315270936</v>
      </c>
      <c r="K24" s="71">
        <v>29.545128205128204</v>
      </c>
      <c r="L24" s="71">
        <v>8.3952838868426571</v>
      </c>
      <c r="M24" s="71">
        <v>39.478141523658536</v>
      </c>
      <c r="N24" s="71">
        <v>7791.6234569719818</v>
      </c>
    </row>
    <row r="25" spans="2:14" s="71" customFormat="1" x14ac:dyDescent="0.25">
      <c r="B25" s="71" t="str">
        <f>VLOOKUP(F25,[1]NUTS_Europa!$A$2:$C$81,2,FALSE)</f>
        <v>ES61</v>
      </c>
      <c r="C25" s="71">
        <f>VLOOKUP(F25,[1]NUTS_Europa!$A$2:$C$81,3,FALSE)</f>
        <v>61</v>
      </c>
      <c r="D25" s="71" t="str">
        <f>VLOOKUP(G25,[1]NUTS_Europa!$A$2:$C$81,2,FALSE)</f>
        <v>FRG0</v>
      </c>
      <c r="E25" s="71">
        <f>VLOOKUP(G25,[1]NUTS_Europa!$A$2:$C$81,3,FALSE)</f>
        <v>282</v>
      </c>
      <c r="F25" s="71">
        <v>17</v>
      </c>
      <c r="G25" s="71">
        <v>22</v>
      </c>
      <c r="H25" s="71">
        <v>554223.8332952155</v>
      </c>
      <c r="I25" s="71">
        <v>1069096.3565623946</v>
      </c>
      <c r="J25" s="71">
        <v>115262.59218235347</v>
      </c>
      <c r="K25" s="71">
        <v>53.940307692307691</v>
      </c>
      <c r="L25" s="71">
        <v>6.8404520867054774</v>
      </c>
      <c r="M25" s="71">
        <v>4.7621406380274678</v>
      </c>
      <c r="N25" s="71">
        <v>844.67441860465112</v>
      </c>
    </row>
    <row r="26" spans="2:14" s="71" customFormat="1" x14ac:dyDescent="0.25">
      <c r="B26" s="71" t="str">
        <f>VLOOKUP(F26,[1]NUTS_Europa!$A$2:$C$81,2,FALSE)</f>
        <v>ES61</v>
      </c>
      <c r="C26" s="71">
        <f>VLOOKUP(F26,[1]NUTS_Europa!$A$2:$C$81,3,FALSE)</f>
        <v>61</v>
      </c>
      <c r="D26" s="71" t="str">
        <f>VLOOKUP(G26,[1]NUTS_Europa!$A$2:$C$81,2,FALSE)</f>
        <v>FRH0</v>
      </c>
      <c r="E26" s="71">
        <f>VLOOKUP(G26,[1]NUTS_Europa!$A$2:$C$81,3,FALSE)</f>
        <v>283</v>
      </c>
      <c r="F26" s="71">
        <v>17</v>
      </c>
      <c r="G26" s="71">
        <v>23</v>
      </c>
      <c r="H26" s="71">
        <v>1733004.9615427819</v>
      </c>
      <c r="I26" s="71">
        <v>1064767.6076030766</v>
      </c>
      <c r="J26" s="71">
        <v>191087.21980936834</v>
      </c>
      <c r="K26" s="71">
        <v>52.611282051282053</v>
      </c>
      <c r="L26" s="71">
        <v>10.653467475139895</v>
      </c>
      <c r="M26" s="71">
        <v>11.525728362717443</v>
      </c>
      <c r="N26" s="71">
        <v>2344.8291581632657</v>
      </c>
    </row>
    <row r="27" spans="2:14" s="71" customFormat="1" x14ac:dyDescent="0.25">
      <c r="B27" s="71" t="str">
        <f>VLOOKUP(F27,[1]NUTS_Europa!$A$2:$C$81,2,FALSE)</f>
        <v>ES62</v>
      </c>
      <c r="C27" s="71">
        <f>VLOOKUP(F27,[1]NUTS_Europa!$A$2:$C$81,3,FALSE)</f>
        <v>1064</v>
      </c>
      <c r="D27" s="71" t="str">
        <f>VLOOKUP(G27,[1]NUTS_Europa!$A$2:$C$81,2,FALSE)</f>
        <v>FRG0</v>
      </c>
      <c r="E27" s="71">
        <f>VLOOKUP(G27,[1]NUTS_Europa!$A$2:$C$81,3,FALSE)</f>
        <v>282</v>
      </c>
      <c r="F27" s="71">
        <v>18</v>
      </c>
      <c r="G27" s="71">
        <v>22</v>
      </c>
      <c r="H27" s="71">
        <v>531339.04304623115</v>
      </c>
      <c r="I27" s="71">
        <v>1254204.1372226444</v>
      </c>
      <c r="J27" s="71">
        <v>135416.16142478216</v>
      </c>
      <c r="K27" s="71">
        <v>64.462512820512828</v>
      </c>
      <c r="L27" s="71">
        <v>7.9841022238849231</v>
      </c>
      <c r="M27" s="71">
        <v>5.0582059311999252</v>
      </c>
      <c r="N27" s="71">
        <v>844.67441860465112</v>
      </c>
    </row>
    <row r="28" spans="2:14" s="71" customFormat="1" x14ac:dyDescent="0.25">
      <c r="B28" s="71" t="str">
        <f>VLOOKUP(F28,[1]NUTS_Europa!$A$2:$C$81,2,FALSE)</f>
        <v>ES62</v>
      </c>
      <c r="C28" s="71">
        <f>VLOOKUP(F28,[1]NUTS_Europa!$A$2:$C$81,3,FALSE)</f>
        <v>1064</v>
      </c>
      <c r="D28" s="71" t="str">
        <f>VLOOKUP(G28,[1]NUTS_Europa!$A$2:$C$81,2,FALSE)</f>
        <v>PT17</v>
      </c>
      <c r="E28" s="71">
        <f>VLOOKUP(G28,[1]NUTS_Europa!$A$2:$C$81,3,FALSE)</f>
        <v>294</v>
      </c>
      <c r="F28" s="71">
        <v>18</v>
      </c>
      <c r="G28" s="71">
        <v>39</v>
      </c>
      <c r="H28" s="71">
        <v>1237216.5323886035</v>
      </c>
      <c r="I28" s="71">
        <v>779760.65493295772</v>
      </c>
      <c r="J28" s="71">
        <v>191087.21980936834</v>
      </c>
      <c r="K28" s="71">
        <v>31.760512820512822</v>
      </c>
      <c r="L28" s="71">
        <v>8.0853692180555878</v>
      </c>
      <c r="M28" s="71">
        <v>15.746383121931521</v>
      </c>
      <c r="N28" s="71">
        <v>3107.7929041260345</v>
      </c>
    </row>
    <row r="29" spans="2:14" s="71" customFormat="1" x14ac:dyDescent="0.25">
      <c r="B29" s="71" t="str">
        <f>VLOOKUP(F29,[1]NUTS_Europa!$A$2:$C$81,2,FALSE)</f>
        <v>FRD2</v>
      </c>
      <c r="C29" s="71">
        <f>VLOOKUP(F29,[1]NUTS_Europa!$A$2:$C$81,3,FALSE)</f>
        <v>269</v>
      </c>
      <c r="D29" s="71" t="str">
        <f>VLOOKUP(G29,[1]NUTS_Europa!$A$2:$C$81,2,FALSE)</f>
        <v>FRI1</v>
      </c>
      <c r="E29" s="71">
        <f>VLOOKUP(G29,[1]NUTS_Europa!$A$2:$C$81,3,FALSE)</f>
        <v>283</v>
      </c>
      <c r="F29" s="71">
        <v>20</v>
      </c>
      <c r="G29" s="71">
        <v>24</v>
      </c>
      <c r="H29" s="71">
        <v>931207.25930520217</v>
      </c>
      <c r="I29" s="71">
        <v>758900.30058542779</v>
      </c>
      <c r="J29" s="71">
        <v>114346.85142443764</v>
      </c>
      <c r="K29" s="71">
        <v>23.743589743589745</v>
      </c>
      <c r="L29" s="71">
        <v>13.516640278358285</v>
      </c>
      <c r="M29" s="71">
        <v>14.508624423727444</v>
      </c>
      <c r="N29" s="71">
        <v>2344.8291581632657</v>
      </c>
    </row>
    <row r="30" spans="2:14" s="71" customFormat="1" x14ac:dyDescent="0.25">
      <c r="B30" s="71" t="str">
        <f>VLOOKUP(F30,[1]NUTS_Europa!$A$2:$C$81,2,FALSE)</f>
        <v>FRD2</v>
      </c>
      <c r="C30" s="71">
        <f>VLOOKUP(F30,[1]NUTS_Europa!$A$2:$C$81,3,FALSE)</f>
        <v>269</v>
      </c>
      <c r="D30" s="71" t="str">
        <f>VLOOKUP(G30,[1]NUTS_Europa!$A$2:$C$81,2,FALSE)</f>
        <v>FRI3</v>
      </c>
      <c r="E30" s="71">
        <f>VLOOKUP(G30,[1]NUTS_Europa!$A$2:$C$81,3,FALSE)</f>
        <v>283</v>
      </c>
      <c r="F30" s="71">
        <v>20</v>
      </c>
      <c r="G30" s="71">
        <v>25</v>
      </c>
      <c r="H30" s="71">
        <v>560216.59680266399</v>
      </c>
      <c r="I30" s="71">
        <v>758900.30058542779</v>
      </c>
      <c r="J30" s="71">
        <v>141512.315270936</v>
      </c>
      <c r="K30" s="71">
        <v>23.743589743589745</v>
      </c>
      <c r="L30" s="71">
        <v>13.516640278358285</v>
      </c>
      <c r="M30" s="71">
        <v>14.508624423727444</v>
      </c>
      <c r="N30" s="71">
        <v>2344.8291581632657</v>
      </c>
    </row>
    <row r="31" spans="2:14" s="71" customFormat="1" x14ac:dyDescent="0.25">
      <c r="B31" s="71" t="str">
        <f>VLOOKUP(F31,[1]NUTS_Europa!$A$2:$C$81,2,FALSE)</f>
        <v>FRE1</v>
      </c>
      <c r="C31" s="71">
        <f>VLOOKUP(F31,[1]NUTS_Europa!$A$2:$C$81,3,FALSE)</f>
        <v>220</v>
      </c>
      <c r="D31" s="71" t="str">
        <f>VLOOKUP(G31,[1]NUTS_Europa!$A$2:$C$81,2,FALSE)</f>
        <v>FRH0</v>
      </c>
      <c r="E31" s="71">
        <f>VLOOKUP(G31,[1]NUTS_Europa!$A$2:$C$81,3,FALSE)</f>
        <v>283</v>
      </c>
      <c r="F31" s="71">
        <v>21</v>
      </c>
      <c r="G31" s="71">
        <v>23</v>
      </c>
      <c r="H31" s="71">
        <v>1266645.5809649231</v>
      </c>
      <c r="I31" s="71">
        <v>756571.34215317667</v>
      </c>
      <c r="J31" s="71">
        <v>156784.57749147405</v>
      </c>
      <c r="K31" s="71">
        <v>30.871282051282051</v>
      </c>
      <c r="L31" s="71">
        <v>10.926607280557292</v>
      </c>
      <c r="M31" s="71">
        <v>13.078361323091983</v>
      </c>
      <c r="N31" s="71">
        <v>2344.8291581632657</v>
      </c>
    </row>
    <row r="32" spans="2:14" s="71" customFormat="1" x14ac:dyDescent="0.25">
      <c r="B32" s="71" t="str">
        <f>VLOOKUP(F32,[1]NUTS_Europa!$A$2:$C$81,2,FALSE)</f>
        <v>FRE1</v>
      </c>
      <c r="C32" s="71">
        <f>VLOOKUP(F32,[1]NUTS_Europa!$A$2:$C$81,3,FALSE)</f>
        <v>220</v>
      </c>
      <c r="D32" s="71" t="str">
        <f>VLOOKUP(G32,[1]NUTS_Europa!$A$2:$C$81,2,FALSE)</f>
        <v>FRI1</v>
      </c>
      <c r="E32" s="71">
        <f>VLOOKUP(G32,[1]NUTS_Europa!$A$2:$C$81,3,FALSE)</f>
        <v>283</v>
      </c>
      <c r="F32" s="71">
        <v>21</v>
      </c>
      <c r="G32" s="71">
        <v>24</v>
      </c>
      <c r="H32" s="71">
        <v>1069604.8971461477</v>
      </c>
      <c r="I32" s="71">
        <v>756571.34215317667</v>
      </c>
      <c r="J32" s="71">
        <v>123840.01515725654</v>
      </c>
      <c r="K32" s="71">
        <v>30.871282051282051</v>
      </c>
      <c r="L32" s="71">
        <v>10.926607280557292</v>
      </c>
      <c r="M32" s="71">
        <v>13.078361323091983</v>
      </c>
      <c r="N32" s="71">
        <v>2344.8291581632657</v>
      </c>
    </row>
    <row r="33" spans="2:14" s="71" customFormat="1" x14ac:dyDescent="0.25">
      <c r="B33" s="71" t="str">
        <f>VLOOKUP(F33,[1]NUTS_Europa!$A$2:$C$81,2,FALSE)</f>
        <v>FRJ1</v>
      </c>
      <c r="C33" s="71">
        <f>VLOOKUP(F33,[1]NUTS_Europa!$A$2:$C$81,3,FALSE)</f>
        <v>1063</v>
      </c>
      <c r="D33" s="71" t="str">
        <f>VLOOKUP(G33,[1]NUTS_Europa!$A$2:$C$81,2,FALSE)</f>
        <v>FRJ2</v>
      </c>
      <c r="E33" s="71">
        <f>VLOOKUP(G33,[1]NUTS_Europa!$A$2:$C$81,3,FALSE)</f>
        <v>283</v>
      </c>
      <c r="F33" s="71">
        <v>26</v>
      </c>
      <c r="G33" s="71">
        <v>28</v>
      </c>
      <c r="H33" s="71">
        <v>2392976.3029271034</v>
      </c>
      <c r="I33" s="71">
        <v>5137765.8197083147</v>
      </c>
      <c r="J33" s="71">
        <v>142841.86171918266</v>
      </c>
      <c r="K33" s="71">
        <v>79.166000000000011</v>
      </c>
      <c r="L33" s="71">
        <v>12.55642973820947</v>
      </c>
      <c r="M33" s="71">
        <v>12.347610163397219</v>
      </c>
      <c r="N33" s="71">
        <v>2344.8291581632657</v>
      </c>
    </row>
    <row r="34" spans="2:14" s="71" customFormat="1" x14ac:dyDescent="0.25">
      <c r="B34" s="71" t="str">
        <f>VLOOKUP(F34,[1]NUTS_Europa!$A$2:$C$81,2,FALSE)</f>
        <v>FRJ1</v>
      </c>
      <c r="C34" s="71">
        <f>VLOOKUP(F34,[1]NUTS_Europa!$A$2:$C$81,3,FALSE)</f>
        <v>1063</v>
      </c>
      <c r="D34" s="71" t="str">
        <f>VLOOKUP(G34,[1]NUTS_Europa!$A$2:$C$81,2,FALSE)</f>
        <v>PT17</v>
      </c>
      <c r="E34" s="71">
        <f>VLOOKUP(G34,[1]NUTS_Europa!$A$2:$C$81,3,FALSE)</f>
        <v>294</v>
      </c>
      <c r="F34" s="71">
        <v>26</v>
      </c>
      <c r="G34" s="71">
        <v>39</v>
      </c>
      <c r="H34" s="71">
        <v>1640218.4286312868</v>
      </c>
      <c r="I34" s="71">
        <v>4569841.7775549497</v>
      </c>
      <c r="J34" s="71">
        <v>137713.62258431225</v>
      </c>
      <c r="K34" s="71">
        <v>41.743589743589745</v>
      </c>
      <c r="L34" s="71">
        <v>8.8446813439457177</v>
      </c>
      <c r="M34" s="71">
        <v>15.746383121931521</v>
      </c>
      <c r="N34" s="71">
        <v>3107.7929041260345</v>
      </c>
    </row>
    <row r="35" spans="2:14" s="71" customFormat="1" x14ac:dyDescent="0.25">
      <c r="B35" s="71" t="str">
        <f>VLOOKUP(F35,[1]NUTS_Europa!$A$2:$C$81,2,FALSE)</f>
        <v>FRF2</v>
      </c>
      <c r="C35" s="71">
        <f>VLOOKUP(F35,[1]NUTS_Europa!$A$2:$C$81,3,FALSE)</f>
        <v>269</v>
      </c>
      <c r="D35" s="71" t="str">
        <f>VLOOKUP(G35,[1]NUTS_Europa!$A$2:$C$81,2,FALSE)</f>
        <v>FRJ2</v>
      </c>
      <c r="E35" s="71">
        <f>VLOOKUP(G35,[1]NUTS_Europa!$A$2:$C$81,3,FALSE)</f>
        <v>283</v>
      </c>
      <c r="F35" s="71">
        <v>27</v>
      </c>
      <c r="G35" s="71">
        <v>28</v>
      </c>
      <c r="H35" s="71">
        <v>1947814.0373826975</v>
      </c>
      <c r="I35" s="71">
        <v>758900.30058542779</v>
      </c>
      <c r="J35" s="71">
        <v>176841.96373917855</v>
      </c>
      <c r="K35" s="71">
        <v>23.743589743589745</v>
      </c>
      <c r="L35" s="71">
        <v>13.516640278358285</v>
      </c>
      <c r="M35" s="71">
        <v>14.508624423727444</v>
      </c>
      <c r="N35" s="71">
        <v>2344.8291581632657</v>
      </c>
    </row>
    <row r="36" spans="2:14" s="71" customFormat="1" x14ac:dyDescent="0.25">
      <c r="B36" s="71" t="str">
        <f>VLOOKUP(F36,[1]NUTS_Europa!$A$2:$C$81,2,FALSE)</f>
        <v>FRF2</v>
      </c>
      <c r="C36" s="71">
        <f>VLOOKUP(F36,[1]NUTS_Europa!$A$2:$C$81,3,FALSE)</f>
        <v>269</v>
      </c>
      <c r="D36" s="71" t="str">
        <f>VLOOKUP(G36,[1]NUTS_Europa!$A$2:$C$81,2,FALSE)</f>
        <v>FRG0</v>
      </c>
      <c r="E36" s="71">
        <f>VLOOKUP(G36,[1]NUTS_Europa!$A$2:$C$81,3,FALSE)</f>
        <v>283</v>
      </c>
      <c r="F36" s="71">
        <v>27</v>
      </c>
      <c r="G36" s="71">
        <v>62</v>
      </c>
      <c r="H36" s="71">
        <v>1399794.635511728</v>
      </c>
      <c r="I36" s="71">
        <v>758900.30058542779</v>
      </c>
      <c r="J36" s="71">
        <v>141512.315270936</v>
      </c>
      <c r="K36" s="71">
        <v>23.743589743589745</v>
      </c>
      <c r="L36" s="71">
        <v>13.516640278358285</v>
      </c>
      <c r="M36" s="71">
        <v>14.508624423727444</v>
      </c>
      <c r="N36" s="71">
        <v>2344.8291581632657</v>
      </c>
    </row>
    <row r="37" spans="2:14" s="71" customFormat="1" x14ac:dyDescent="0.25">
      <c r="B37" s="71" t="str">
        <f>VLOOKUP(F37,[1]NUTS_Europa!$A$2:$C$81,2,FALSE)</f>
        <v>FRI2</v>
      </c>
      <c r="C37" s="71">
        <f>VLOOKUP(F37,[1]NUTS_Europa!$A$2:$C$81,3,FALSE)</f>
        <v>269</v>
      </c>
      <c r="D37" s="71" t="str">
        <f>VLOOKUP(G37,[1]NUTS_Europa!$A$2:$C$81,2,FALSE)</f>
        <v>PT11</v>
      </c>
      <c r="E37" s="71">
        <f>VLOOKUP(G37,[1]NUTS_Europa!$A$2:$C$81,3,FALSE)</f>
        <v>111</v>
      </c>
      <c r="F37" s="71">
        <v>29</v>
      </c>
      <c r="G37" s="71">
        <v>36</v>
      </c>
      <c r="H37" s="71">
        <v>1566947.4383149692</v>
      </c>
      <c r="I37" s="71">
        <v>1010976.2637488907</v>
      </c>
      <c r="J37" s="71">
        <v>114346.85142443764</v>
      </c>
      <c r="K37" s="71">
        <v>40.87025641025641</v>
      </c>
      <c r="L37" s="71">
        <v>11.315162289248464</v>
      </c>
      <c r="M37" s="71">
        <v>18.610551183211584</v>
      </c>
      <c r="N37" s="71">
        <v>3107.7929041260345</v>
      </c>
    </row>
    <row r="38" spans="2:14" s="71" customFormat="1" x14ac:dyDescent="0.25">
      <c r="B38" s="71" t="str">
        <f>VLOOKUP(F38,[1]NUTS_Europa!$A$2:$C$81,2,FALSE)</f>
        <v>FRI2</v>
      </c>
      <c r="C38" s="71">
        <f>VLOOKUP(F38,[1]NUTS_Europa!$A$2:$C$81,3,FALSE)</f>
        <v>269</v>
      </c>
      <c r="D38" s="71" t="str">
        <f>VLOOKUP(G38,[1]NUTS_Europa!$A$2:$C$81,2,FALSE)</f>
        <v>FRG0</v>
      </c>
      <c r="E38" s="71">
        <f>VLOOKUP(G38,[1]NUTS_Europa!$A$2:$C$81,3,FALSE)</f>
        <v>283</v>
      </c>
      <c r="F38" s="71">
        <v>29</v>
      </c>
      <c r="G38" s="71">
        <v>62</v>
      </c>
      <c r="H38" s="71">
        <v>1412109.6782504013</v>
      </c>
      <c r="I38" s="71">
        <v>758900.30058542779</v>
      </c>
      <c r="J38" s="71">
        <v>118487.95435333898</v>
      </c>
      <c r="K38" s="71">
        <v>23.743589743589745</v>
      </c>
      <c r="L38" s="71">
        <v>13.516640278358285</v>
      </c>
      <c r="M38" s="71">
        <v>14.508624423727444</v>
      </c>
      <c r="N38" s="71">
        <v>2344.8291581632657</v>
      </c>
    </row>
    <row r="39" spans="2:14" s="71" customFormat="1" x14ac:dyDescent="0.25">
      <c r="B39" s="71" t="str">
        <f>VLOOKUP(F39,[1]NUTS_Europa!$A$2:$C$81,2,FALSE)</f>
        <v>NL11</v>
      </c>
      <c r="C39" s="71">
        <f>VLOOKUP(F39,[1]NUTS_Europa!$A$2:$C$81,3,FALSE)</f>
        <v>245</v>
      </c>
      <c r="D39" s="71" t="str">
        <f>VLOOKUP(G39,[1]NUTS_Europa!$A$2:$C$81,2,FALSE)</f>
        <v>FRI1</v>
      </c>
      <c r="E39" s="71">
        <f>VLOOKUP(G39,[1]NUTS_Europa!$A$2:$C$81,3,FALSE)</f>
        <v>275</v>
      </c>
      <c r="F39" s="71">
        <v>30</v>
      </c>
      <c r="G39" s="71">
        <v>64</v>
      </c>
      <c r="H39" s="71">
        <v>910575.67619662767</v>
      </c>
      <c r="I39" s="71">
        <v>4807597.8317714697</v>
      </c>
      <c r="J39" s="71">
        <v>114346.85142443764</v>
      </c>
      <c r="K39" s="71">
        <v>61.025641025641029</v>
      </c>
      <c r="L39" s="71">
        <v>7.1521493587186207</v>
      </c>
      <c r="M39" s="71">
        <v>1.4833541879346264</v>
      </c>
      <c r="N39" s="71">
        <v>214.6690518783542</v>
      </c>
    </row>
    <row r="40" spans="2:14" s="71" customFormat="1" x14ac:dyDescent="0.25">
      <c r="B40" s="71" t="str">
        <f>VLOOKUP(F40,[1]NUTS_Europa!$A$2:$C$81,2,FALSE)</f>
        <v>NL11</v>
      </c>
      <c r="C40" s="71">
        <f>VLOOKUP(F40,[1]NUTS_Europa!$A$2:$C$81,3,FALSE)</f>
        <v>245</v>
      </c>
      <c r="D40" s="71" t="str">
        <f>VLOOKUP(G40,[1]NUTS_Europa!$A$2:$C$81,2,FALSE)</f>
        <v>FRI2</v>
      </c>
      <c r="E40" s="71">
        <f>VLOOKUP(G40,[1]NUTS_Europa!$A$2:$C$81,3,FALSE)</f>
        <v>275</v>
      </c>
      <c r="F40" s="71">
        <v>30</v>
      </c>
      <c r="G40" s="71">
        <v>69</v>
      </c>
      <c r="H40" s="71">
        <v>873370.09480127867</v>
      </c>
      <c r="I40" s="71">
        <v>4807597.8317714697</v>
      </c>
      <c r="J40" s="71">
        <v>145277.79316174539</v>
      </c>
      <c r="K40" s="71">
        <v>61.025641025641029</v>
      </c>
      <c r="L40" s="71">
        <v>7.1521493587186207</v>
      </c>
      <c r="M40" s="71">
        <v>1.4833541879346264</v>
      </c>
      <c r="N40" s="71">
        <v>214.6690518783542</v>
      </c>
    </row>
    <row r="41" spans="2:14" s="71" customFormat="1" x14ac:dyDescent="0.25">
      <c r="B41" s="71" t="str">
        <f>VLOOKUP(F41,[1]NUTS_Europa!$A$2:$C$81,2,FALSE)</f>
        <v>NL33</v>
      </c>
      <c r="C41" s="71">
        <f>VLOOKUP(F41,[1]NUTS_Europa!$A$2:$C$81,3,FALSE)</f>
        <v>250</v>
      </c>
      <c r="D41" s="71" t="str">
        <f>VLOOKUP(G41,[1]NUTS_Europa!$A$2:$C$81,2,FALSE)</f>
        <v>PT15</v>
      </c>
      <c r="E41" s="71">
        <f>VLOOKUP(G41,[1]NUTS_Europa!$A$2:$C$81,3,FALSE)</f>
        <v>1065</v>
      </c>
      <c r="F41" s="71">
        <v>33</v>
      </c>
      <c r="G41" s="71">
        <v>37</v>
      </c>
      <c r="H41" s="71">
        <v>3019110.9186130748</v>
      </c>
      <c r="I41" s="71">
        <v>1337138.2176879437</v>
      </c>
      <c r="J41" s="71">
        <v>114346.85142443764</v>
      </c>
      <c r="K41" s="71">
        <v>59.782564102564102</v>
      </c>
      <c r="L41" s="71">
        <v>9.62220994029291</v>
      </c>
      <c r="M41" s="71">
        <v>46.658967189793287</v>
      </c>
      <c r="N41" s="71">
        <v>7791.6234569719818</v>
      </c>
    </row>
    <row r="42" spans="2:14" s="71" customFormat="1" x14ac:dyDescent="0.25">
      <c r="B42" s="71" t="str">
        <f>VLOOKUP(F42,[1]NUTS_Europa!$A$2:$C$81,2,FALSE)</f>
        <v>NL33</v>
      </c>
      <c r="C42" s="71">
        <f>VLOOKUP(F42,[1]NUTS_Europa!$A$2:$C$81,3,FALSE)</f>
        <v>250</v>
      </c>
      <c r="D42" s="71" t="str">
        <f>VLOOKUP(G42,[1]NUTS_Europa!$A$2:$C$81,2,FALSE)</f>
        <v>NL11</v>
      </c>
      <c r="E42" s="71">
        <f>VLOOKUP(G42,[1]NUTS_Europa!$A$2:$C$81,3,FALSE)</f>
        <v>218</v>
      </c>
      <c r="F42" s="71">
        <v>33</v>
      </c>
      <c r="G42" s="71">
        <v>70</v>
      </c>
      <c r="H42" s="71">
        <v>2009530.2296073569</v>
      </c>
      <c r="I42" s="71">
        <v>553428.44402137853</v>
      </c>
      <c r="J42" s="71">
        <v>135416.16142478216</v>
      </c>
      <c r="K42" s="71">
        <v>3.4871794871794872</v>
      </c>
      <c r="L42" s="71">
        <v>8.4049187760215052</v>
      </c>
      <c r="M42" s="71">
        <v>31.736643810204658</v>
      </c>
      <c r="N42" s="71">
        <v>5603.5863070190189</v>
      </c>
    </row>
    <row r="43" spans="2:14" s="71" customFormat="1" x14ac:dyDescent="0.25">
      <c r="B43" s="71" t="str">
        <f>VLOOKUP(F43,[1]NUTS_Europa!$A$2:$C$81,2,FALSE)</f>
        <v>NL34</v>
      </c>
      <c r="C43" s="71">
        <f>VLOOKUP(F43,[1]NUTS_Europa!$A$2:$C$81,3,FALSE)</f>
        <v>250</v>
      </c>
      <c r="D43" s="71" t="str">
        <f>VLOOKUP(G43,[1]NUTS_Europa!$A$2:$C$81,2,FALSE)</f>
        <v>PT11</v>
      </c>
      <c r="E43" s="71">
        <f>VLOOKUP(G43,[1]NUTS_Europa!$A$2:$C$81,3,FALSE)</f>
        <v>111</v>
      </c>
      <c r="F43" s="71">
        <v>34</v>
      </c>
      <c r="G43" s="71">
        <v>36</v>
      </c>
      <c r="H43" s="71">
        <v>1358610.4866545277</v>
      </c>
      <c r="I43" s="71">
        <v>1175293.8281937458</v>
      </c>
      <c r="J43" s="71">
        <v>176841.96373917855</v>
      </c>
      <c r="K43" s="71">
        <v>49.426666666666669</v>
      </c>
      <c r="L43" s="71">
        <v>10.822565676659771</v>
      </c>
      <c r="M43" s="71">
        <v>18.610551183211584</v>
      </c>
      <c r="N43" s="71">
        <v>3107.7929041260345</v>
      </c>
    </row>
    <row r="44" spans="2:14" s="71" customFormat="1" x14ac:dyDescent="0.25">
      <c r="B44" s="71" t="str">
        <f>VLOOKUP(F44,[1]NUTS_Europa!$A$2:$C$81,2,FALSE)</f>
        <v>NL34</v>
      </c>
      <c r="C44" s="71">
        <f>VLOOKUP(F44,[1]NUTS_Europa!$A$2:$C$81,3,FALSE)</f>
        <v>250</v>
      </c>
      <c r="D44" s="71" t="str">
        <f>VLOOKUP(G44,[1]NUTS_Europa!$A$2:$C$81,2,FALSE)</f>
        <v>PT16</v>
      </c>
      <c r="E44" s="71">
        <f>VLOOKUP(G44,[1]NUTS_Europa!$A$2:$C$81,3,FALSE)</f>
        <v>111</v>
      </c>
      <c r="F44" s="71">
        <v>34</v>
      </c>
      <c r="G44" s="71">
        <v>38</v>
      </c>
      <c r="H44" s="71">
        <v>1256597.1845765905</v>
      </c>
      <c r="I44" s="71">
        <v>1175293.8281937458</v>
      </c>
      <c r="J44" s="71">
        <v>199058.85825050285</v>
      </c>
      <c r="K44" s="71">
        <v>49.426666666666669</v>
      </c>
      <c r="L44" s="71">
        <v>10.822565676659771</v>
      </c>
      <c r="M44" s="71">
        <v>18.610551183211584</v>
      </c>
      <c r="N44" s="71">
        <v>3107.7929041260345</v>
      </c>
    </row>
    <row r="45" spans="2:14" s="71" customFormat="1" x14ac:dyDescent="0.25">
      <c r="B45" s="71" t="str">
        <f>VLOOKUP(F45,[1]NUTS_Europa!$A$2:$C$81,2,FALSE)</f>
        <v>NL41</v>
      </c>
      <c r="C45" s="71">
        <f>VLOOKUP(F45,[1]NUTS_Europa!$A$2:$C$81,3,FALSE)</f>
        <v>253</v>
      </c>
      <c r="D45" s="71" t="str">
        <f>VLOOKUP(G45,[1]NUTS_Europa!$A$2:$C$81,2,FALSE)</f>
        <v>PT16</v>
      </c>
      <c r="E45" s="71">
        <f>VLOOKUP(G45,[1]NUTS_Europa!$A$2:$C$81,3,FALSE)</f>
        <v>111</v>
      </c>
      <c r="F45" s="71">
        <v>35</v>
      </c>
      <c r="G45" s="71">
        <v>38</v>
      </c>
      <c r="H45" s="71">
        <v>955245.28033936012</v>
      </c>
      <c r="I45" s="71">
        <v>1101029.3592250734</v>
      </c>
      <c r="J45" s="71">
        <v>122072.63094995193</v>
      </c>
      <c r="K45" s="71">
        <v>49.48205128205128</v>
      </c>
      <c r="L45" s="71">
        <v>12.385931308289724</v>
      </c>
      <c r="M45" s="71">
        <v>18.610551183211584</v>
      </c>
      <c r="N45" s="71">
        <v>3107.7929041260345</v>
      </c>
    </row>
    <row r="46" spans="2:14" s="71" customFormat="1" x14ac:dyDescent="0.25">
      <c r="B46" s="71" t="str">
        <f>VLOOKUP(F46,[1]NUTS_Europa!$A$2:$C$81,2,FALSE)</f>
        <v>NL41</v>
      </c>
      <c r="C46" s="71">
        <f>VLOOKUP(F46,[1]NUTS_Europa!$A$2:$C$81,3,FALSE)</f>
        <v>253</v>
      </c>
      <c r="D46" s="71" t="str">
        <f>VLOOKUP(G46,[1]NUTS_Europa!$A$2:$C$81,2,FALSE)</f>
        <v>PT18</v>
      </c>
      <c r="E46" s="71">
        <f>VLOOKUP(G46,[1]NUTS_Europa!$A$2:$C$81,3,FALSE)</f>
        <v>1065</v>
      </c>
      <c r="F46" s="71">
        <v>35</v>
      </c>
      <c r="G46" s="71">
        <v>40</v>
      </c>
      <c r="H46" s="71">
        <v>2562311.9296272066</v>
      </c>
      <c r="I46" s="71">
        <v>1273821.6951610236</v>
      </c>
      <c r="J46" s="71">
        <v>120437.35243536306</v>
      </c>
      <c r="K46" s="71">
        <v>59.782923076923076</v>
      </c>
      <c r="L46" s="71">
        <v>11.185575571922861</v>
      </c>
      <c r="M46" s="71">
        <v>46.658967189793287</v>
      </c>
      <c r="N46" s="71">
        <v>7791.6234569719818</v>
      </c>
    </row>
    <row r="47" spans="2:14" s="71" customFormat="1" x14ac:dyDescent="0.25">
      <c r="B47" s="71" t="str">
        <f>VLOOKUP(F47,[1]NUTS_Europa!$A$2:$C$81,2,FALSE)</f>
        <v>BE21</v>
      </c>
      <c r="C47" s="71">
        <f>VLOOKUP(F47,[1]NUTS_Europa!$A$2:$C$81,3,FALSE)</f>
        <v>250</v>
      </c>
      <c r="D47" s="71" t="str">
        <f>VLOOKUP(G47,[1]NUTS_Europa!$A$2:$C$81,2,FALSE)</f>
        <v>FRE1</v>
      </c>
      <c r="E47" s="71">
        <f>VLOOKUP(G47,[1]NUTS_Europa!$A$2:$C$81,3,FALSE)</f>
        <v>235</v>
      </c>
      <c r="F47" s="71">
        <v>41</v>
      </c>
      <c r="G47" s="71">
        <v>61</v>
      </c>
      <c r="H47" s="71">
        <v>658018.2917651874</v>
      </c>
      <c r="I47" s="71">
        <v>529634.88473248959</v>
      </c>
      <c r="J47" s="71">
        <v>142392.8717171422</v>
      </c>
      <c r="K47" s="71">
        <v>7.2307692307692308</v>
      </c>
      <c r="L47" s="71">
        <v>10.515106937833433</v>
      </c>
      <c r="M47" s="71">
        <v>10.958172373944803</v>
      </c>
      <c r="N47" s="71">
        <v>1827.1881523429399</v>
      </c>
    </row>
    <row r="48" spans="2:14" s="71" customFormat="1" x14ac:dyDescent="0.25">
      <c r="B48" s="71" t="str">
        <f>VLOOKUP(F48,[1]NUTS_Europa!$A$2:$C$81,2,FALSE)</f>
        <v>BE21</v>
      </c>
      <c r="C48" s="71">
        <f>VLOOKUP(F48,[1]NUTS_Europa!$A$2:$C$81,3,FALSE)</f>
        <v>250</v>
      </c>
      <c r="D48" s="71" t="str">
        <f>VLOOKUP(G48,[1]NUTS_Europa!$A$2:$C$81,2,FALSE)</f>
        <v>FRF2</v>
      </c>
      <c r="E48" s="71">
        <f>VLOOKUP(G48,[1]NUTS_Europa!$A$2:$C$81,3,FALSE)</f>
        <v>235</v>
      </c>
      <c r="F48" s="71">
        <v>41</v>
      </c>
      <c r="G48" s="71">
        <v>67</v>
      </c>
      <c r="H48" s="71">
        <v>1253954.2459013152</v>
      </c>
      <c r="I48" s="71">
        <v>529634.88473248959</v>
      </c>
      <c r="J48" s="71">
        <v>156784.57749147405</v>
      </c>
      <c r="K48" s="71">
        <v>7.2307692307692308</v>
      </c>
      <c r="L48" s="71">
        <v>10.515106937833433</v>
      </c>
      <c r="M48" s="71">
        <v>10.958172373944803</v>
      </c>
      <c r="N48" s="71">
        <v>1827.1881523429399</v>
      </c>
    </row>
    <row r="49" spans="2:14" s="71" customFormat="1" x14ac:dyDescent="0.25">
      <c r="B49" s="71" t="str">
        <f>VLOOKUP(F49,[1]NUTS_Europa!$A$2:$C$81,2,FALSE)</f>
        <v>BE23</v>
      </c>
      <c r="C49" s="71">
        <f>VLOOKUP(F49,[1]NUTS_Europa!$A$2:$C$81,3,FALSE)</f>
        <v>220</v>
      </c>
      <c r="D49" s="71" t="str">
        <f>VLOOKUP(G49,[1]NUTS_Europa!$A$2:$C$81,2,FALSE)</f>
        <v>ES12</v>
      </c>
      <c r="E49" s="71">
        <f>VLOOKUP(G49,[1]NUTS_Europa!$A$2:$C$81,3,FALSE)</f>
        <v>163</v>
      </c>
      <c r="F49" s="71">
        <v>42</v>
      </c>
      <c r="G49" s="71">
        <v>52</v>
      </c>
      <c r="H49" s="71">
        <v>1601892.4180811774</v>
      </c>
      <c r="I49" s="71">
        <v>868774.04423832486</v>
      </c>
      <c r="J49" s="71">
        <v>137713.62258431225</v>
      </c>
      <c r="K49" s="71">
        <v>37.435897435897438</v>
      </c>
      <c r="L49" s="71">
        <v>9.1608516459717713</v>
      </c>
      <c r="M49" s="71">
        <v>20.043101429466677</v>
      </c>
      <c r="N49" s="71">
        <v>3181.447942754919</v>
      </c>
    </row>
    <row r="50" spans="2:14" s="71" customFormat="1" x14ac:dyDescent="0.25">
      <c r="B50" s="71" t="str">
        <f>VLOOKUP(F50,[1]NUTS_Europa!$A$2:$C$81,2,FALSE)</f>
        <v>BE23</v>
      </c>
      <c r="C50" s="71">
        <f>VLOOKUP(F50,[1]NUTS_Europa!$A$2:$C$81,3,FALSE)</f>
        <v>220</v>
      </c>
      <c r="D50" s="71" t="str">
        <f>VLOOKUP(G50,[1]NUTS_Europa!$A$2:$C$81,2,FALSE)</f>
        <v>FRJ2</v>
      </c>
      <c r="E50" s="71">
        <f>VLOOKUP(G50,[1]NUTS_Europa!$A$2:$C$81,3,FALSE)</f>
        <v>163</v>
      </c>
      <c r="F50" s="71">
        <v>42</v>
      </c>
      <c r="G50" s="71">
        <v>68</v>
      </c>
      <c r="H50" s="71">
        <v>2658734.4287369908</v>
      </c>
      <c r="I50" s="71">
        <v>868774.04423832486</v>
      </c>
      <c r="J50" s="71">
        <v>156784.57749147405</v>
      </c>
      <c r="K50" s="71">
        <v>37.435897435897438</v>
      </c>
      <c r="L50" s="71">
        <v>9.1608516459717713</v>
      </c>
      <c r="M50" s="71">
        <v>20.043101429466677</v>
      </c>
      <c r="N50" s="71">
        <v>3181.447942754919</v>
      </c>
    </row>
    <row r="51" spans="2:14" s="71" customFormat="1" x14ac:dyDescent="0.25">
      <c r="B51" s="71" t="str">
        <f>VLOOKUP(F51,[1]NUTS_Europa!$A$2:$C$81,2,FALSE)</f>
        <v>BE25</v>
      </c>
      <c r="C51" s="71">
        <f>VLOOKUP(F51,[1]NUTS_Europa!$A$2:$C$81,3,FALSE)</f>
        <v>220</v>
      </c>
      <c r="D51" s="71" t="str">
        <f>VLOOKUP(G51,[1]NUTS_Europa!$A$2:$C$81,2,FALSE)</f>
        <v>FRD1</v>
      </c>
      <c r="E51" s="71">
        <f>VLOOKUP(G51,[1]NUTS_Europa!$A$2:$C$81,3,FALSE)</f>
        <v>269</v>
      </c>
      <c r="F51" s="71">
        <v>43</v>
      </c>
      <c r="G51" s="71">
        <v>59</v>
      </c>
      <c r="H51" s="71">
        <v>4232837.4788314467</v>
      </c>
      <c r="I51" s="71">
        <v>527907.35851956042</v>
      </c>
      <c r="J51" s="71">
        <v>199058.85825050285</v>
      </c>
      <c r="K51" s="71">
        <v>9.281538461538462</v>
      </c>
      <c r="L51" s="71">
        <v>10.403367430986599</v>
      </c>
      <c r="M51" s="71">
        <v>103.79774657649504</v>
      </c>
      <c r="N51" s="71">
        <v>16475.849731663686</v>
      </c>
    </row>
    <row r="52" spans="2:14" s="71" customFormat="1" x14ac:dyDescent="0.25">
      <c r="B52" s="71" t="str">
        <f>VLOOKUP(F52,[1]NUTS_Europa!$A$2:$C$81,2,FALSE)</f>
        <v>BE25</v>
      </c>
      <c r="C52" s="71">
        <f>VLOOKUP(F52,[1]NUTS_Europa!$A$2:$C$81,3,FALSE)</f>
        <v>220</v>
      </c>
      <c r="D52" s="71" t="str">
        <f>VLOOKUP(G52,[1]NUTS_Europa!$A$2:$C$81,2,FALSE)</f>
        <v>PT18</v>
      </c>
      <c r="E52" s="71">
        <f>VLOOKUP(G52,[1]NUTS_Europa!$A$2:$C$81,3,FALSE)</f>
        <v>61</v>
      </c>
      <c r="F52" s="71">
        <v>43</v>
      </c>
      <c r="G52" s="71">
        <v>80</v>
      </c>
      <c r="H52" s="71">
        <v>12861602.269692292</v>
      </c>
      <c r="I52" s="71">
        <v>1290442.5620775365</v>
      </c>
      <c r="J52" s="71">
        <v>117768.50934211678</v>
      </c>
      <c r="K52" s="71">
        <v>69.418974358974367</v>
      </c>
      <c r="L52" s="71">
        <v>7.5401946277682068</v>
      </c>
      <c r="M52" s="71">
        <v>96.115676155576978</v>
      </c>
      <c r="N52" s="71">
        <v>19116.553042582418</v>
      </c>
    </row>
    <row r="53" spans="2:14" s="71" customFormat="1" x14ac:dyDescent="0.25">
      <c r="B53" s="71" t="str">
        <f>VLOOKUP(F53,[1]NUTS_Europa!$A$2:$C$81,2,FALSE)</f>
        <v>DE50</v>
      </c>
      <c r="C53" s="71">
        <f>VLOOKUP(F53,[1]NUTS_Europa!$A$2:$C$81,3,FALSE)</f>
        <v>1069</v>
      </c>
      <c r="D53" s="71" t="str">
        <f>VLOOKUP(G53,[1]NUTS_Europa!$A$2:$C$81,2,FALSE)</f>
        <v>ES12</v>
      </c>
      <c r="E53" s="71">
        <f>VLOOKUP(G53,[1]NUTS_Europa!$A$2:$C$81,3,FALSE)</f>
        <v>163</v>
      </c>
      <c r="F53" s="71">
        <v>44</v>
      </c>
      <c r="G53" s="71">
        <v>52</v>
      </c>
      <c r="H53" s="71">
        <v>1753248.3728589457</v>
      </c>
      <c r="I53" s="71">
        <v>1147710.6165584009</v>
      </c>
      <c r="J53" s="71">
        <v>120125.80522925351</v>
      </c>
      <c r="K53" s="71">
        <v>53.746153846153845</v>
      </c>
      <c r="L53" s="71">
        <v>10.035672417878224</v>
      </c>
      <c r="M53" s="71">
        <v>19.051623323019999</v>
      </c>
      <c r="N53" s="71">
        <v>3181.447942754919</v>
      </c>
    </row>
    <row r="54" spans="2:14" s="71" customFormat="1" x14ac:dyDescent="0.25">
      <c r="B54" s="71" t="str">
        <f>VLOOKUP(F54,[1]NUTS_Europa!$A$2:$C$81,2,FALSE)</f>
        <v>DE50</v>
      </c>
      <c r="C54" s="71">
        <f>VLOOKUP(F54,[1]NUTS_Europa!$A$2:$C$81,3,FALSE)</f>
        <v>1069</v>
      </c>
      <c r="D54" s="71" t="str">
        <f>VLOOKUP(G54,[1]NUTS_Europa!$A$2:$C$81,2,FALSE)</f>
        <v>NL11</v>
      </c>
      <c r="E54" s="71">
        <f>VLOOKUP(G54,[1]NUTS_Europa!$A$2:$C$81,3,FALSE)</f>
        <v>218</v>
      </c>
      <c r="F54" s="71">
        <v>44</v>
      </c>
      <c r="G54" s="71">
        <v>70</v>
      </c>
      <c r="H54" s="71">
        <v>2265567.9596990589</v>
      </c>
      <c r="I54" s="71">
        <v>614642.19701941637</v>
      </c>
      <c r="J54" s="71">
        <v>120437.35243536306</v>
      </c>
      <c r="K54" s="71">
        <v>13.844615384615386</v>
      </c>
      <c r="L54" s="71">
        <v>7.1823031627156571</v>
      </c>
      <c r="M54" s="71">
        <v>26.572331571804849</v>
      </c>
      <c r="N54" s="71">
        <v>5603.5863070190189</v>
      </c>
    </row>
    <row r="55" spans="2:14" s="71" customFormat="1" x14ac:dyDescent="0.25">
      <c r="B55" s="71" t="str">
        <f>VLOOKUP(F55,[1]NUTS_Europa!$A$2:$C$81,2,FALSE)</f>
        <v>DE60</v>
      </c>
      <c r="C55" s="71">
        <f>VLOOKUP(F55,[1]NUTS_Europa!$A$2:$C$81,3,FALSE)</f>
        <v>245</v>
      </c>
      <c r="D55" s="71" t="str">
        <f>VLOOKUP(G55,[1]NUTS_Europa!$A$2:$C$81,2,FALSE)</f>
        <v>FRH0</v>
      </c>
      <c r="E55" s="71">
        <f>VLOOKUP(G55,[1]NUTS_Europa!$A$2:$C$81,3,FALSE)</f>
        <v>282</v>
      </c>
      <c r="F55" s="71">
        <v>45</v>
      </c>
      <c r="G55" s="71">
        <v>63</v>
      </c>
      <c r="H55" s="71">
        <v>3353570.4915902428</v>
      </c>
      <c r="I55" s="71">
        <v>4055112.3527977141</v>
      </c>
      <c r="J55" s="71">
        <v>145277.79316174539</v>
      </c>
      <c r="K55" s="71">
        <v>45.43948717948718</v>
      </c>
      <c r="L55" s="71">
        <v>6.1016455775439606</v>
      </c>
      <c r="M55" s="71">
        <v>5.8366649748304695</v>
      </c>
      <c r="N55" s="71">
        <v>844.67441860465112</v>
      </c>
    </row>
    <row r="56" spans="2:14" s="71" customFormat="1" x14ac:dyDescent="0.25">
      <c r="B56" s="71" t="str">
        <f>VLOOKUP(F56,[1]NUTS_Europa!$A$2:$C$81,2,FALSE)</f>
        <v>DE60</v>
      </c>
      <c r="C56" s="71">
        <f>VLOOKUP(F56,[1]NUTS_Europa!$A$2:$C$81,3,FALSE)</f>
        <v>245</v>
      </c>
      <c r="D56" s="71" t="str">
        <f>VLOOKUP(G56,[1]NUTS_Europa!$A$2:$C$81,2,FALSE)</f>
        <v>FRI3</v>
      </c>
      <c r="E56" s="71">
        <f>VLOOKUP(G56,[1]NUTS_Europa!$A$2:$C$81,3,FALSE)</f>
        <v>282</v>
      </c>
      <c r="F56" s="71">
        <v>45</v>
      </c>
      <c r="G56" s="71">
        <v>65</v>
      </c>
      <c r="H56" s="71">
        <v>3509947.6007297775</v>
      </c>
      <c r="I56" s="71">
        <v>4055112.3527977141</v>
      </c>
      <c r="J56" s="71">
        <v>163171.48832599766</v>
      </c>
      <c r="K56" s="71">
        <v>45.43948717948718</v>
      </c>
      <c r="L56" s="71">
        <v>6.1016455775439606</v>
      </c>
      <c r="M56" s="71">
        <v>5.8366649748304695</v>
      </c>
      <c r="N56" s="71">
        <v>844.67441860465112</v>
      </c>
    </row>
    <row r="57" spans="2:14" s="71" customFormat="1" ht="15.6" customHeight="1" x14ac:dyDescent="0.25">
      <c r="B57" s="71" t="str">
        <f>VLOOKUP(F57,[1]NUTS_Europa!$A$2:$C$81,2,FALSE)</f>
        <v>DE80</v>
      </c>
      <c r="C57" s="71">
        <f>VLOOKUP(F57,[1]NUTS_Europa!$A$2:$C$81,3,FALSE)</f>
        <v>245</v>
      </c>
      <c r="D57" s="71" t="str">
        <f>VLOOKUP(G57,[1]NUTS_Europa!$A$2:$C$81,2,FALSE)</f>
        <v>ES11</v>
      </c>
      <c r="E57" s="71">
        <f>VLOOKUP(G57,[1]NUTS_Europa!$A$2:$C$81,3,FALSE)</f>
        <v>285</v>
      </c>
      <c r="F57" s="71">
        <v>46</v>
      </c>
      <c r="G57" s="71">
        <v>51</v>
      </c>
      <c r="H57" s="71">
        <v>59259.211635068961</v>
      </c>
      <c r="I57" s="71">
        <v>4876601.5780676613</v>
      </c>
      <c r="J57" s="71">
        <v>127001.21695280854</v>
      </c>
      <c r="K57" s="71">
        <v>51.586666666666666</v>
      </c>
      <c r="L57" s="71">
        <v>7.5456567027646031</v>
      </c>
      <c r="M57" s="71">
        <v>9.347503527921551E-2</v>
      </c>
      <c r="N57" s="71">
        <v>15.60948133635801</v>
      </c>
    </row>
    <row r="58" spans="2:14" s="71" customFormat="1" x14ac:dyDescent="0.25">
      <c r="B58" s="71" t="str">
        <f>VLOOKUP(F58,[1]NUTS_Europa!$A$2:$C$81,2,FALSE)</f>
        <v>DE80</v>
      </c>
      <c r="C58" s="71">
        <f>VLOOKUP(F58,[1]NUTS_Europa!$A$2:$C$81,3,FALSE)</f>
        <v>245</v>
      </c>
      <c r="D58" s="71" t="str">
        <f>VLOOKUP(G58,[1]NUTS_Europa!$A$2:$C$81,2,FALSE)</f>
        <v>ES13</v>
      </c>
      <c r="E58" s="71">
        <f>VLOOKUP(G58,[1]NUTS_Europa!$A$2:$C$81,3,FALSE)</f>
        <v>285</v>
      </c>
      <c r="F58" s="71">
        <v>46</v>
      </c>
      <c r="G58" s="71">
        <v>53</v>
      </c>
      <c r="H58" s="71">
        <v>66002.148554304891</v>
      </c>
      <c r="I58" s="71">
        <v>4876601.5780676613</v>
      </c>
      <c r="J58" s="71">
        <v>117768.50934211678</v>
      </c>
      <c r="K58" s="71">
        <v>51.586666666666666</v>
      </c>
      <c r="L58" s="71">
        <v>7.5456567027646031</v>
      </c>
      <c r="M58" s="71">
        <v>9.347503527921551E-2</v>
      </c>
      <c r="N58" s="71">
        <v>15.60948133635801</v>
      </c>
    </row>
    <row r="59" spans="2:14" s="71" customFormat="1" x14ac:dyDescent="0.25">
      <c r="B59" s="71" t="str">
        <f>VLOOKUP(F59,[1]NUTS_Europa!$A$2:$C$81,2,FALSE)</f>
        <v>DE93</v>
      </c>
      <c r="C59" s="71">
        <f>VLOOKUP(F59,[1]NUTS_Europa!$A$2:$C$81,3,FALSE)</f>
        <v>245</v>
      </c>
      <c r="D59" s="71" t="str">
        <f>VLOOKUP(G59,[1]NUTS_Europa!$A$2:$C$81,2,FALSE)</f>
        <v>FRI1</v>
      </c>
      <c r="E59" s="71">
        <f>VLOOKUP(G59,[1]NUTS_Europa!$A$2:$C$81,3,FALSE)</f>
        <v>275</v>
      </c>
      <c r="F59" s="71">
        <v>47</v>
      </c>
      <c r="G59" s="71">
        <v>64</v>
      </c>
      <c r="H59" s="71">
        <v>912830.55991755775</v>
      </c>
      <c r="I59" s="71">
        <v>4807597.8317714697</v>
      </c>
      <c r="J59" s="71">
        <v>154854.30087154222</v>
      </c>
      <c r="K59" s="71">
        <v>61.025641025641029</v>
      </c>
      <c r="L59" s="71">
        <v>7.1521493587186207</v>
      </c>
      <c r="M59" s="71">
        <v>1.4833541879346264</v>
      </c>
      <c r="N59" s="71">
        <v>214.6690518783542</v>
      </c>
    </row>
    <row r="60" spans="2:14" s="71" customFormat="1" x14ac:dyDescent="0.25">
      <c r="B60" s="71" t="str">
        <f>VLOOKUP(F60,[1]NUTS_Europa!$A$2:$C$81,2,FALSE)</f>
        <v>DE93</v>
      </c>
      <c r="C60" s="71">
        <f>VLOOKUP(F60,[1]NUTS_Europa!$A$2:$C$81,3,FALSE)</f>
        <v>245</v>
      </c>
      <c r="D60" s="71" t="str">
        <f>VLOOKUP(G60,[1]NUTS_Europa!$A$2:$C$81,2,FALSE)</f>
        <v>FRI2</v>
      </c>
      <c r="E60" s="71">
        <f>VLOOKUP(G60,[1]NUTS_Europa!$A$2:$C$81,3,FALSE)</f>
        <v>275</v>
      </c>
      <c r="F60" s="71">
        <v>47</v>
      </c>
      <c r="G60" s="71">
        <v>69</v>
      </c>
      <c r="H60" s="71">
        <v>875624.97852220898</v>
      </c>
      <c r="I60" s="71">
        <v>4807597.8317714697</v>
      </c>
      <c r="J60" s="71">
        <v>114346.85142443764</v>
      </c>
      <c r="K60" s="71">
        <v>61.025641025641029</v>
      </c>
      <c r="L60" s="71">
        <v>7.1521493587186207</v>
      </c>
      <c r="M60" s="71">
        <v>1.4833541879346264</v>
      </c>
      <c r="N60" s="71">
        <v>214.6690518783542</v>
      </c>
    </row>
    <row r="61" spans="2:14" s="71" customFormat="1" x14ac:dyDescent="0.25">
      <c r="B61" s="71" t="str">
        <f>VLOOKUP(F61,[1]NUTS_Europa!$A$2:$C$81,2,FALSE)</f>
        <v>DE94</v>
      </c>
      <c r="C61" s="71">
        <f>VLOOKUP(F61,[1]NUTS_Europa!$A$2:$C$81,3,FALSE)</f>
        <v>1069</v>
      </c>
      <c r="D61" s="71" t="str">
        <f>VLOOKUP(G61,[1]NUTS_Europa!$A$2:$C$81,2,FALSE)</f>
        <v>FRE1</v>
      </c>
      <c r="E61" s="71">
        <f>VLOOKUP(G61,[1]NUTS_Europa!$A$2:$C$81,3,FALSE)</f>
        <v>235</v>
      </c>
      <c r="F61" s="71">
        <v>48</v>
      </c>
      <c r="G61" s="71">
        <v>61</v>
      </c>
      <c r="H61" s="71">
        <v>686089.46507815039</v>
      </c>
      <c r="I61" s="71">
        <v>624975.99300786876</v>
      </c>
      <c r="J61" s="71">
        <v>507158.32774652442</v>
      </c>
      <c r="K61" s="71">
        <v>20.905641025641028</v>
      </c>
      <c r="L61" s="71">
        <v>9.2924913245275853</v>
      </c>
      <c r="M61" s="71">
        <v>9.2742204153242884</v>
      </c>
      <c r="N61" s="71">
        <v>1827.1881523429399</v>
      </c>
    </row>
    <row r="62" spans="2:14" s="71" customFormat="1" x14ac:dyDescent="0.25">
      <c r="B62" s="71" t="str">
        <f>VLOOKUP(F62,[1]NUTS_Europa!$A$2:$C$81,2,FALSE)</f>
        <v>DE94</v>
      </c>
      <c r="C62" s="71">
        <f>VLOOKUP(F62,[1]NUTS_Europa!$A$2:$C$81,3,FALSE)</f>
        <v>1069</v>
      </c>
      <c r="D62" s="71" t="str">
        <f>VLOOKUP(G62,[1]NUTS_Europa!$A$2:$C$81,2,FALSE)</f>
        <v>FRF2</v>
      </c>
      <c r="E62" s="71">
        <f>VLOOKUP(G62,[1]NUTS_Europa!$A$2:$C$81,3,FALSE)</f>
        <v>235</v>
      </c>
      <c r="F62" s="71">
        <v>48</v>
      </c>
      <c r="G62" s="71">
        <v>67</v>
      </c>
      <c r="H62" s="71">
        <v>1282025.4192142785</v>
      </c>
      <c r="I62" s="71">
        <v>624975.99300786876</v>
      </c>
      <c r="J62" s="71">
        <v>126450.71705482846</v>
      </c>
      <c r="K62" s="71">
        <v>20.905641025641028</v>
      </c>
      <c r="L62" s="71">
        <v>9.2924913245275853</v>
      </c>
      <c r="M62" s="71">
        <v>9.2742204153242884</v>
      </c>
      <c r="N62" s="71">
        <v>1827.1881523429399</v>
      </c>
    </row>
    <row r="63" spans="2:14" s="71" customFormat="1" x14ac:dyDescent="0.25">
      <c r="B63" s="71" t="str">
        <f>VLOOKUP(F63,[1]NUTS_Europa!$A$2:$C$81,2,FALSE)</f>
        <v>DEA1</v>
      </c>
      <c r="C63" s="71">
        <f>VLOOKUP(F63,[1]NUTS_Europa!$A$2:$C$81,3,FALSE)</f>
        <v>245</v>
      </c>
      <c r="D63" s="71" t="str">
        <f>VLOOKUP(G63,[1]NUTS_Europa!$A$2:$C$81,2,FALSE)</f>
        <v>ES11</v>
      </c>
      <c r="E63" s="71">
        <f>VLOOKUP(G63,[1]NUTS_Europa!$A$2:$C$81,3,FALSE)</f>
        <v>285</v>
      </c>
      <c r="F63" s="71">
        <v>49</v>
      </c>
      <c r="G63" s="71">
        <v>51</v>
      </c>
      <c r="H63" s="71">
        <v>58049.991944385321</v>
      </c>
      <c r="I63" s="71">
        <v>4876601.5780676613</v>
      </c>
      <c r="J63" s="71">
        <v>176841.96373917855</v>
      </c>
      <c r="K63" s="71">
        <v>51.586666666666666</v>
      </c>
      <c r="L63" s="71">
        <v>7.5456567027646031</v>
      </c>
      <c r="M63" s="71">
        <v>9.347503527921551E-2</v>
      </c>
      <c r="N63" s="71">
        <v>15.60948133635801</v>
      </c>
    </row>
    <row r="64" spans="2:14" s="71" customFormat="1" x14ac:dyDescent="0.25">
      <c r="B64" s="71" t="str">
        <f>VLOOKUP(F64,[1]NUTS_Europa!$A$2:$C$81,2,FALSE)</f>
        <v>DEA1</v>
      </c>
      <c r="C64" s="71">
        <f>VLOOKUP(F64,[1]NUTS_Europa!$A$2:$C$81,3,FALSE)</f>
        <v>245</v>
      </c>
      <c r="D64" s="71" t="str">
        <f>VLOOKUP(G64,[1]NUTS_Europa!$A$2:$C$81,2,FALSE)</f>
        <v>ES13</v>
      </c>
      <c r="E64" s="71">
        <f>VLOOKUP(G64,[1]NUTS_Europa!$A$2:$C$81,3,FALSE)</f>
        <v>285</v>
      </c>
      <c r="F64" s="71">
        <v>49</v>
      </c>
      <c r="G64" s="71">
        <v>53</v>
      </c>
      <c r="H64" s="71">
        <v>64792.928863621244</v>
      </c>
      <c r="I64" s="71">
        <v>4876601.5780676613</v>
      </c>
      <c r="J64" s="71">
        <v>199058.85825050285</v>
      </c>
      <c r="K64" s="71">
        <v>51.586666666666666</v>
      </c>
      <c r="L64" s="71">
        <v>7.5456567027646031</v>
      </c>
      <c r="M64" s="71">
        <v>9.347503527921551E-2</v>
      </c>
      <c r="N64" s="71">
        <v>15.60948133635801</v>
      </c>
    </row>
    <row r="65" spans="2:14" s="71" customFormat="1" x14ac:dyDescent="0.25">
      <c r="B65" s="71" t="str">
        <f>VLOOKUP(F65,[1]NUTS_Europa!$A$2:$C$81,2,FALSE)</f>
        <v>DEF0</v>
      </c>
      <c r="C65" s="71">
        <f>VLOOKUP(F65,[1]NUTS_Europa!$A$2:$C$81,3,FALSE)</f>
        <v>245</v>
      </c>
      <c r="D65" s="71" t="str">
        <f>VLOOKUP(G65,[1]NUTS_Europa!$A$2:$C$81,2,FALSE)</f>
        <v>FRH0</v>
      </c>
      <c r="E65" s="71">
        <f>VLOOKUP(G65,[1]NUTS_Europa!$A$2:$C$81,3,FALSE)</f>
        <v>282</v>
      </c>
      <c r="F65" s="71">
        <v>50</v>
      </c>
      <c r="G65" s="71">
        <v>63</v>
      </c>
      <c r="H65" s="71">
        <v>3310317.2486367542</v>
      </c>
      <c r="I65" s="71">
        <v>4055112.3527977141</v>
      </c>
      <c r="J65" s="71">
        <v>145035.59769143321</v>
      </c>
      <c r="K65" s="71">
        <v>45.43948717948718</v>
      </c>
      <c r="L65" s="71">
        <v>6.1016455775439606</v>
      </c>
      <c r="M65" s="71">
        <v>5.8366649748304695</v>
      </c>
      <c r="N65" s="71">
        <v>844.67441860465112</v>
      </c>
    </row>
    <row r="66" spans="2:14" s="71" customFormat="1" x14ac:dyDescent="0.25">
      <c r="B66" s="71" t="str">
        <f>VLOOKUP(F66,[1]NUTS_Europa!$A$2:$C$81,2,FALSE)</f>
        <v>DEF0</v>
      </c>
      <c r="C66" s="71">
        <f>VLOOKUP(F66,[1]NUTS_Europa!$A$2:$C$81,3,FALSE)</f>
        <v>245</v>
      </c>
      <c r="D66" s="71" t="str">
        <f>VLOOKUP(G66,[1]NUTS_Europa!$A$2:$C$81,2,FALSE)</f>
        <v>FRI3</v>
      </c>
      <c r="E66" s="71">
        <f>VLOOKUP(G66,[1]NUTS_Europa!$A$2:$C$81,3,FALSE)</f>
        <v>282</v>
      </c>
      <c r="F66" s="71">
        <v>50</v>
      </c>
      <c r="G66" s="71">
        <v>65</v>
      </c>
      <c r="H66" s="71">
        <v>3466694.3577762889</v>
      </c>
      <c r="I66" s="71">
        <v>4055112.3527977141</v>
      </c>
      <c r="J66" s="71">
        <v>191087.21980936834</v>
      </c>
      <c r="K66" s="71">
        <v>45.43948717948718</v>
      </c>
      <c r="L66" s="71">
        <v>6.1016455775439606</v>
      </c>
      <c r="M66" s="71">
        <v>5.8366649748304695</v>
      </c>
      <c r="N66" s="71">
        <v>844.67441860465112</v>
      </c>
    </row>
    <row r="67" spans="2:14" s="71" customFormat="1" x14ac:dyDescent="0.25">
      <c r="B67" s="71" t="str">
        <f>VLOOKUP(F67,[1]NUTS_Europa!$A$2:$C$81,2,FALSE)</f>
        <v>ES21</v>
      </c>
      <c r="C67" s="71">
        <f>VLOOKUP(F67,[1]NUTS_Europa!$A$2:$C$81,3,FALSE)</f>
        <v>1063</v>
      </c>
      <c r="D67" s="71" t="str">
        <f>VLOOKUP(G67,[1]NUTS_Europa!$A$2:$C$81,2,FALSE)</f>
        <v>ES61</v>
      </c>
      <c r="E67" s="71">
        <f>VLOOKUP(G67,[1]NUTS_Europa!$A$2:$C$81,3,FALSE)</f>
        <v>297</v>
      </c>
      <c r="F67" s="71">
        <v>54</v>
      </c>
      <c r="G67" s="71">
        <v>57</v>
      </c>
      <c r="H67" s="71">
        <v>1096981.2022487985</v>
      </c>
      <c r="I67" s="71">
        <v>4405504.1058233688</v>
      </c>
      <c r="J67" s="71">
        <v>199597.7643046609</v>
      </c>
      <c r="K67" s="71">
        <v>30.051282051282051</v>
      </c>
      <c r="L67" s="71">
        <v>12.311076614920346</v>
      </c>
      <c r="M67" s="71">
        <v>4.7125057536791193</v>
      </c>
      <c r="N67" s="71">
        <v>930.08609205874552</v>
      </c>
    </row>
    <row r="68" spans="2:14" s="71" customFormat="1" x14ac:dyDescent="0.25">
      <c r="B68" s="71" t="str">
        <f>VLOOKUP(F68,[1]NUTS_Europa!$A$2:$C$81,2,FALSE)</f>
        <v>ES21</v>
      </c>
      <c r="C68" s="71">
        <f>VLOOKUP(F68,[1]NUTS_Europa!$A$2:$C$81,3,FALSE)</f>
        <v>1063</v>
      </c>
      <c r="D68" s="71" t="str">
        <f>VLOOKUP(G68,[1]NUTS_Europa!$A$2:$C$81,2,FALSE)</f>
        <v>FRD2</v>
      </c>
      <c r="E68" s="71">
        <f>VLOOKUP(G68,[1]NUTS_Europa!$A$2:$C$81,3,FALSE)</f>
        <v>271</v>
      </c>
      <c r="F68" s="71">
        <v>54</v>
      </c>
      <c r="G68" s="71">
        <v>60</v>
      </c>
      <c r="H68" s="71">
        <v>313949.66733563109</v>
      </c>
      <c r="I68" s="71">
        <v>5255897.0254381448</v>
      </c>
      <c r="J68" s="71">
        <v>159445.52860932166</v>
      </c>
      <c r="K68" s="71">
        <v>85.589743589743591</v>
      </c>
      <c r="L68" s="71">
        <v>13.023642190971012</v>
      </c>
      <c r="M68" s="71">
        <v>2.1528814044332378</v>
      </c>
      <c r="N68" s="71">
        <v>359.51162790697668</v>
      </c>
    </row>
    <row r="69" spans="2:14" s="71" customFormat="1" x14ac:dyDescent="0.25">
      <c r="B69" s="71" t="str">
        <f>VLOOKUP(F69,[1]NUTS_Europa!$A$2:$C$81,2,FALSE)</f>
        <v>ES51</v>
      </c>
      <c r="C69" s="71">
        <f>VLOOKUP(F69,[1]NUTS_Europa!$A$2:$C$81,3,FALSE)</f>
        <v>1064</v>
      </c>
      <c r="D69" s="71" t="str">
        <f>VLOOKUP(G69,[1]NUTS_Europa!$A$2:$C$81,2,FALSE)</f>
        <v>ES61</v>
      </c>
      <c r="E69" s="71">
        <f>VLOOKUP(G69,[1]NUTS_Europa!$A$2:$C$81,3,FALSE)</f>
        <v>297</v>
      </c>
      <c r="F69" s="71">
        <v>55</v>
      </c>
      <c r="G69" s="71">
        <v>57</v>
      </c>
      <c r="H69" s="71">
        <v>782201.34882798255</v>
      </c>
      <c r="I69" s="71">
        <v>660926.5596144388</v>
      </c>
      <c r="J69" s="71">
        <v>117061.71481038857</v>
      </c>
      <c r="K69" s="71">
        <v>23.743589743589745</v>
      </c>
      <c r="L69" s="71">
        <v>11.551764489030216</v>
      </c>
      <c r="M69" s="71">
        <v>4.7125057536791193</v>
      </c>
      <c r="N69" s="71">
        <v>930.08609205874552</v>
      </c>
    </row>
    <row r="70" spans="2:14" s="71" customFormat="1" x14ac:dyDescent="0.25">
      <c r="B70" s="71" t="str">
        <f>VLOOKUP(F70,[1]NUTS_Europa!$A$2:$C$81,2,FALSE)</f>
        <v>ES51</v>
      </c>
      <c r="C70" s="71">
        <f>VLOOKUP(F70,[1]NUTS_Europa!$A$2:$C$81,3,FALSE)</f>
        <v>1064</v>
      </c>
      <c r="D70" s="71" t="str">
        <f>VLOOKUP(G70,[1]NUTS_Europa!$A$2:$C$81,2,FALSE)</f>
        <v>ES62</v>
      </c>
      <c r="E70" s="71">
        <f>VLOOKUP(G70,[1]NUTS_Europa!$A$2:$C$81,3,FALSE)</f>
        <v>462</v>
      </c>
      <c r="F70" s="71">
        <v>55</v>
      </c>
      <c r="G70" s="71">
        <v>58</v>
      </c>
      <c r="H70" s="71">
        <v>1085901.7965783025</v>
      </c>
      <c r="I70" s="71">
        <v>564448.23966863123</v>
      </c>
      <c r="J70" s="71">
        <v>114203.52260471623</v>
      </c>
      <c r="K70" s="71">
        <v>17.076923076923077</v>
      </c>
      <c r="L70" s="71">
        <v>8.654767077555487</v>
      </c>
      <c r="M70" s="71">
        <v>5.0951805388484495</v>
      </c>
      <c r="N70" s="71">
        <v>1005.6128954349939</v>
      </c>
    </row>
    <row r="71" spans="2:14" s="71" customFormat="1" x14ac:dyDescent="0.25">
      <c r="B71" s="71" t="str">
        <f>VLOOKUP(F71,[1]NUTS_Europa!$A$2:$C$81,2,FALSE)</f>
        <v>ES52</v>
      </c>
      <c r="C71" s="71">
        <f>VLOOKUP(F71,[1]NUTS_Europa!$A$2:$C$81,3,FALSE)</f>
        <v>1063</v>
      </c>
      <c r="D71" s="71" t="str">
        <f>VLOOKUP(G71,[1]NUTS_Europa!$A$2:$C$81,2,FALSE)</f>
        <v>ES62</v>
      </c>
      <c r="E71" s="71">
        <f>VLOOKUP(G71,[1]NUTS_Europa!$A$2:$C$81,3,FALSE)</f>
        <v>462</v>
      </c>
      <c r="F71" s="71">
        <v>56</v>
      </c>
      <c r="G71" s="71">
        <v>58</v>
      </c>
      <c r="H71" s="71">
        <v>1104072.8499373584</v>
      </c>
      <c r="I71" s="71">
        <v>4306422.006128964</v>
      </c>
      <c r="J71" s="71">
        <v>163171.48832599766</v>
      </c>
      <c r="K71" s="71">
        <v>23.589743589743591</v>
      </c>
      <c r="L71" s="71">
        <v>9.4140792034456169</v>
      </c>
      <c r="M71" s="71">
        <v>5.0951805388484495</v>
      </c>
      <c r="N71" s="71">
        <v>1005.6128954349939</v>
      </c>
    </row>
    <row r="72" spans="2:14" s="71" customFormat="1" x14ac:dyDescent="0.25">
      <c r="B72" s="71" t="str">
        <f>VLOOKUP(F72,[1]NUTS_Europa!$A$2:$C$81,2,FALSE)</f>
        <v>ES52</v>
      </c>
      <c r="C72" s="71">
        <f>VLOOKUP(F72,[1]NUTS_Europa!$A$2:$C$81,3,FALSE)</f>
        <v>1063</v>
      </c>
      <c r="D72" s="71" t="str">
        <f>VLOOKUP(G72,[1]NUTS_Europa!$A$2:$C$81,2,FALSE)</f>
        <v>FRD2</v>
      </c>
      <c r="E72" s="71">
        <f>VLOOKUP(G72,[1]NUTS_Europa!$A$2:$C$81,3,FALSE)</f>
        <v>271</v>
      </c>
      <c r="F72" s="71">
        <v>56</v>
      </c>
      <c r="G72" s="71">
        <v>60</v>
      </c>
      <c r="H72" s="71">
        <v>198772.20807981712</v>
      </c>
      <c r="I72" s="71">
        <v>5255897.0254381448</v>
      </c>
      <c r="J72" s="71">
        <v>145035.59769143321</v>
      </c>
      <c r="K72" s="71">
        <v>85.589743589743591</v>
      </c>
      <c r="L72" s="71">
        <v>13.023642190971012</v>
      </c>
      <c r="M72" s="71">
        <v>2.1528814044332378</v>
      </c>
      <c r="N72" s="71">
        <v>359.51162790697668</v>
      </c>
    </row>
    <row r="73" spans="2:14" s="71" customFormat="1" x14ac:dyDescent="0.25">
      <c r="B73" s="71" t="str">
        <f>VLOOKUP(F73,[1]NUTS_Europa!$A$2:$C$81,2,FALSE)</f>
        <v>FRD1</v>
      </c>
      <c r="C73" s="71">
        <f>VLOOKUP(F73,[1]NUTS_Europa!$A$2:$C$81,3,FALSE)</f>
        <v>269</v>
      </c>
      <c r="D73" s="71" t="str">
        <f>VLOOKUP(G73,[1]NUTS_Europa!$A$2:$C$81,2,FALSE)</f>
        <v>FRJ2</v>
      </c>
      <c r="E73" s="71">
        <f>VLOOKUP(G73,[1]NUTS_Europa!$A$2:$C$81,3,FALSE)</f>
        <v>163</v>
      </c>
      <c r="F73" s="71">
        <v>59</v>
      </c>
      <c r="G73" s="71">
        <v>68</v>
      </c>
      <c r="H73" s="71">
        <v>2897753.1922670826</v>
      </c>
      <c r="I73" s="71">
        <v>884686.44422346039</v>
      </c>
      <c r="J73" s="71">
        <v>145277.79316174539</v>
      </c>
      <c r="K73" s="71">
        <v>31.178974358974358</v>
      </c>
      <c r="L73" s="71">
        <v>11.750884643772764</v>
      </c>
      <c r="M73" s="71">
        <v>21.983672486967205</v>
      </c>
      <c r="N73" s="71">
        <v>3181.447942754919</v>
      </c>
    </row>
    <row r="74" spans="2:14" s="71" customFormat="1" x14ac:dyDescent="0.25">
      <c r="B74" s="71" t="str">
        <f>VLOOKUP(F74,[1]NUTS_Europa!$A$2:$C$81,2,FALSE)</f>
        <v>FRJ1</v>
      </c>
      <c r="C74" s="71">
        <f>VLOOKUP(F74,[1]NUTS_Europa!$A$2:$C$81,3,FALSE)</f>
        <v>1064</v>
      </c>
      <c r="D74" s="71" t="str">
        <f>VLOOKUP(G74,[1]NUTS_Europa!$A$2:$C$81,2,FALSE)</f>
        <v>PT11</v>
      </c>
      <c r="E74" s="71">
        <f>VLOOKUP(G74,[1]NUTS_Europa!$A$2:$C$81,3,FALSE)</f>
        <v>288</v>
      </c>
      <c r="F74" s="71">
        <v>66</v>
      </c>
      <c r="G74" s="71">
        <v>76</v>
      </c>
      <c r="H74" s="71">
        <v>833240.58862891595</v>
      </c>
      <c r="I74" s="71">
        <v>1059886.9987167357</v>
      </c>
      <c r="J74" s="71">
        <v>123614.25510828695</v>
      </c>
      <c r="K74" s="71">
        <v>46.769230769230766</v>
      </c>
      <c r="L74" s="71">
        <v>9.7993085247456548</v>
      </c>
      <c r="M74" s="71">
        <v>5.0185929442925525</v>
      </c>
      <c r="N74" s="71">
        <v>990.49714592846829</v>
      </c>
    </row>
    <row r="75" spans="2:14" s="71" customFormat="1" x14ac:dyDescent="0.25">
      <c r="B75" s="71" t="str">
        <f>VLOOKUP(F75,[1]NUTS_Europa!$A$2:$C$81,2,FALSE)</f>
        <v>FRJ1</v>
      </c>
      <c r="C75" s="71">
        <f>VLOOKUP(F75,[1]NUTS_Europa!$A$2:$C$81,3,FALSE)</f>
        <v>1064</v>
      </c>
      <c r="D75" s="71" t="str">
        <f>VLOOKUP(G75,[1]NUTS_Europa!$A$2:$C$81,2,FALSE)</f>
        <v>PT17</v>
      </c>
      <c r="E75" s="71">
        <f>VLOOKUP(G75,[1]NUTS_Europa!$A$2:$C$81,3,FALSE)</f>
        <v>297</v>
      </c>
      <c r="F75" s="71">
        <v>66</v>
      </c>
      <c r="G75" s="71">
        <v>79</v>
      </c>
      <c r="H75" s="71">
        <v>866464.35851022869</v>
      </c>
      <c r="I75" s="71">
        <v>660926.5596144388</v>
      </c>
      <c r="J75" s="71">
        <v>192445.71807502842</v>
      </c>
      <c r="K75" s="71">
        <v>23.743589743589745</v>
      </c>
      <c r="L75" s="71">
        <v>11.551764489030216</v>
      </c>
      <c r="M75" s="71">
        <v>4.7125057536791193</v>
      </c>
      <c r="N75" s="71">
        <v>930.08609205874552</v>
      </c>
    </row>
    <row r="76" spans="2:14" s="71" customFormat="1" x14ac:dyDescent="0.25">
      <c r="B76" s="71" t="str">
        <f>VLOOKUP(F76,[1]NUTS_Europa!$A$2:$C$81,2,FALSE)</f>
        <v>NL12</v>
      </c>
      <c r="C76" s="71">
        <f>VLOOKUP(F76,[1]NUTS_Europa!$A$2:$C$81,3,FALSE)</f>
        <v>250</v>
      </c>
      <c r="D76" s="71" t="str">
        <f>VLOOKUP(G76,[1]NUTS_Europa!$A$2:$C$81,2,FALSE)</f>
        <v>PT11</v>
      </c>
      <c r="E76" s="71">
        <f>VLOOKUP(G76,[1]NUTS_Europa!$A$2:$C$81,3,FALSE)</f>
        <v>288</v>
      </c>
      <c r="F76" s="71">
        <v>71</v>
      </c>
      <c r="G76" s="71">
        <v>76</v>
      </c>
      <c r="H76" s="71">
        <v>725957.52274757868</v>
      </c>
      <c r="I76" s="71">
        <v>1188183.5892786335</v>
      </c>
      <c r="J76" s="71">
        <v>142841.86171918266</v>
      </c>
      <c r="K76" s="71">
        <v>46.657435897435903</v>
      </c>
      <c r="L76" s="71">
        <v>11.026234578195908</v>
      </c>
      <c r="M76" s="71">
        <v>5.9314434390571567</v>
      </c>
      <c r="N76" s="71">
        <v>990.49714592846829</v>
      </c>
    </row>
    <row r="77" spans="2:14" s="71" customFormat="1" x14ac:dyDescent="0.25">
      <c r="B77" s="71" t="str">
        <f>VLOOKUP(F77,[1]NUTS_Europa!$A$2:$C$81,2,FALSE)</f>
        <v>NL12</v>
      </c>
      <c r="C77" s="71">
        <f>VLOOKUP(F77,[1]NUTS_Europa!$A$2:$C$81,3,FALSE)</f>
        <v>250</v>
      </c>
      <c r="D77" s="71" t="str">
        <f>VLOOKUP(G77,[1]NUTS_Europa!$A$2:$C$81,2,FALSE)</f>
        <v>PT16</v>
      </c>
      <c r="E77" s="71">
        <f>VLOOKUP(G77,[1]NUTS_Europa!$A$2:$C$81,3,FALSE)</f>
        <v>294</v>
      </c>
      <c r="F77" s="71">
        <v>71</v>
      </c>
      <c r="G77" s="71">
        <v>78</v>
      </c>
      <c r="H77" s="71">
        <v>2509754.128254714</v>
      </c>
      <c r="I77" s="71">
        <v>1268971.9235156844</v>
      </c>
      <c r="J77" s="71">
        <v>135416.16142478216</v>
      </c>
      <c r="K77" s="71">
        <v>57.318461538461541</v>
      </c>
      <c r="L77" s="71">
        <v>9.3122952715058407</v>
      </c>
      <c r="M77" s="71">
        <v>18.610551183211584</v>
      </c>
      <c r="N77" s="71">
        <v>3107.7929041260345</v>
      </c>
    </row>
    <row r="78" spans="2:14" s="71" customFormat="1" x14ac:dyDescent="0.25">
      <c r="B78" s="71" t="str">
        <f>VLOOKUP(F78,[1]NUTS_Europa!$A$2:$C$81,2,FALSE)</f>
        <v>NL32</v>
      </c>
      <c r="C78" s="71">
        <f>VLOOKUP(F78,[1]NUTS_Europa!$A$2:$C$81,3,FALSE)</f>
        <v>253</v>
      </c>
      <c r="D78" s="71" t="str">
        <f>VLOOKUP(G78,[1]NUTS_Europa!$A$2:$C$81,2,FALSE)</f>
        <v>NL34</v>
      </c>
      <c r="E78" s="71">
        <f>VLOOKUP(G78,[1]NUTS_Europa!$A$2:$C$81,3,FALSE)</f>
        <v>218</v>
      </c>
      <c r="F78" s="71">
        <v>72</v>
      </c>
      <c r="G78" s="71">
        <v>74</v>
      </c>
      <c r="H78" s="71">
        <v>2852953.9381795069</v>
      </c>
      <c r="I78" s="71">
        <v>577125.76727799885</v>
      </c>
      <c r="J78" s="71">
        <v>120125.80522925351</v>
      </c>
      <c r="K78" s="71">
        <v>9.1789743589743598</v>
      </c>
      <c r="L78" s="71">
        <v>9.9682844076514563</v>
      </c>
      <c r="M78" s="71">
        <v>31.736643810204658</v>
      </c>
      <c r="N78" s="71">
        <v>5603.5863070190189</v>
      </c>
    </row>
    <row r="79" spans="2:14" s="71" customFormat="1" x14ac:dyDescent="0.25">
      <c r="B79" s="71" t="str">
        <f>VLOOKUP(F79,[1]NUTS_Europa!$A$2:$C$81,2,FALSE)</f>
        <v>NL32</v>
      </c>
      <c r="C79" s="71">
        <f>VLOOKUP(F79,[1]NUTS_Europa!$A$2:$C$81,3,FALSE)</f>
        <v>253</v>
      </c>
      <c r="D79" s="71" t="str">
        <f>VLOOKUP(G79,[1]NUTS_Europa!$A$2:$C$81,2,FALSE)</f>
        <v>NL41</v>
      </c>
      <c r="E79" s="71">
        <f>VLOOKUP(G79,[1]NUTS_Europa!$A$2:$C$81,3,FALSE)</f>
        <v>218</v>
      </c>
      <c r="F79" s="71">
        <v>72</v>
      </c>
      <c r="G79" s="71">
        <v>75</v>
      </c>
      <c r="H79" s="71">
        <v>2448290.9530181284</v>
      </c>
      <c r="I79" s="71">
        <v>577125.76727799885</v>
      </c>
      <c r="J79" s="71">
        <v>159445.52860932166</v>
      </c>
      <c r="K79" s="71">
        <v>9.1789743589743598</v>
      </c>
      <c r="L79" s="71">
        <v>9.9682844076514563</v>
      </c>
      <c r="M79" s="71">
        <v>31.736643810204658</v>
      </c>
      <c r="N79" s="71">
        <v>5603.5863070190189</v>
      </c>
    </row>
    <row r="80" spans="2:14" s="71" customFormat="1" x14ac:dyDescent="0.25">
      <c r="B80" s="71" t="str">
        <f>VLOOKUP(F80,[1]NUTS_Europa!$A$2:$C$81,2,FALSE)</f>
        <v>NL33</v>
      </c>
      <c r="C80" s="71">
        <f>VLOOKUP(F80,[1]NUTS_Europa!$A$2:$C$81,3,FALSE)</f>
        <v>220</v>
      </c>
      <c r="D80" s="71" t="str">
        <f>VLOOKUP(G80,[1]NUTS_Europa!$A$2:$C$81,2,FALSE)</f>
        <v>NL34</v>
      </c>
      <c r="E80" s="71">
        <f>VLOOKUP(G80,[1]NUTS_Europa!$A$2:$C$81,3,FALSE)</f>
        <v>218</v>
      </c>
      <c r="F80" s="71">
        <v>73</v>
      </c>
      <c r="G80" s="71">
        <v>74</v>
      </c>
      <c r="H80" s="71">
        <v>3021101.3024680642</v>
      </c>
      <c r="I80" s="71">
        <v>464529.05252707616</v>
      </c>
      <c r="J80" s="71">
        <v>145277.79316174539</v>
      </c>
      <c r="K80" s="71">
        <v>6.4102564102564106</v>
      </c>
      <c r="L80" s="71">
        <v>6.3074823908092039</v>
      </c>
      <c r="M80" s="71">
        <v>28.318653762506099</v>
      </c>
      <c r="N80" s="71">
        <v>5603.5863070190189</v>
      </c>
    </row>
    <row r="81" spans="1:25" s="71" customFormat="1" x14ac:dyDescent="0.25">
      <c r="B81" s="71" t="str">
        <f>VLOOKUP(F81,[1]NUTS_Europa!$A$2:$C$81,2,FALSE)</f>
        <v>NL33</v>
      </c>
      <c r="C81" s="71">
        <f>VLOOKUP(F81,[1]NUTS_Europa!$A$2:$C$81,3,FALSE)</f>
        <v>220</v>
      </c>
      <c r="D81" s="71" t="str">
        <f>VLOOKUP(G81,[1]NUTS_Europa!$A$2:$C$81,2,FALSE)</f>
        <v>NL41</v>
      </c>
      <c r="E81" s="71">
        <f>VLOOKUP(G81,[1]NUTS_Europa!$A$2:$C$81,3,FALSE)</f>
        <v>218</v>
      </c>
      <c r="F81" s="71">
        <v>73</v>
      </c>
      <c r="G81" s="71">
        <v>75</v>
      </c>
      <c r="H81" s="71">
        <v>2616438.3173066862</v>
      </c>
      <c r="I81" s="71">
        <v>464529.05252707616</v>
      </c>
      <c r="J81" s="71">
        <v>176841.96373917855</v>
      </c>
      <c r="K81" s="71">
        <v>6.4102564102564106</v>
      </c>
      <c r="L81" s="71">
        <v>6.3074823908092039</v>
      </c>
      <c r="M81" s="71">
        <v>28.318653762506099</v>
      </c>
      <c r="N81" s="71">
        <v>5603.5863070190189</v>
      </c>
    </row>
    <row r="82" spans="1:25" s="71" customFormat="1" x14ac:dyDescent="0.25">
      <c r="B82" s="71" t="str">
        <f>VLOOKUP(F82,[1]NUTS_Europa!$A$2:$C$81,2,FALSE)</f>
        <v>PT15</v>
      </c>
      <c r="C82" s="71">
        <f>VLOOKUP(F82,[1]NUTS_Europa!$A$2:$C$81,3,FALSE)</f>
        <v>61</v>
      </c>
      <c r="D82" s="71" t="str">
        <f>VLOOKUP(G82,[1]NUTS_Europa!$A$2:$C$81,2,FALSE)</f>
        <v>PT16</v>
      </c>
      <c r="E82" s="71">
        <f>VLOOKUP(G82,[1]NUTS_Europa!$A$2:$C$81,3,FALSE)</f>
        <v>294</v>
      </c>
      <c r="F82" s="71">
        <v>77</v>
      </c>
      <c r="G82" s="71">
        <v>78</v>
      </c>
      <c r="H82" s="71">
        <v>2609086.0153994025</v>
      </c>
      <c r="I82" s="71">
        <v>514998.18913535884</v>
      </c>
      <c r="J82" s="71">
        <v>127001.21695280854</v>
      </c>
      <c r="K82" s="71">
        <v>15.779487179487178</v>
      </c>
      <c r="L82" s="71">
        <v>6.9417190808761422</v>
      </c>
      <c r="M82" s="71">
        <v>14.657076287235</v>
      </c>
      <c r="N82" s="71">
        <v>3107.7929041260345</v>
      </c>
    </row>
    <row r="83" spans="1:25" s="71" customFormat="1" x14ac:dyDescent="0.25">
      <c r="B83" s="71" t="str">
        <f>VLOOKUP(F83,[1]NUTS_Europa!$A$2:$C$81,2,FALSE)</f>
        <v>PT15</v>
      </c>
      <c r="C83" s="71">
        <f>VLOOKUP(F83,[1]NUTS_Europa!$A$2:$C$81,3,FALSE)</f>
        <v>61</v>
      </c>
      <c r="D83" s="71" t="str">
        <f>VLOOKUP(G83,[1]NUTS_Europa!$A$2:$C$81,2,FALSE)</f>
        <v>PT17</v>
      </c>
      <c r="E83" s="71">
        <f>VLOOKUP(G83,[1]NUTS_Europa!$A$2:$C$81,3,FALSE)</f>
        <v>297</v>
      </c>
      <c r="F83" s="71">
        <v>77</v>
      </c>
      <c r="G83" s="71">
        <v>79</v>
      </c>
      <c r="H83" s="71">
        <v>792944.8500540551</v>
      </c>
      <c r="I83" s="71">
        <v>338348.99995969428</v>
      </c>
      <c r="J83" s="71">
        <v>113696.3812050019</v>
      </c>
      <c r="K83" s="71">
        <v>3.8461538461538463</v>
      </c>
      <c r="L83" s="71">
        <v>10.40811435185077</v>
      </c>
      <c r="M83" s="71">
        <v>4.3865029702920184</v>
      </c>
      <c r="N83" s="71">
        <v>930.08609205874552</v>
      </c>
    </row>
    <row r="84" spans="1:25" s="71" customFormat="1" x14ac:dyDescent="0.25"/>
    <row r="85" spans="1:25" s="71" customFormat="1" x14ac:dyDescent="0.25">
      <c r="B85" s="71" t="s">
        <v>132</v>
      </c>
    </row>
    <row r="86" spans="1:25" s="71" customFormat="1" x14ac:dyDescent="0.25">
      <c r="A86" s="71" t="s">
        <v>148</v>
      </c>
      <c r="B86" s="71" t="s">
        <v>134</v>
      </c>
      <c r="C86" s="71" t="s">
        <v>135</v>
      </c>
      <c r="D86" s="71" t="s">
        <v>131</v>
      </c>
      <c r="E86" s="71" t="s">
        <v>136</v>
      </c>
      <c r="F86" s="71" t="s">
        <v>39</v>
      </c>
      <c r="G86" s="71" t="s">
        <v>40</v>
      </c>
      <c r="H86" s="71" t="s">
        <v>137</v>
      </c>
      <c r="I86" s="71" t="s">
        <v>133</v>
      </c>
      <c r="K86" s="71" t="s">
        <v>41</v>
      </c>
      <c r="L86" s="71" t="s">
        <v>42</v>
      </c>
      <c r="M86" s="71" t="s">
        <v>43</v>
      </c>
      <c r="N86" s="71" t="s">
        <v>44</v>
      </c>
      <c r="O86" s="71" t="s">
        <v>45</v>
      </c>
      <c r="P86" s="71" t="e">
        <f>#REF!</f>
        <v>#REF!</v>
      </c>
      <c r="Q86" s="71" t="e">
        <f>#REF!</f>
        <v>#REF!</v>
      </c>
      <c r="R86" s="71" t="e">
        <f>#REF!</f>
        <v>#REF!</v>
      </c>
      <c r="S86" s="71" t="e">
        <f>#REF!</f>
        <v>#REF!</v>
      </c>
      <c r="T86" s="71" t="e">
        <f>#REF!</f>
        <v>#REF!</v>
      </c>
      <c r="U86" s="71" t="e">
        <f>#REF!</f>
        <v>#REF!</v>
      </c>
      <c r="V86" s="71" t="e">
        <f>#REF!</f>
        <v>#REF!</v>
      </c>
      <c r="W86" s="71" t="e">
        <f>#REF!</f>
        <v>#REF!</v>
      </c>
      <c r="X86" s="71" t="e">
        <f>#REF!</f>
        <v>#REF!</v>
      </c>
      <c r="Y86" s="71" t="e">
        <f>#REF!</f>
        <v>#REF!</v>
      </c>
    </row>
    <row r="87" spans="1:25" s="71" customFormat="1" x14ac:dyDescent="0.25">
      <c r="B87" s="71" t="str">
        <f>VLOOKUP(F87,[1]NUTS_Europa!$A$2:$C$81,2,FALSE)</f>
        <v>NL12</v>
      </c>
      <c r="C87" s="71">
        <f>VLOOKUP(F87,[1]NUTS_Europa!$A$2:$C$81,3,FALSE)</f>
        <v>250</v>
      </c>
      <c r="D87" s="71" t="str">
        <f>VLOOKUP(G87,[1]NUTS_Europa!$A$2:$C$81,2,FALSE)</f>
        <v>PT11</v>
      </c>
      <c r="E87" s="71">
        <f>VLOOKUP(G87,[1]NUTS_Europa!$A$2:$C$81,3,FALSE)</f>
        <v>288</v>
      </c>
      <c r="F87" s="71">
        <v>71</v>
      </c>
      <c r="G87" s="71">
        <v>76</v>
      </c>
      <c r="H87" s="73">
        <v>725957.52274757868</v>
      </c>
      <c r="I87" s="73">
        <v>1188183.5892786335</v>
      </c>
      <c r="K87" s="74">
        <v>142841.86171918266</v>
      </c>
      <c r="L87" s="75">
        <v>46.657435897435903</v>
      </c>
      <c r="M87" s="75">
        <v>11.026234578195908</v>
      </c>
      <c r="N87" s="75">
        <v>5.9314434390571567</v>
      </c>
      <c r="O87" s="74">
        <v>990.49714592846829</v>
      </c>
    </row>
    <row r="88" spans="1:25" s="71" customFormat="1" x14ac:dyDescent="0.25">
      <c r="B88" s="71" t="str">
        <f>VLOOKUP(G88,[1]NUTS_Europa!$A$2:$C$81,2,FALSE)</f>
        <v>PT11</v>
      </c>
      <c r="C88" s="71">
        <f>VLOOKUP(G88,[1]NUTS_Europa!$A$2:$C$81,3,FALSE)</f>
        <v>288</v>
      </c>
      <c r="D88" s="71" t="str">
        <f>VLOOKUP(F88,[1]NUTS_Europa!$A$2:$C$81,2,FALSE)</f>
        <v>FRJ1</v>
      </c>
      <c r="E88" s="71">
        <f>VLOOKUP(F88,[1]NUTS_Europa!$A$2:$C$81,3,FALSE)</f>
        <v>1064</v>
      </c>
      <c r="F88" s="71">
        <v>66</v>
      </c>
      <c r="G88" s="71">
        <v>76</v>
      </c>
      <c r="H88" s="73">
        <v>833240.58862891595</v>
      </c>
      <c r="I88" s="73">
        <v>1059886.9987167357</v>
      </c>
      <c r="K88" s="74">
        <v>123614.25510828695</v>
      </c>
      <c r="L88" s="75">
        <v>46.769230769230766</v>
      </c>
      <c r="M88" s="75">
        <v>9.7993085247456548</v>
      </c>
      <c r="N88" s="75">
        <v>5.0185929442925525</v>
      </c>
      <c r="O88" s="74">
        <v>990.49714592846829</v>
      </c>
    </row>
    <row r="89" spans="1:25" s="71" customFormat="1" x14ac:dyDescent="0.25">
      <c r="B89" s="71" t="str">
        <f>VLOOKUP(F89,[1]NUTS_Europa!$A$2:$C$81,2,FALSE)</f>
        <v>FRJ1</v>
      </c>
      <c r="C89" s="71">
        <f>VLOOKUP(F89,[1]NUTS_Europa!$A$2:$C$81,3,FALSE)</f>
        <v>1064</v>
      </c>
      <c r="D89" s="71" t="str">
        <f>VLOOKUP(G89,[1]NUTS_Europa!$A$2:$C$81,2,FALSE)</f>
        <v>PT17</v>
      </c>
      <c r="E89" s="71">
        <f>VLOOKUP(G89,[1]NUTS_Europa!$A$2:$C$81,3,FALSE)</f>
        <v>297</v>
      </c>
      <c r="F89" s="71">
        <v>66</v>
      </c>
      <c r="G89" s="71">
        <v>79</v>
      </c>
      <c r="H89" s="73">
        <v>866464.35851022869</v>
      </c>
      <c r="I89" s="73">
        <v>660926.5596144388</v>
      </c>
      <c r="K89" s="74">
        <v>192445.71807502842</v>
      </c>
      <c r="L89" s="75">
        <v>23.743589743589745</v>
      </c>
      <c r="M89" s="75">
        <v>11.551764489030216</v>
      </c>
      <c r="N89" s="75">
        <v>4.7125057536791193</v>
      </c>
      <c r="O89" s="74">
        <v>930.08609205874552</v>
      </c>
    </row>
    <row r="90" spans="1:25" s="71" customFormat="1" x14ac:dyDescent="0.25">
      <c r="B90" s="71" t="str">
        <f>VLOOKUP(G90,[1]NUTS_Europa!$A$2:$C$81,2,FALSE)</f>
        <v>PT17</v>
      </c>
      <c r="C90" s="71">
        <f>VLOOKUP(G90,[1]NUTS_Europa!$A$2:$C$81,3,FALSE)</f>
        <v>297</v>
      </c>
      <c r="D90" s="71" t="str">
        <f>VLOOKUP(F90,[1]NUTS_Europa!$A$2:$C$81,2,FALSE)</f>
        <v>PT15</v>
      </c>
      <c r="E90" s="71">
        <f>VLOOKUP(F90,[1]NUTS_Europa!$A$2:$C$81,3,FALSE)</f>
        <v>61</v>
      </c>
      <c r="F90" s="71">
        <v>77</v>
      </c>
      <c r="G90" s="71">
        <v>79</v>
      </c>
      <c r="H90" s="73">
        <v>792944.8500540551</v>
      </c>
      <c r="I90" s="73">
        <v>338348.99995969428</v>
      </c>
      <c r="K90" s="74">
        <v>113696.3812050019</v>
      </c>
      <c r="L90" s="75">
        <v>3.8461538461538463</v>
      </c>
      <c r="M90" s="75">
        <v>10.40811435185077</v>
      </c>
      <c r="N90" s="75">
        <v>4.3865029702920184</v>
      </c>
      <c r="O90" s="74">
        <v>930.08609205874552</v>
      </c>
    </row>
    <row r="91" spans="1:25" s="71" customFormat="1" x14ac:dyDescent="0.25">
      <c r="B91" s="71" t="str">
        <f>VLOOKUP(F91,[1]NUTS_Europa!$A$2:$C$81,2,FALSE)</f>
        <v>PT15</v>
      </c>
      <c r="C91" s="71">
        <f>VLOOKUP(F91,[1]NUTS_Europa!$A$2:$C$81,3,FALSE)</f>
        <v>61</v>
      </c>
      <c r="D91" s="71" t="str">
        <f>VLOOKUP(G91,[1]NUTS_Europa!$A$2:$C$81,2,FALSE)</f>
        <v>PT16</v>
      </c>
      <c r="E91" s="71">
        <f>VLOOKUP(G91,[1]NUTS_Europa!$A$2:$C$81,3,FALSE)</f>
        <v>294</v>
      </c>
      <c r="F91" s="71">
        <v>77</v>
      </c>
      <c r="G91" s="71">
        <v>78</v>
      </c>
      <c r="H91" s="73">
        <v>2609086.0153994025</v>
      </c>
      <c r="I91" s="73">
        <v>514998.18913535884</v>
      </c>
      <c r="K91" s="74">
        <v>127001.21695280854</v>
      </c>
      <c r="L91" s="75">
        <v>15.779487179487178</v>
      </c>
      <c r="M91" s="75">
        <v>6.9417190808761422</v>
      </c>
      <c r="N91" s="75">
        <v>14.657076287235</v>
      </c>
      <c r="O91" s="74">
        <v>3107.7929041260345</v>
      </c>
    </row>
    <row r="92" spans="1:25" s="71" customFormat="1" x14ac:dyDescent="0.25">
      <c r="B92" s="71" t="str">
        <f>VLOOKUP(G92,[1]NUTS_Europa!$A$2:$C$81,2,FALSE)</f>
        <v>PT16</v>
      </c>
      <c r="C92" s="71">
        <f>VLOOKUP(G92,[1]NUTS_Europa!$A$2:$C$81,3,FALSE)</f>
        <v>294</v>
      </c>
      <c r="D92" s="71" t="str">
        <f>VLOOKUP(F92,[1]NUTS_Europa!$A$2:$C$81,2,FALSE)</f>
        <v>NL12</v>
      </c>
      <c r="E92" s="71">
        <f>VLOOKUP(F92,[1]NUTS_Europa!$A$2:$C$81,3,FALSE)</f>
        <v>250</v>
      </c>
      <c r="F92" s="71">
        <v>71</v>
      </c>
      <c r="G92" s="71">
        <v>78</v>
      </c>
      <c r="H92" s="73">
        <v>2509754.128254714</v>
      </c>
      <c r="I92" s="73">
        <v>1268971.9235156844</v>
      </c>
      <c r="K92" s="74">
        <v>135416.16142478216</v>
      </c>
      <c r="L92" s="75">
        <v>57.318461538461541</v>
      </c>
      <c r="M92" s="75">
        <v>9.3122952715058407</v>
      </c>
      <c r="N92" s="75">
        <v>18.610551183211584</v>
      </c>
      <c r="O92" s="74">
        <v>3107.7929041260345</v>
      </c>
    </row>
    <row r="93" spans="1:25" s="71" customFormat="1" x14ac:dyDescent="0.25"/>
    <row r="94" spans="1:25" s="71" customFormat="1" x14ac:dyDescent="0.25">
      <c r="B94" s="71" t="s">
        <v>138</v>
      </c>
    </row>
    <row r="95" spans="1:25" s="71" customFormat="1" x14ac:dyDescent="0.25">
      <c r="B95" s="71" t="s">
        <v>134</v>
      </c>
      <c r="C95" s="71" t="s">
        <v>135</v>
      </c>
      <c r="D95" s="71" t="s">
        <v>131</v>
      </c>
      <c r="E95" s="71" t="s">
        <v>136</v>
      </c>
      <c r="F95" s="71" t="s">
        <v>39</v>
      </c>
      <c r="G95" s="71" t="s">
        <v>40</v>
      </c>
      <c r="H95" s="71" t="s">
        <v>137</v>
      </c>
      <c r="I95" s="71" t="s">
        <v>133</v>
      </c>
      <c r="J95" s="71" t="s">
        <v>41</v>
      </c>
      <c r="K95" s="71" t="s">
        <v>42</v>
      </c>
      <c r="L95" s="71" t="s">
        <v>43</v>
      </c>
      <c r="M95" s="71" t="s">
        <v>44</v>
      </c>
      <c r="N95" s="71" t="s">
        <v>45</v>
      </c>
    </row>
    <row r="96" spans="1:25" s="71" customFormat="1" x14ac:dyDescent="0.25">
      <c r="A96" s="71" t="s">
        <v>149</v>
      </c>
      <c r="B96" s="71" t="str">
        <f>VLOOKUP(F96,[1]NUTS_Europa!$A$2:$C$81,2,FALSE)</f>
        <v>ES21</v>
      </c>
      <c r="C96" s="71">
        <f>VLOOKUP(F96,[1]NUTS_Europa!$A$2:$C$81,3,FALSE)</f>
        <v>1063</v>
      </c>
      <c r="D96" s="71" t="str">
        <f>VLOOKUP(G96,[1]NUTS_Europa!$A$2:$C$81,2,FALSE)</f>
        <v>ES61</v>
      </c>
      <c r="E96" s="71">
        <f>VLOOKUP(G96,[1]NUTS_Europa!$A$2:$C$81,3,FALSE)</f>
        <v>297</v>
      </c>
      <c r="F96" s="71">
        <v>54</v>
      </c>
      <c r="G96" s="71">
        <v>57</v>
      </c>
      <c r="H96" s="71">
        <v>1096981.2022487985</v>
      </c>
      <c r="I96" s="71">
        <v>4405504.1058233688</v>
      </c>
      <c r="J96" s="71">
        <v>199597.7643046609</v>
      </c>
      <c r="K96" s="71">
        <v>30.051282051282051</v>
      </c>
      <c r="L96" s="71">
        <v>12.311076614920346</v>
      </c>
      <c r="M96" s="71">
        <v>4.7125057536791193</v>
      </c>
      <c r="N96" s="71">
        <v>930.08609205874552</v>
      </c>
    </row>
    <row r="97" spans="1:28" s="71" customFormat="1" x14ac:dyDescent="0.25">
      <c r="B97" s="71" t="str">
        <f>VLOOKUP(G97,[1]NUTS_Europa!$A$2:$C$81,2,FALSE)</f>
        <v>ES61</v>
      </c>
      <c r="C97" s="71">
        <f>VLOOKUP(G97,[1]NUTS_Europa!$A$2:$C$81,3,FALSE)</f>
        <v>297</v>
      </c>
      <c r="D97" s="71" t="str">
        <f>VLOOKUP(F97,[1]NUTS_Europa!$A$2:$C$81,2,FALSE)</f>
        <v>ES51</v>
      </c>
      <c r="E97" s="71">
        <f>VLOOKUP(F97,[1]NUTS_Europa!$A$2:$C$81,3,FALSE)</f>
        <v>1064</v>
      </c>
      <c r="F97" s="71">
        <v>55</v>
      </c>
      <c r="G97" s="71">
        <v>57</v>
      </c>
      <c r="H97" s="71">
        <v>782201.34882798255</v>
      </c>
      <c r="I97" s="71">
        <v>660926.5596144388</v>
      </c>
      <c r="J97" s="71">
        <v>117061.71481038857</v>
      </c>
      <c r="K97" s="71">
        <v>23.743589743589745</v>
      </c>
      <c r="L97" s="71">
        <v>11.551764489030216</v>
      </c>
      <c r="M97" s="71">
        <v>4.7125057536791193</v>
      </c>
      <c r="N97" s="71">
        <v>930.08609205874552</v>
      </c>
    </row>
    <row r="98" spans="1:28" s="71" customFormat="1" x14ac:dyDescent="0.25">
      <c r="B98" s="71" t="str">
        <f>VLOOKUP(F98,[1]NUTS_Europa!$A$2:$C$81,2,FALSE)</f>
        <v>ES51</v>
      </c>
      <c r="C98" s="71">
        <f>VLOOKUP(F98,[1]NUTS_Europa!$A$2:$C$81,3,FALSE)</f>
        <v>1064</v>
      </c>
      <c r="D98" s="71" t="str">
        <f>VLOOKUP(G98,[1]NUTS_Europa!$A$2:$C$81,2,FALSE)</f>
        <v>ES62</v>
      </c>
      <c r="E98" s="71">
        <f>VLOOKUP(G98,[1]NUTS_Europa!$A$2:$C$81,3,FALSE)</f>
        <v>462</v>
      </c>
      <c r="F98" s="71">
        <v>55</v>
      </c>
      <c r="G98" s="71">
        <v>58</v>
      </c>
      <c r="H98" s="71">
        <v>1085901.7965783025</v>
      </c>
      <c r="I98" s="71">
        <v>564448.23966863123</v>
      </c>
      <c r="J98" s="71">
        <v>114203.52260471623</v>
      </c>
      <c r="K98" s="71">
        <v>17.076923076923077</v>
      </c>
      <c r="L98" s="71">
        <v>8.654767077555487</v>
      </c>
      <c r="M98" s="71">
        <v>5.0951805388484495</v>
      </c>
      <c r="N98" s="71">
        <v>1005.6128954349939</v>
      </c>
    </row>
    <row r="99" spans="1:28" s="71" customFormat="1" x14ac:dyDescent="0.25">
      <c r="B99" s="71" t="str">
        <f>VLOOKUP(G99,[1]NUTS_Europa!$A$2:$C$81,2,FALSE)</f>
        <v>ES62</v>
      </c>
      <c r="C99" s="71">
        <f>VLOOKUP(G99,[1]NUTS_Europa!$A$2:$C$81,3,FALSE)</f>
        <v>462</v>
      </c>
      <c r="D99" s="71" t="str">
        <f>VLOOKUP(F99,[1]NUTS_Europa!$A$2:$C$81,2,FALSE)</f>
        <v>ES52</v>
      </c>
      <c r="E99" s="71">
        <f>VLOOKUP(F99,[1]NUTS_Europa!$A$2:$C$81,3,FALSE)</f>
        <v>1063</v>
      </c>
      <c r="F99" s="71">
        <v>56</v>
      </c>
      <c r="G99" s="71">
        <v>58</v>
      </c>
      <c r="H99" s="71">
        <v>1104072.8499373584</v>
      </c>
      <c r="I99" s="71">
        <v>4306422.006128964</v>
      </c>
      <c r="J99" s="71">
        <v>163171.48832599766</v>
      </c>
      <c r="K99" s="71">
        <v>23.589743589743591</v>
      </c>
      <c r="L99" s="71">
        <v>9.4140792034456169</v>
      </c>
      <c r="M99" s="71">
        <v>5.0951805388484495</v>
      </c>
      <c r="N99" s="71">
        <v>1005.6128954349939</v>
      </c>
    </row>
    <row r="100" spans="1:28" s="71" customFormat="1" x14ac:dyDescent="0.25">
      <c r="B100" s="71" t="str">
        <f>VLOOKUP(F100,[1]NUTS_Europa!$A$2:$C$81,2,FALSE)</f>
        <v>ES52</v>
      </c>
      <c r="C100" s="71">
        <f>VLOOKUP(F100,[1]NUTS_Europa!$A$2:$C$81,3,FALSE)</f>
        <v>1063</v>
      </c>
      <c r="D100" s="71" t="str">
        <f>VLOOKUP(G100,[1]NUTS_Europa!$A$2:$C$81,2,FALSE)</f>
        <v>FRD2</v>
      </c>
      <c r="E100" s="71">
        <f>VLOOKUP(G100,[1]NUTS_Europa!$A$2:$C$81,3,FALSE)</f>
        <v>271</v>
      </c>
      <c r="F100" s="71">
        <v>56</v>
      </c>
      <c r="G100" s="71">
        <v>60</v>
      </c>
      <c r="H100" s="71">
        <v>198772.20807981712</v>
      </c>
      <c r="I100" s="71">
        <v>5255897.0254381448</v>
      </c>
      <c r="J100" s="71">
        <v>145035.59769143321</v>
      </c>
      <c r="K100" s="71">
        <v>85.589743589743591</v>
      </c>
      <c r="L100" s="71">
        <v>13.023642190971012</v>
      </c>
      <c r="M100" s="71">
        <v>2.1528814044332378</v>
      </c>
      <c r="N100" s="71">
        <v>359.51162790697668</v>
      </c>
    </row>
    <row r="101" spans="1:28" s="71" customFormat="1" x14ac:dyDescent="0.25">
      <c r="B101" s="71" t="str">
        <f>VLOOKUP(G101,[1]NUTS_Europa!$A$2:$C$81,2,FALSE)</f>
        <v>FRD2</v>
      </c>
      <c r="C101" s="71">
        <f>VLOOKUP(G101,[1]NUTS_Europa!$A$2:$C$81,3,FALSE)</f>
        <v>271</v>
      </c>
      <c r="D101" s="71" t="str">
        <f>VLOOKUP(F101,[1]NUTS_Europa!$A$2:$C$81,2,FALSE)</f>
        <v>ES21</v>
      </c>
      <c r="E101" s="71">
        <f>VLOOKUP(F101,[1]NUTS_Europa!$A$2:$C$81,3,FALSE)</f>
        <v>1063</v>
      </c>
      <c r="F101" s="71">
        <v>54</v>
      </c>
      <c r="G101" s="71">
        <v>60</v>
      </c>
      <c r="H101" s="71">
        <v>313949.66733563109</v>
      </c>
      <c r="I101" s="71">
        <v>5255897.0254381448</v>
      </c>
      <c r="J101" s="71">
        <v>159445.52860932166</v>
      </c>
      <c r="K101" s="71">
        <v>85.589743589743591</v>
      </c>
      <c r="L101" s="71">
        <v>13.023642190971012</v>
      </c>
      <c r="M101" s="71">
        <v>2.1528814044332378</v>
      </c>
      <c r="N101" s="71">
        <v>359.51162790697668</v>
      </c>
    </row>
    <row r="102" spans="1:28" s="71" customFormat="1" x14ac:dyDescent="0.25"/>
    <row r="103" spans="1:28" s="71" customFormat="1" x14ac:dyDescent="0.25">
      <c r="B103" s="71" t="s">
        <v>146</v>
      </c>
      <c r="Q103" s="75">
        <f>Q105+Q108+Q111+Q112</f>
        <v>193.34156448833193</v>
      </c>
      <c r="R103" s="71">
        <f>Q103/24</f>
        <v>8.0558985203471636</v>
      </c>
      <c r="S103" s="71">
        <f>R103/7</f>
        <v>1.1508426457638805</v>
      </c>
      <c r="Z103" s="71">
        <f>(Z105+Z108+Z111+Z112)/6</f>
        <v>-4.223594081388657</v>
      </c>
    </row>
    <row r="104" spans="1:28" s="71" customFormat="1" x14ac:dyDescent="0.25">
      <c r="B104" s="71" t="s">
        <v>134</v>
      </c>
      <c r="C104" s="71" t="s">
        <v>135</v>
      </c>
      <c r="D104" s="71" t="s">
        <v>131</v>
      </c>
      <c r="E104" s="71" t="s">
        <v>136</v>
      </c>
      <c r="F104" s="71" t="s">
        <v>39</v>
      </c>
      <c r="G104" s="71" t="s">
        <v>40</v>
      </c>
      <c r="H104" s="71" t="s">
        <v>137</v>
      </c>
      <c r="I104" s="71" t="s">
        <v>133</v>
      </c>
      <c r="J104" s="71" t="s">
        <v>154</v>
      </c>
      <c r="K104" s="71" t="s">
        <v>41</v>
      </c>
      <c r="L104" s="71" t="s">
        <v>42</v>
      </c>
      <c r="M104" s="71" t="s">
        <v>43</v>
      </c>
      <c r="N104" s="71" t="s">
        <v>44</v>
      </c>
      <c r="O104" s="71" t="s">
        <v>45</v>
      </c>
      <c r="P104" s="71" t="e">
        <f t="shared" ref="P104:Y104" si="0">P86</f>
        <v>#REF!</v>
      </c>
      <c r="Q104" s="71" t="e">
        <f t="shared" si="0"/>
        <v>#REF!</v>
      </c>
      <c r="R104" s="71" t="e">
        <f t="shared" si="0"/>
        <v>#REF!</v>
      </c>
      <c r="S104" s="71" t="e">
        <f t="shared" si="0"/>
        <v>#REF!</v>
      </c>
      <c r="T104" s="71" t="e">
        <f t="shared" si="0"/>
        <v>#REF!</v>
      </c>
      <c r="U104" s="71" t="e">
        <f t="shared" si="0"/>
        <v>#REF!</v>
      </c>
      <c r="V104" s="71" t="e">
        <f t="shared" si="0"/>
        <v>#REF!</v>
      </c>
      <c r="W104" s="71" t="e">
        <f t="shared" si="0"/>
        <v>#REF!</v>
      </c>
      <c r="X104" s="71" t="e">
        <f t="shared" si="0"/>
        <v>#REF!</v>
      </c>
      <c r="Y104" s="71" t="e">
        <f t="shared" si="0"/>
        <v>#REF!</v>
      </c>
    </row>
    <row r="105" spans="1:28" s="71" customFormat="1" x14ac:dyDescent="0.25">
      <c r="A105" s="71" t="s">
        <v>150</v>
      </c>
      <c r="B105" s="71" t="str">
        <f>VLOOKUP(F105,[1]NUTS_Europa!$A$2:$C$81,2,FALSE)</f>
        <v>DE60</v>
      </c>
      <c r="C105" s="71">
        <f>VLOOKUP(F105,[1]NUTS_Europa!$A$2:$C$81,3,FALSE)</f>
        <v>1069</v>
      </c>
      <c r="D105" s="71" t="str">
        <f>VLOOKUP(G105,[1]NUTS_Europa!$A$2:$C$81,2,FALSE)</f>
        <v>NL12</v>
      </c>
      <c r="E105" s="71">
        <f>VLOOKUP(G105,[1]NUTS_Europa!$A$2:$C$81,3,FALSE)</f>
        <v>218</v>
      </c>
      <c r="F105" s="71">
        <v>5</v>
      </c>
      <c r="G105" s="71">
        <v>31</v>
      </c>
      <c r="H105" s="73">
        <v>1206086.6894583588</v>
      </c>
      <c r="I105" s="73">
        <v>614642.19701941637</v>
      </c>
      <c r="J105" s="73">
        <f t="shared" ref="J105:J127" si="1">I105/13</f>
        <v>47280.169001493567</v>
      </c>
      <c r="K105" s="74">
        <v>120437.35243536306</v>
      </c>
      <c r="L105" s="75">
        <v>13.844615384615386</v>
      </c>
      <c r="M105" s="75">
        <v>7.1823031627156571</v>
      </c>
      <c r="N105" s="75">
        <v>26.572331571804849</v>
      </c>
      <c r="O105" s="74">
        <v>5603.5863070190189</v>
      </c>
      <c r="P105" s="75">
        <f t="shared" ref="P105:P112" si="2">N105*(R105/O105)</f>
        <v>7.4829112862570453</v>
      </c>
      <c r="Q105" s="75">
        <f t="shared" ref="Q105:Q112" si="3">P105+M105+L105</f>
        <v>28.509829833588086</v>
      </c>
      <c r="R105" s="71">
        <v>1578</v>
      </c>
      <c r="S105" s="73">
        <f t="shared" ref="S105:S112" si="4">H105*(R105/O105)</f>
        <v>339640.48944536591</v>
      </c>
      <c r="T105" s="73">
        <f t="shared" ref="T105:T112" si="5">J105</f>
        <v>47280.169001493567</v>
      </c>
      <c r="U105" s="73">
        <f t="shared" ref="U105:U112" si="6">T105+S105</f>
        <v>386920.65844685945</v>
      </c>
      <c r="V105" s="71" t="str">
        <f>VLOOKUP(B105,NUTS_Europa!$B$2:$F$41,5,FALSE)</f>
        <v>Hamburg</v>
      </c>
      <c r="W105" s="71" t="str">
        <f>VLOOKUP(C105,Puertos!$N$3:$O$27,2,FALSE)</f>
        <v>Hamburgo</v>
      </c>
      <c r="X105" s="71" t="str">
        <f>VLOOKUP(D105,NUTS_Europa!$B$2:$F$41,5,FALSE)</f>
        <v>Friesland (NL)</v>
      </c>
      <c r="Y105" s="71" t="str">
        <f>VLOOKUP(E105,Puertos!$N$3:$O$27,2,FALSE)</f>
        <v>Amsterdam</v>
      </c>
      <c r="Z105" s="71">
        <f t="shared" ref="Z105:Z112" si="7">(168/4)-Q105</f>
        <v>13.490170166411914</v>
      </c>
      <c r="AA105" s="71">
        <f t="shared" ref="AA105:AA112" si="8">Q105/24</f>
        <v>1.1879095763995036</v>
      </c>
    </row>
    <row r="106" spans="1:28" s="71" customFormat="1" x14ac:dyDescent="0.25">
      <c r="B106" s="71" t="str">
        <f>VLOOKUP(G106,[1]NUTS_Europa!$A$2:$C$81,2,FALSE)</f>
        <v>NL12</v>
      </c>
      <c r="C106" s="71">
        <f>VLOOKUP(G106,[1]NUTS_Europa!$A$2:$C$81,3,FALSE)</f>
        <v>218</v>
      </c>
      <c r="D106" s="71" t="str">
        <f>VLOOKUP(F106,[1]NUTS_Europa!$A$2:$C$81,2,FALSE)</f>
        <v>DE93</v>
      </c>
      <c r="E106" s="71">
        <f>VLOOKUP(F106,[1]NUTS_Europa!$A$2:$C$81,3,FALSE)</f>
        <v>1069</v>
      </c>
      <c r="F106" s="71">
        <v>7</v>
      </c>
      <c r="G106" s="71">
        <v>31</v>
      </c>
      <c r="H106" s="71">
        <v>1496708.2878924396</v>
      </c>
      <c r="I106" s="73">
        <v>614642.19701941637</v>
      </c>
      <c r="J106" s="73">
        <f t="shared" si="1"/>
        <v>47280.169001493567</v>
      </c>
      <c r="K106" s="74">
        <v>163171.48832599766</v>
      </c>
      <c r="L106" s="75">
        <v>13.844615384615386</v>
      </c>
      <c r="M106" s="75">
        <v>7.1823031627156571</v>
      </c>
      <c r="N106" s="75">
        <v>26.572331571804849</v>
      </c>
      <c r="O106" s="71">
        <v>5603.5863070190189</v>
      </c>
      <c r="P106" s="75">
        <f t="shared" si="2"/>
        <v>7.4829112862570453</v>
      </c>
      <c r="Q106" s="75">
        <f t="shared" si="3"/>
        <v>28.509829833588086</v>
      </c>
      <c r="R106" s="71">
        <v>1578</v>
      </c>
      <c r="S106" s="73">
        <f t="shared" si="4"/>
        <v>421481.09244536591</v>
      </c>
      <c r="T106" s="73">
        <f t="shared" si="5"/>
        <v>47280.169001493567</v>
      </c>
      <c r="U106" s="73">
        <f t="shared" si="6"/>
        <v>468761.26144685945</v>
      </c>
      <c r="V106" s="71" t="str">
        <f>VLOOKUP(B106,NUTS_Europa!$B$2:$F$41,5,FALSE)</f>
        <v>Friesland (NL)</v>
      </c>
      <c r="W106" s="71" t="str">
        <f>VLOOKUP(C106,Puertos!$N$3:$O$27,2,FALSE)</f>
        <v>Amsterdam</v>
      </c>
      <c r="X106" s="71" t="str">
        <f>VLOOKUP(D106,NUTS_Europa!$B$2:$F$41,5,FALSE)</f>
        <v>Lüneburg</v>
      </c>
      <c r="Y106" s="71" t="str">
        <f>VLOOKUP(E106,Puertos!$N$3:$O$27,2,FALSE)</f>
        <v>Hamburgo</v>
      </c>
      <c r="Z106" s="71">
        <f t="shared" si="7"/>
        <v>13.490170166411914</v>
      </c>
      <c r="AA106" s="71">
        <f t="shared" si="8"/>
        <v>1.1879095763995036</v>
      </c>
    </row>
    <row r="107" spans="1:28" s="71" customFormat="1" x14ac:dyDescent="0.25">
      <c r="B107" s="71" t="str">
        <f>VLOOKUP(F107,[1]NUTS_Europa!$A$2:$C$81,2,FALSE)</f>
        <v>DE93</v>
      </c>
      <c r="C107" s="71">
        <f>VLOOKUP(F107,[1]NUTS_Europa!$A$2:$C$81,3,FALSE)</f>
        <v>1069</v>
      </c>
      <c r="D107" s="71" t="str">
        <f>VLOOKUP(G107,[1]NUTS_Europa!$A$2:$C$81,2,FALSE)</f>
        <v>NL32</v>
      </c>
      <c r="E107" s="71">
        <f>VLOOKUP(G107,[1]NUTS_Europa!$A$2:$C$81,3,FALSE)</f>
        <v>218</v>
      </c>
      <c r="F107" s="71">
        <v>7</v>
      </c>
      <c r="G107" s="71">
        <v>32</v>
      </c>
      <c r="H107" s="71">
        <v>630729.49964708975</v>
      </c>
      <c r="I107" s="73">
        <v>614642.19701941637</v>
      </c>
      <c r="J107" s="73">
        <f t="shared" si="1"/>
        <v>47280.169001493567</v>
      </c>
      <c r="K107" s="74">
        <v>199058.85825050285</v>
      </c>
      <c r="L107" s="75">
        <v>13.844615384615386</v>
      </c>
      <c r="M107" s="75">
        <v>7.1823031627156571</v>
      </c>
      <c r="N107" s="75">
        <v>26.572331571804849</v>
      </c>
      <c r="O107" s="71">
        <v>5603.5863070190189</v>
      </c>
      <c r="P107" s="75">
        <f t="shared" si="2"/>
        <v>7.4829112862570453</v>
      </c>
      <c r="Q107" s="75">
        <f t="shared" si="3"/>
        <v>28.509829833588086</v>
      </c>
      <c r="R107" s="71">
        <v>1578</v>
      </c>
      <c r="S107" s="73">
        <f t="shared" si="4"/>
        <v>177616.81464536593</v>
      </c>
      <c r="T107" s="73">
        <f t="shared" si="5"/>
        <v>47280.169001493567</v>
      </c>
      <c r="U107" s="73">
        <f t="shared" si="6"/>
        <v>224896.9836468595</v>
      </c>
      <c r="V107" s="71" t="str">
        <f>VLOOKUP(B107,NUTS_Europa!$B$2:$F$41,5,FALSE)</f>
        <v>Lüneburg</v>
      </c>
      <c r="W107" s="71" t="str">
        <f>VLOOKUP(C107,Puertos!$N$3:$O$27,2,FALSE)</f>
        <v>Hamburgo</v>
      </c>
      <c r="X107" s="71" t="str">
        <f>VLOOKUP(D107,NUTS_Europa!$B$2:$F$41,5,FALSE)</f>
        <v>Noord-Holland</v>
      </c>
      <c r="Y107" s="71" t="str">
        <f>VLOOKUP(E107,Puertos!$N$3:$O$27,2,FALSE)</f>
        <v>Amsterdam</v>
      </c>
      <c r="Z107" s="71">
        <f t="shared" si="7"/>
        <v>13.490170166411914</v>
      </c>
      <c r="AA107" s="71">
        <f t="shared" si="8"/>
        <v>1.1879095763995036</v>
      </c>
    </row>
    <row r="108" spans="1:28" s="71" customFormat="1" x14ac:dyDescent="0.25">
      <c r="B108" s="71" t="str">
        <f>VLOOKUP(G108,[1]NUTS_Europa!$A$2:$C$81,2,FALSE)</f>
        <v>NL32</v>
      </c>
      <c r="C108" s="71">
        <f>VLOOKUP(G108,[1]NUTS_Europa!$A$2:$C$81,3,FALSE)</f>
        <v>218</v>
      </c>
      <c r="D108" s="71" t="str">
        <f>VLOOKUP(F108,[1]NUTS_Europa!$A$2:$C$81,2,FALSE)</f>
        <v>BE21</v>
      </c>
      <c r="E108" s="71">
        <f>VLOOKUP(F108,[1]NUTS_Europa!$A$2:$C$81,3,FALSE)</f>
        <v>253</v>
      </c>
      <c r="F108" s="71">
        <v>1</v>
      </c>
      <c r="G108" s="71">
        <v>32</v>
      </c>
      <c r="H108" s="73">
        <v>504437.12247928901</v>
      </c>
      <c r="I108" s="73">
        <v>577125.76727799885</v>
      </c>
      <c r="J108" s="73">
        <f t="shared" si="1"/>
        <v>44394.289790615294</v>
      </c>
      <c r="K108" s="74">
        <v>198656.28734660565</v>
      </c>
      <c r="L108" s="75">
        <v>9.1789743589743598</v>
      </c>
      <c r="M108" s="75">
        <v>9.9682844076514563</v>
      </c>
      <c r="N108" s="75">
        <v>31.736643810204658</v>
      </c>
      <c r="O108" s="74">
        <v>5603.5863070190189</v>
      </c>
      <c r="P108" s="75">
        <f t="shared" si="2"/>
        <v>8.9372093492648634</v>
      </c>
      <c r="Q108" s="75">
        <f t="shared" si="3"/>
        <v>28.084468115890679</v>
      </c>
      <c r="R108" s="71">
        <v>1578</v>
      </c>
      <c r="S108" s="73">
        <f t="shared" si="4"/>
        <v>142052.20293925892</v>
      </c>
      <c r="T108" s="73">
        <f t="shared" si="5"/>
        <v>44394.289790615294</v>
      </c>
      <c r="U108" s="73">
        <f t="shared" si="6"/>
        <v>186446.49272987421</v>
      </c>
      <c r="V108" s="71" t="str">
        <f>VLOOKUP(B108,NUTS_Europa!$B$2:$F$41,5,FALSE)</f>
        <v>Noord-Holland</v>
      </c>
      <c r="W108" s="71" t="str">
        <f>VLOOKUP(C108,Puertos!$N$3:$O$27,2,FALSE)</f>
        <v>Amsterdam</v>
      </c>
      <c r="X108" s="71" t="str">
        <f>VLOOKUP(D108,NUTS_Europa!$B$2:$F$41,5,FALSE)</f>
        <v>Prov. Antwerpen</v>
      </c>
      <c r="Y108" s="71" t="str">
        <f>VLOOKUP(E108,Puertos!$N$3:$O$27,2,FALSE)</f>
        <v>Amberes</v>
      </c>
      <c r="Z108" s="71">
        <f t="shared" si="7"/>
        <v>13.915531884109321</v>
      </c>
      <c r="AA108" s="71">
        <f t="shared" si="8"/>
        <v>1.1701861714954449</v>
      </c>
    </row>
    <row r="109" spans="1:28" s="71" customFormat="1" x14ac:dyDescent="0.25">
      <c r="B109" s="71" t="str">
        <f>VLOOKUP(F109,[1]NUTS_Europa!$A$2:$C$81,2,FALSE)</f>
        <v>BE21</v>
      </c>
      <c r="C109" s="71">
        <f>VLOOKUP(F109,[1]NUTS_Europa!$A$2:$C$81,3,FALSE)</f>
        <v>253</v>
      </c>
      <c r="D109" s="71" t="str">
        <f>VLOOKUP(G109,[1]NUTS_Europa!$A$2:$C$81,2,FALSE)</f>
        <v>BE25</v>
      </c>
      <c r="E109" s="71">
        <f>VLOOKUP(G109,[1]NUTS_Europa!$A$2:$C$81,3,FALSE)</f>
        <v>235</v>
      </c>
      <c r="F109" s="71">
        <v>1</v>
      </c>
      <c r="G109" s="71">
        <v>3</v>
      </c>
      <c r="H109" s="73">
        <v>343988.90551265067</v>
      </c>
      <c r="I109" s="73">
        <v>445450.74197684036</v>
      </c>
      <c r="J109" s="73">
        <f t="shared" si="1"/>
        <v>34265.441690526182</v>
      </c>
      <c r="K109" s="74">
        <v>135416.16142478216</v>
      </c>
      <c r="L109" s="75">
        <v>6.4512820512820515</v>
      </c>
      <c r="M109" s="75">
        <v>12.078472569463385</v>
      </c>
      <c r="N109" s="75">
        <v>10.958172373944803</v>
      </c>
      <c r="O109" s="74">
        <v>1827.1881523429399</v>
      </c>
      <c r="P109" s="75">
        <f t="shared" si="2"/>
        <v>9.4637194226067933</v>
      </c>
      <c r="Q109" s="75">
        <f t="shared" si="3"/>
        <v>27.993474043352229</v>
      </c>
      <c r="R109" s="71">
        <v>1578</v>
      </c>
      <c r="S109" s="73">
        <f t="shared" si="4"/>
        <v>297076.40792379843</v>
      </c>
      <c r="T109" s="73">
        <f t="shared" si="5"/>
        <v>34265.441690526182</v>
      </c>
      <c r="U109" s="73">
        <f t="shared" si="6"/>
        <v>331341.84961432463</v>
      </c>
      <c r="V109" s="71" t="str">
        <f>VLOOKUP(B109,NUTS_Europa!$B$2:$F$41,5,FALSE)</f>
        <v>Prov. Antwerpen</v>
      </c>
      <c r="W109" s="71" t="str">
        <f>VLOOKUP(C109,Puertos!$N$3:$O$27,2,FALSE)</f>
        <v>Amberes</v>
      </c>
      <c r="X109" s="71" t="str">
        <f>VLOOKUP(D109,NUTS_Europa!$B$2:$F$41,5,FALSE)</f>
        <v>Prov. West-Vlaanderen</v>
      </c>
      <c r="Y109" s="71" t="str">
        <f>VLOOKUP(E109,Puertos!$N$3:$O$27,2,FALSE)</f>
        <v>Dunkerque</v>
      </c>
      <c r="Z109" s="71">
        <f t="shared" si="7"/>
        <v>14.006525956647771</v>
      </c>
      <c r="AA109" s="71">
        <f t="shared" si="8"/>
        <v>1.1663947518063429</v>
      </c>
    </row>
    <row r="110" spans="1:28" s="71" customFormat="1" x14ac:dyDescent="0.25">
      <c r="B110" s="71" t="str">
        <f>VLOOKUP(G110,[1]NUTS_Europa!$A$2:$C$81,2,FALSE)</f>
        <v>BE25</v>
      </c>
      <c r="C110" s="71">
        <f>VLOOKUP(G110,[1]NUTS_Europa!$A$2:$C$81,3,FALSE)</f>
        <v>235</v>
      </c>
      <c r="D110" s="71" t="str">
        <f>VLOOKUP(F110,[1]NUTS_Europa!$A$2:$C$81,2,FALSE)</f>
        <v>BE23</v>
      </c>
      <c r="E110" s="71">
        <f>VLOOKUP(F110,[1]NUTS_Europa!$A$2:$C$81,3,FALSE)</f>
        <v>253</v>
      </c>
      <c r="F110" s="71">
        <v>2</v>
      </c>
      <c r="G110" s="71">
        <v>3</v>
      </c>
      <c r="H110" s="73">
        <v>425558.2390095442</v>
      </c>
      <c r="I110" s="73">
        <v>445450.74197684036</v>
      </c>
      <c r="J110" s="73">
        <f t="shared" si="1"/>
        <v>34265.441690526182</v>
      </c>
      <c r="K110" s="74">
        <v>135416.16142478216</v>
      </c>
      <c r="L110" s="75">
        <v>6.4512820512820515</v>
      </c>
      <c r="M110" s="75">
        <v>12.078472569463385</v>
      </c>
      <c r="N110" s="75">
        <v>10.958172373944803</v>
      </c>
      <c r="O110" s="74">
        <v>1827.1881523429399</v>
      </c>
      <c r="P110" s="75">
        <f t="shared" si="2"/>
        <v>9.4637194226067933</v>
      </c>
      <c r="Q110" s="75">
        <f t="shared" si="3"/>
        <v>27.993474043352229</v>
      </c>
      <c r="R110" s="71">
        <v>1578</v>
      </c>
      <c r="S110" s="73">
        <f t="shared" si="4"/>
        <v>367521.48392379843</v>
      </c>
      <c r="T110" s="73">
        <f t="shared" si="5"/>
        <v>34265.441690526182</v>
      </c>
      <c r="U110" s="73">
        <f t="shared" si="6"/>
        <v>401786.92561432463</v>
      </c>
      <c r="V110" s="71" t="str">
        <f>VLOOKUP(B110,NUTS_Europa!$B$2:$F$41,5,FALSE)</f>
        <v>Prov. West-Vlaanderen</v>
      </c>
      <c r="W110" s="71" t="str">
        <f>VLOOKUP(C110,Puertos!$N$3:$O$27,2,FALSE)</f>
        <v>Dunkerque</v>
      </c>
      <c r="X110" s="71" t="str">
        <f>VLOOKUP(D110,NUTS_Europa!$B$2:$F$41,5,FALSE)</f>
        <v>Prov. Oost-Vlaanderen</v>
      </c>
      <c r="Y110" s="71" t="str">
        <f>VLOOKUP(E110,Puertos!$N$3:$O$27,2,FALSE)</f>
        <v>Amberes</v>
      </c>
      <c r="Z110" s="71">
        <f t="shared" si="7"/>
        <v>14.006525956647771</v>
      </c>
      <c r="AA110" s="71">
        <f t="shared" si="8"/>
        <v>1.1663947518063429</v>
      </c>
    </row>
    <row r="111" spans="1:28" s="71" customFormat="1" x14ac:dyDescent="0.25">
      <c r="B111" s="71" t="str">
        <f>VLOOKUP(F111,[1]NUTS_Europa!$A$2:$C$81,2,FALSE)</f>
        <v>BE23</v>
      </c>
      <c r="C111" s="71">
        <f>VLOOKUP(F111,[1]NUTS_Europa!$A$2:$C$81,3,FALSE)</f>
        <v>253</v>
      </c>
      <c r="D111" s="71" t="str">
        <f>VLOOKUP(G111,[1]NUTS_Europa!$A$2:$C$81,2,FALSE)</f>
        <v>ES21</v>
      </c>
      <c r="E111" s="71">
        <f>VLOOKUP(G111,[1]NUTS_Europa!$A$2:$C$81,3,FALSE)</f>
        <v>163</v>
      </c>
      <c r="F111" s="71">
        <v>2</v>
      </c>
      <c r="G111" s="71">
        <v>14</v>
      </c>
      <c r="H111" s="73">
        <v>791548.06473690702</v>
      </c>
      <c r="I111" s="73">
        <v>974807.19935932453</v>
      </c>
      <c r="J111" s="73">
        <f t="shared" si="1"/>
        <v>74985.169181486504</v>
      </c>
      <c r="K111" s="74">
        <v>145277.79316174539</v>
      </c>
      <c r="L111" s="75">
        <v>39.790256410256411</v>
      </c>
      <c r="M111" s="75">
        <v>12.821653662814022</v>
      </c>
      <c r="N111" s="75">
        <v>21.983672486967205</v>
      </c>
      <c r="O111" s="74">
        <v>3181.447942754919</v>
      </c>
      <c r="P111" s="75">
        <f t="shared" si="2"/>
        <v>10.903914132379249</v>
      </c>
      <c r="Q111" s="75">
        <f t="shared" si="3"/>
        <v>63.515824205449682</v>
      </c>
      <c r="R111" s="71">
        <v>1578</v>
      </c>
      <c r="S111" s="73">
        <f t="shared" si="4"/>
        <v>392608.29302560748</v>
      </c>
      <c r="T111" s="73">
        <f t="shared" si="5"/>
        <v>74985.169181486504</v>
      </c>
      <c r="U111" s="73">
        <f t="shared" si="6"/>
        <v>467593.46220709395</v>
      </c>
      <c r="V111" s="71" t="str">
        <f>VLOOKUP(B111,NUTS_Europa!$B$2:$F$41,5,FALSE)</f>
        <v>Prov. Oost-Vlaanderen</v>
      </c>
      <c r="W111" s="71" t="str">
        <f>VLOOKUP(C111,Puertos!$N$3:$O$27,2,FALSE)</f>
        <v>Amberes</v>
      </c>
      <c r="X111" s="71" t="str">
        <f>VLOOKUP(D111,NUTS_Europa!$B$2:$F$41,5,FALSE)</f>
        <v>País Vasco</v>
      </c>
      <c r="Y111" s="71" t="str">
        <f>VLOOKUP(E111,Puertos!$N$3:$O$27,2,FALSE)</f>
        <v>Bilbao</v>
      </c>
      <c r="Z111" s="71">
        <f t="shared" si="7"/>
        <v>-21.515824205449682</v>
      </c>
      <c r="AA111" s="71">
        <f t="shared" si="8"/>
        <v>2.6464926752270701</v>
      </c>
      <c r="AB111" s="71">
        <f>AA111+AA108+AA105</f>
        <v>5.0045884231220183</v>
      </c>
    </row>
    <row r="112" spans="1:28" s="71" customFormat="1" x14ac:dyDescent="0.25">
      <c r="B112" s="71" t="str">
        <f>VLOOKUP(G112,[1]NUTS_Europa!$A$2:$C$81,2,FALSE)</f>
        <v>ES21</v>
      </c>
      <c r="C112" s="71">
        <f>VLOOKUP(G112,[1]NUTS_Europa!$A$2:$C$81,3,FALSE)</f>
        <v>163</v>
      </c>
      <c r="D112" s="71" t="str">
        <f>VLOOKUP(F112,[1]NUTS_Europa!$A$2:$C$81,2,FALSE)</f>
        <v>DEF0</v>
      </c>
      <c r="E112" s="71">
        <f>VLOOKUP(F112,[1]NUTS_Europa!$A$2:$C$81,3,FALSE)</f>
        <v>1069</v>
      </c>
      <c r="F112" s="71">
        <v>10</v>
      </c>
      <c r="G112" s="71">
        <v>14</v>
      </c>
      <c r="H112" s="73">
        <v>926572.34950406221</v>
      </c>
      <c r="I112" s="73">
        <v>1147710.6165584009</v>
      </c>
      <c r="J112" s="73">
        <f t="shared" si="1"/>
        <v>88285.432042953922</v>
      </c>
      <c r="K112" s="74">
        <v>199058.85825050285</v>
      </c>
      <c r="L112" s="75">
        <v>53.746153846153845</v>
      </c>
      <c r="M112" s="75">
        <v>10.035672417878224</v>
      </c>
      <c r="N112" s="75">
        <v>19.051623323019999</v>
      </c>
      <c r="O112" s="74">
        <v>3181.447942754919</v>
      </c>
      <c r="P112" s="75">
        <f t="shared" si="2"/>
        <v>9.4496160693714302</v>
      </c>
      <c r="Q112" s="75">
        <f t="shared" si="3"/>
        <v>73.231442333403493</v>
      </c>
      <c r="R112" s="71">
        <v>1578</v>
      </c>
      <c r="S112" s="73">
        <f t="shared" si="4"/>
        <v>459580.41552969848</v>
      </c>
      <c r="T112" s="73">
        <f t="shared" si="5"/>
        <v>88285.432042953922</v>
      </c>
      <c r="U112" s="73">
        <f t="shared" si="6"/>
        <v>547865.84757265239</v>
      </c>
      <c r="V112" s="71" t="str">
        <f>VLOOKUP(B112,NUTS_Europa!$B$2:$F$41,5,FALSE)</f>
        <v>País Vasco</v>
      </c>
      <c r="W112" s="71" t="str">
        <f>VLOOKUP(C112,Puertos!$N$3:$O$27,2,FALSE)</f>
        <v>Bilbao</v>
      </c>
      <c r="X112" s="71" t="str">
        <f>VLOOKUP(D112,NUTS_Europa!$B$2:$F$41,5,FALSE)</f>
        <v>Schleswig-Holstein</v>
      </c>
      <c r="Y112" s="71" t="str">
        <f>VLOOKUP(E112,Puertos!$N$3:$O$27,2,FALSE)</f>
        <v>Hamburgo</v>
      </c>
      <c r="Z112" s="71">
        <f t="shared" si="7"/>
        <v>-31.231442333403493</v>
      </c>
      <c r="AA112" s="71">
        <f t="shared" si="8"/>
        <v>3.0513100972251457</v>
      </c>
    </row>
    <row r="113" spans="1:28" s="71" customFormat="1" x14ac:dyDescent="0.25">
      <c r="B113" s="71" t="str">
        <f>VLOOKUP(F113,[1]NUTS_Europa!$A$2:$C$81,2,FALSE)</f>
        <v>DEF0</v>
      </c>
      <c r="C113" s="71">
        <f>VLOOKUP(F113,[1]NUTS_Europa!$A$2:$C$81,3,FALSE)</f>
        <v>1069</v>
      </c>
      <c r="D113" s="71" t="str">
        <f>VLOOKUP(G113,[1]NUTS_Europa!$A$2:$C$81,2,FALSE)</f>
        <v>ES13</v>
      </c>
      <c r="E113" s="71">
        <f>VLOOKUP(G113,[1]NUTS_Europa!$A$2:$C$81,3,FALSE)</f>
        <v>163</v>
      </c>
      <c r="F113" s="71">
        <v>10</v>
      </c>
      <c r="G113" s="71">
        <v>13</v>
      </c>
      <c r="H113" s="73">
        <v>1113712.7529719691</v>
      </c>
      <c r="I113" s="73">
        <v>1147710.6165584009</v>
      </c>
      <c r="J113" s="73">
        <f t="shared" si="1"/>
        <v>88285.432042953922</v>
      </c>
      <c r="K113" s="74">
        <v>163171.48832599766</v>
      </c>
      <c r="L113" s="71">
        <v>53.746153846153845</v>
      </c>
      <c r="M113" s="71">
        <v>10.035672417878224</v>
      </c>
      <c r="N113" s="71">
        <v>19.051623323019999</v>
      </c>
      <c r="O113" s="71">
        <v>3181.447942754919</v>
      </c>
      <c r="V113" s="71" t="str">
        <f>VLOOKUP(B113,NUTS_Europa!$B$2:$F$41,5,FALSE)</f>
        <v>Schleswig-Holstein</v>
      </c>
      <c r="W113" s="71" t="str">
        <f>VLOOKUP(C113,Puertos!$N$3:$O$27,2,FALSE)</f>
        <v>Hamburgo</v>
      </c>
      <c r="X113" s="71" t="str">
        <f>VLOOKUP(D113,NUTS_Europa!$B$2:$F$41,5,FALSE)</f>
        <v>Cantabria</v>
      </c>
      <c r="Y113" s="71" t="str">
        <f>VLOOKUP(E113,Puertos!$N$3:$O$27,2,FALSE)</f>
        <v>Bilbao</v>
      </c>
    </row>
    <row r="114" spans="1:28" s="71" customFormat="1" x14ac:dyDescent="0.25">
      <c r="B114" s="71" t="str">
        <f>VLOOKUP(G114,[1]NUTS_Europa!$A$2:$C$81,2,FALSE)</f>
        <v>ES13</v>
      </c>
      <c r="C114" s="71">
        <f>VLOOKUP(G114,[1]NUTS_Europa!$A$2:$C$81,3,FALSE)</f>
        <v>163</v>
      </c>
      <c r="D114" s="71" t="str">
        <f>VLOOKUP(F114,[1]NUTS_Europa!$A$2:$C$81,2,FALSE)</f>
        <v>DE80</v>
      </c>
      <c r="E114" s="71">
        <f>VLOOKUP(F114,[1]NUTS_Europa!$A$2:$C$81,3,FALSE)</f>
        <v>1069</v>
      </c>
      <c r="F114" s="71">
        <v>6</v>
      </c>
      <c r="G114" s="71">
        <v>13</v>
      </c>
      <c r="H114" s="73">
        <v>1698944.2379240622</v>
      </c>
      <c r="I114" s="73">
        <v>1147710.6165584009</v>
      </c>
      <c r="J114" s="73">
        <f t="shared" si="1"/>
        <v>88285.432042953922</v>
      </c>
      <c r="K114" s="74">
        <v>135416.16142478216</v>
      </c>
      <c r="L114" s="71">
        <v>53.746153846153845</v>
      </c>
      <c r="M114" s="71">
        <v>10.035672417878224</v>
      </c>
      <c r="N114" s="71">
        <v>19.051623323019999</v>
      </c>
      <c r="O114" s="71">
        <v>3181.447942754919</v>
      </c>
      <c r="V114" s="71" t="str">
        <f>VLOOKUP(B114,NUTS_Europa!$B$2:$F$41,5,FALSE)</f>
        <v>Cantabria</v>
      </c>
      <c r="W114" s="71" t="str">
        <f>VLOOKUP(C114,Puertos!$N$3:$O$27,2,FALSE)</f>
        <v>Bilbao</v>
      </c>
      <c r="X114" s="71" t="str">
        <f>VLOOKUP(D114,NUTS_Europa!$B$2:$F$41,5,FALSE)</f>
        <v>Mecklenburg-Vorpommern</v>
      </c>
      <c r="Y114" s="71" t="str">
        <f>VLOOKUP(E114,Puertos!$N$3:$O$27,2,FALSE)</f>
        <v>Hamburgo</v>
      </c>
    </row>
    <row r="115" spans="1:28" s="71" customFormat="1" x14ac:dyDescent="0.25">
      <c r="B115" s="71" t="str">
        <f>VLOOKUP(F115,[1]NUTS_Europa!$A$2:$C$81,2,FALSE)</f>
        <v>DE80</v>
      </c>
      <c r="C115" s="71">
        <f>VLOOKUP(F115,[1]NUTS_Europa!$A$2:$C$81,3,FALSE)</f>
        <v>1069</v>
      </c>
      <c r="D115" s="71" t="str">
        <f>VLOOKUP(G115,[1]NUTS_Europa!$A$2:$C$81,2,FALSE)</f>
        <v>ES11</v>
      </c>
      <c r="E115" s="71">
        <f>VLOOKUP(G115,[1]NUTS_Europa!$A$2:$C$81,3,FALSE)</f>
        <v>288</v>
      </c>
      <c r="F115" s="71">
        <v>6</v>
      </c>
      <c r="G115" s="71">
        <v>11</v>
      </c>
      <c r="H115" s="73">
        <v>533376.17523728381</v>
      </c>
      <c r="I115" s="73">
        <v>1263604.1225135101</v>
      </c>
      <c r="J115" s="73">
        <f t="shared" si="1"/>
        <v>97200.317116423845</v>
      </c>
      <c r="K115" s="74">
        <v>142841.86171918266</v>
      </c>
      <c r="L115" s="71">
        <v>59.42307692307692</v>
      </c>
      <c r="M115" s="71">
        <v>9.8036189648900596</v>
      </c>
      <c r="N115" s="71">
        <v>5.0185929442925525</v>
      </c>
      <c r="O115" s="71">
        <v>990.49714592846829</v>
      </c>
      <c r="T115" s="71">
        <f>SUM(V105:V112)</f>
        <v>0</v>
      </c>
      <c r="U115" s="71">
        <f>SUM(W105:W112)</f>
        <v>0</v>
      </c>
      <c r="V115" s="71" t="str">
        <f>VLOOKUP(B115,NUTS_Europa!$B$2:$F$41,5,FALSE)</f>
        <v>Mecklenburg-Vorpommern</v>
      </c>
      <c r="W115" s="71" t="str">
        <f>VLOOKUP(C115,Puertos!$N$3:$O$27,2,FALSE)</f>
        <v>Hamburgo</v>
      </c>
      <c r="X115" s="71" t="str">
        <f>VLOOKUP(D115,NUTS_Europa!$B$2:$F$41,5,FALSE)</f>
        <v>Galicia</v>
      </c>
      <c r="Y115" s="71" t="str">
        <f>VLOOKUP(E115,Puertos!$N$3:$O$27,2,FALSE)</f>
        <v>Vigo</v>
      </c>
    </row>
    <row r="116" spans="1:28" s="71" customFormat="1" x14ac:dyDescent="0.25">
      <c r="B116" s="71" t="str">
        <f>VLOOKUP(G116,[1]NUTS_Europa!$A$2:$C$81,2,FALSE)</f>
        <v>ES11</v>
      </c>
      <c r="C116" s="71">
        <f>VLOOKUP(G116,[1]NUTS_Europa!$A$2:$C$81,3,FALSE)</f>
        <v>288</v>
      </c>
      <c r="D116" s="71" t="str">
        <f>VLOOKUP(F116,[1]NUTS_Europa!$A$2:$C$81,2,FALSE)</f>
        <v>DEA1</v>
      </c>
      <c r="E116" s="71">
        <f>VLOOKUP(F116,[1]NUTS_Europa!$A$2:$C$81,3,FALSE)</f>
        <v>253</v>
      </c>
      <c r="F116" s="71">
        <v>9</v>
      </c>
      <c r="G116" s="71">
        <v>11</v>
      </c>
      <c r="H116" s="73">
        <v>555392.4945041457</v>
      </c>
      <c r="I116" s="73">
        <v>1099178.6336241046</v>
      </c>
      <c r="J116" s="73">
        <f t="shared" si="1"/>
        <v>84552.202586469575</v>
      </c>
      <c r="K116" s="74">
        <v>142392.8717171422</v>
      </c>
      <c r="L116" s="71">
        <v>45.494871794871791</v>
      </c>
      <c r="M116" s="71">
        <v>12.589600209825861</v>
      </c>
      <c r="N116" s="71">
        <v>5.9314434390571567</v>
      </c>
      <c r="O116" s="71">
        <v>990.49714592846829</v>
      </c>
      <c r="T116" s="71">
        <f>T115/24</f>
        <v>0</v>
      </c>
      <c r="V116" s="71" t="str">
        <f>VLOOKUP(B116,NUTS_Europa!$B$2:$F$41,5,FALSE)</f>
        <v>Galicia</v>
      </c>
      <c r="W116" s="71" t="str">
        <f>VLOOKUP(C116,Puertos!$N$3:$O$27,2,FALSE)</f>
        <v>Vigo</v>
      </c>
      <c r="X116" s="71" t="str">
        <f>VLOOKUP(D116,NUTS_Europa!$B$2:$F$41,5,FALSE)</f>
        <v>Düsseldorf</v>
      </c>
      <c r="Y116" s="71" t="str">
        <f>VLOOKUP(E116,Puertos!$N$3:$O$27,2,FALSE)</f>
        <v>Amberes</v>
      </c>
    </row>
    <row r="117" spans="1:28" s="71" customFormat="1" x14ac:dyDescent="0.25">
      <c r="B117" s="71" t="str">
        <f>VLOOKUP(F117,[1]NUTS_Europa!$A$2:$C$81,2,FALSE)</f>
        <v>DEA1</v>
      </c>
      <c r="C117" s="71">
        <f>VLOOKUP(F117,[1]NUTS_Europa!$A$2:$C$81,3,FALSE)</f>
        <v>253</v>
      </c>
      <c r="D117" s="71" t="str">
        <f>VLOOKUP(G117,[1]NUTS_Europa!$A$2:$C$81,2,FALSE)</f>
        <v>FRI3</v>
      </c>
      <c r="E117" s="71">
        <f>VLOOKUP(G117,[1]NUTS_Europa!$A$2:$C$81,3,FALSE)</f>
        <v>283</v>
      </c>
      <c r="F117" s="71">
        <v>9</v>
      </c>
      <c r="G117" s="71">
        <v>25</v>
      </c>
      <c r="H117" s="73">
        <v>1099174.928106521</v>
      </c>
      <c r="I117" s="73">
        <v>894661.11665173457</v>
      </c>
      <c r="J117" s="73">
        <f t="shared" si="1"/>
        <v>68820.085896287273</v>
      </c>
      <c r="K117" s="74">
        <v>127001.21695280854</v>
      </c>
      <c r="L117" s="71">
        <v>35.415384615384617</v>
      </c>
      <c r="M117" s="71">
        <v>14.587409297399544</v>
      </c>
      <c r="N117" s="71">
        <v>14.508624423727444</v>
      </c>
      <c r="O117" s="71">
        <v>2344.8291581632657</v>
      </c>
      <c r="V117" s="71" t="str">
        <f>VLOOKUP(B117,NUTS_Europa!$B$2:$F$41,5,FALSE)</f>
        <v>Düsseldorf</v>
      </c>
      <c r="W117" s="71" t="str">
        <f>VLOOKUP(C117,Puertos!$N$3:$O$27,2,FALSE)</f>
        <v>Amberes</v>
      </c>
      <c r="X117" s="71" t="str">
        <f>VLOOKUP(D117,NUTS_Europa!$B$2:$F$41,5,FALSE)</f>
        <v>Poitou-Charentes</v>
      </c>
      <c r="Y117" s="71" t="str">
        <f>VLOOKUP(E117,Puertos!$N$3:$O$27,2,FALSE)</f>
        <v>La Rochelle</v>
      </c>
    </row>
    <row r="118" spans="1:28" s="71" customFormat="1" x14ac:dyDescent="0.25">
      <c r="B118" s="71" t="str">
        <f>VLOOKUP(G118,[1]NUTS_Europa!$A$2:$C$81,2,FALSE)</f>
        <v>FRI3</v>
      </c>
      <c r="C118" s="71">
        <f>VLOOKUP(G118,[1]NUTS_Europa!$A$2:$C$81,3,FALSE)</f>
        <v>283</v>
      </c>
      <c r="D118" s="71" t="str">
        <f>VLOOKUP(F118,[1]NUTS_Europa!$A$2:$C$81,2,FALSE)</f>
        <v>FRD2</v>
      </c>
      <c r="E118" s="71">
        <f>VLOOKUP(F118,[1]NUTS_Europa!$A$2:$C$81,3,FALSE)</f>
        <v>269</v>
      </c>
      <c r="F118" s="71">
        <v>20</v>
      </c>
      <c r="G118" s="71">
        <v>25</v>
      </c>
      <c r="H118" s="73">
        <v>560216.59680266399</v>
      </c>
      <c r="I118" s="73">
        <v>758900.30058542779</v>
      </c>
      <c r="J118" s="73">
        <f t="shared" si="1"/>
        <v>58376.946198879057</v>
      </c>
      <c r="K118" s="74">
        <v>141512.315270936</v>
      </c>
      <c r="L118" s="71">
        <v>23.743589743589745</v>
      </c>
      <c r="M118" s="71">
        <v>13.516640278358285</v>
      </c>
      <c r="N118" s="71">
        <v>14.508624423727444</v>
      </c>
      <c r="O118" s="71">
        <v>2344.8291581632657</v>
      </c>
      <c r="V118" s="71" t="str">
        <f>VLOOKUP(B118,NUTS_Europa!$B$2:$F$41,5,FALSE)</f>
        <v>Poitou-Charentes</v>
      </c>
      <c r="W118" s="71" t="str">
        <f>VLOOKUP(C118,Puertos!$N$3:$O$27,2,FALSE)</f>
        <v>La Rochelle</v>
      </c>
      <c r="X118" s="71" t="str">
        <f>VLOOKUP(D118,NUTS_Europa!$B$2:$F$41,5,FALSE)</f>
        <v xml:space="preserve">Haute-Normandie </v>
      </c>
      <c r="Y118" s="71" t="str">
        <f>VLOOKUP(E118,Puertos!$N$3:$O$27,2,FALSE)</f>
        <v>Le Havre</v>
      </c>
    </row>
    <row r="119" spans="1:28" s="71" customFormat="1" x14ac:dyDescent="0.25">
      <c r="B119" s="71" t="str">
        <f>VLOOKUP(F119,[1]NUTS_Europa!$A$2:$C$81,2,FALSE)</f>
        <v>FRD2</v>
      </c>
      <c r="C119" s="71">
        <f>VLOOKUP(F119,[1]NUTS_Europa!$A$2:$C$81,3,FALSE)</f>
        <v>269</v>
      </c>
      <c r="D119" s="71" t="str">
        <f>VLOOKUP(G119,[1]NUTS_Europa!$A$2:$C$81,2,FALSE)</f>
        <v>FRI1</v>
      </c>
      <c r="E119" s="71">
        <f>VLOOKUP(G119,[1]NUTS_Europa!$A$2:$C$81,3,FALSE)</f>
        <v>283</v>
      </c>
      <c r="F119" s="71">
        <v>20</v>
      </c>
      <c r="G119" s="71">
        <v>24</v>
      </c>
      <c r="H119" s="73">
        <v>931207.25930520217</v>
      </c>
      <c r="I119" s="73">
        <v>758900.30058542779</v>
      </c>
      <c r="J119" s="73">
        <f t="shared" si="1"/>
        <v>58376.946198879057</v>
      </c>
      <c r="K119" s="74">
        <v>114346.85142443764</v>
      </c>
      <c r="L119" s="71">
        <v>23.743589743589745</v>
      </c>
      <c r="M119" s="71">
        <v>13.516640278358285</v>
      </c>
      <c r="N119" s="71">
        <v>14.508624423727444</v>
      </c>
      <c r="O119" s="71">
        <v>2344.8291581632657</v>
      </c>
      <c r="V119" s="71" t="str">
        <f>VLOOKUP(B119,NUTS_Europa!$B$2:$F$41,5,FALSE)</f>
        <v xml:space="preserve">Haute-Normandie </v>
      </c>
      <c r="W119" s="71" t="str">
        <f>VLOOKUP(C119,Puertos!$N$3:$O$27,2,FALSE)</f>
        <v>Le Havre</v>
      </c>
      <c r="X119" s="71" t="str">
        <f>VLOOKUP(D119,NUTS_Europa!$B$2:$F$41,5,FALSE)</f>
        <v>Aquitaine</v>
      </c>
      <c r="Y119" s="71" t="str">
        <f>VLOOKUP(E119,Puertos!$N$3:$O$27,2,FALSE)</f>
        <v>La Rochelle</v>
      </c>
    </row>
    <row r="120" spans="1:28" s="71" customFormat="1" x14ac:dyDescent="0.25">
      <c r="B120" s="71" t="str">
        <f>VLOOKUP(G120,[1]NUTS_Europa!$A$2:$C$81,2,FALSE)</f>
        <v>FRI1</v>
      </c>
      <c r="C120" s="71">
        <f>VLOOKUP(G120,[1]NUTS_Europa!$A$2:$C$81,3,FALSE)</f>
        <v>283</v>
      </c>
      <c r="D120" s="71" t="str">
        <f>VLOOKUP(F120,[1]NUTS_Europa!$A$2:$C$81,2,FALSE)</f>
        <v>FRE1</v>
      </c>
      <c r="E120" s="71">
        <f>VLOOKUP(F120,[1]NUTS_Europa!$A$2:$C$81,3,FALSE)</f>
        <v>220</v>
      </c>
      <c r="F120" s="71">
        <v>21</v>
      </c>
      <c r="G120" s="71">
        <v>24</v>
      </c>
      <c r="H120" s="73">
        <v>1069604.8971461477</v>
      </c>
      <c r="I120" s="73">
        <v>756571.34215317667</v>
      </c>
      <c r="J120" s="73">
        <f t="shared" si="1"/>
        <v>58197.795550244358</v>
      </c>
      <c r="K120" s="74">
        <v>123840.01515725654</v>
      </c>
      <c r="L120" s="71">
        <v>30.871282051282051</v>
      </c>
      <c r="M120" s="71">
        <v>10.926607280557292</v>
      </c>
      <c r="N120" s="71">
        <v>13.078361323091983</v>
      </c>
      <c r="O120" s="71">
        <v>2344.8291581632657</v>
      </c>
      <c r="V120" s="71" t="str">
        <f>VLOOKUP(B120,NUTS_Europa!$B$2:$F$41,5,FALSE)</f>
        <v>Aquitaine</v>
      </c>
      <c r="W120" s="71" t="str">
        <f>VLOOKUP(C120,Puertos!$N$3:$O$27,2,FALSE)</f>
        <v>La Rochelle</v>
      </c>
      <c r="X120" s="71" t="str">
        <f>VLOOKUP(D120,NUTS_Europa!$B$2:$F$41,5,FALSE)</f>
        <v>Nord-Pas de Calais</v>
      </c>
      <c r="Y120" s="71" t="str">
        <f>VLOOKUP(E120,Puertos!$N$3:$O$27,2,FALSE)</f>
        <v>Zeebrugge</v>
      </c>
    </row>
    <row r="121" spans="1:28" s="71" customFormat="1" x14ac:dyDescent="0.25">
      <c r="B121" s="71" t="str">
        <f>VLOOKUP(F121,[1]NUTS_Europa!$A$2:$C$81,2,FALSE)</f>
        <v>FRE1</v>
      </c>
      <c r="C121" s="71">
        <f>VLOOKUP(F121,[1]NUTS_Europa!$A$2:$C$81,3,FALSE)</f>
        <v>220</v>
      </c>
      <c r="D121" s="71" t="str">
        <f>VLOOKUP(G121,[1]NUTS_Europa!$A$2:$C$81,2,FALSE)</f>
        <v>FRH0</v>
      </c>
      <c r="E121" s="71">
        <f>VLOOKUP(G121,[1]NUTS_Europa!$A$2:$C$81,3,FALSE)</f>
        <v>283</v>
      </c>
      <c r="F121" s="71">
        <v>21</v>
      </c>
      <c r="G121" s="71">
        <v>23</v>
      </c>
      <c r="H121" s="73">
        <v>1266645.5809649231</v>
      </c>
      <c r="I121" s="73">
        <v>756571.34215317667</v>
      </c>
      <c r="J121" s="73">
        <f t="shared" si="1"/>
        <v>58197.795550244358</v>
      </c>
      <c r="K121" s="74">
        <v>156784.57749147405</v>
      </c>
      <c r="L121" s="71">
        <v>30.871282051282051</v>
      </c>
      <c r="M121" s="71">
        <v>10.926607280557292</v>
      </c>
      <c r="N121" s="71">
        <v>13.078361323091983</v>
      </c>
      <c r="O121" s="71">
        <v>2344.8291581632657</v>
      </c>
    </row>
    <row r="122" spans="1:28" s="71" customFormat="1" x14ac:dyDescent="0.25">
      <c r="A122" s="71" t="s">
        <v>151</v>
      </c>
      <c r="B122" s="71" t="str">
        <f>VLOOKUP(G122,[1]NUTS_Europa!$A$2:$C$81,2,FALSE)</f>
        <v>FRH0</v>
      </c>
      <c r="C122" s="71">
        <f>VLOOKUP(G122,[1]NUTS_Europa!$A$2:$C$81,3,FALSE)</f>
        <v>283</v>
      </c>
      <c r="D122" s="71" t="str">
        <f>VLOOKUP(F122,[1]NUTS_Europa!$A$2:$C$81,2,FALSE)</f>
        <v>ES61</v>
      </c>
      <c r="E122" s="71">
        <f>VLOOKUP(F122,[1]NUTS_Europa!$A$2:$C$81,3,FALSE)</f>
        <v>61</v>
      </c>
      <c r="F122" s="71">
        <v>17</v>
      </c>
      <c r="G122" s="71">
        <v>23</v>
      </c>
      <c r="H122" s="73">
        <v>1733004.9615427819</v>
      </c>
      <c r="I122" s="73">
        <v>1064767.6076030766</v>
      </c>
      <c r="J122" s="73">
        <f t="shared" si="1"/>
        <v>81905.200584852049</v>
      </c>
      <c r="K122" s="74">
        <v>191087.21980936834</v>
      </c>
      <c r="L122" s="75">
        <v>52.611282051282053</v>
      </c>
      <c r="M122" s="75">
        <v>10.653467475139895</v>
      </c>
      <c r="N122" s="75">
        <v>11.525728362717443</v>
      </c>
      <c r="O122" s="74">
        <v>2344.8291581632657</v>
      </c>
      <c r="P122" s="75">
        <f t="shared" ref="P122:P127" si="9">N122*(R122/O122)</f>
        <v>7.7564709962130891</v>
      </c>
      <c r="Q122" s="75">
        <f t="shared" ref="Q122:Q127" si="10">P122+M122+L122</f>
        <v>71.021220522635033</v>
      </c>
      <c r="R122" s="71">
        <f>R$112</f>
        <v>1578</v>
      </c>
      <c r="S122" s="73">
        <f t="shared" ref="S122:S127" si="11">H122*(R122/O122)</f>
        <v>1166260.5865310123</v>
      </c>
      <c r="T122" s="73">
        <f t="shared" ref="T122:T148" si="12">J122*3</f>
        <v>245715.60175455615</v>
      </c>
      <c r="U122" s="73">
        <f t="shared" ref="U122:U127" si="13">T122+S122</f>
        <v>1411976.1882855685</v>
      </c>
      <c r="V122" s="71" t="str">
        <f>VLOOKUP(B122,NUTS_Europa!$B$2:$F$41,5,FALSE)</f>
        <v>Bretagne</v>
      </c>
      <c r="W122" s="71" t="str">
        <f>VLOOKUP(C122,Puertos!$N$3:$O$27,2,FALSE)</f>
        <v>La Rochelle</v>
      </c>
      <c r="X122" s="71" t="str">
        <f>VLOOKUP(D122,NUTS_Europa!$B$2:$F$41,5,FALSE)</f>
        <v>Andalucía</v>
      </c>
      <c r="Y122" s="71" t="str">
        <f>VLOOKUP(E122,Puertos!$N$3:$O$27,2,FALSE)</f>
        <v>Algeciras</v>
      </c>
      <c r="Z122" s="71">
        <f t="shared" ref="Z122:Z127" si="14">(168/2)-Q122</f>
        <v>12.978779477364967</v>
      </c>
      <c r="AA122" s="71">
        <f t="shared" ref="AA122:AA127" si="15">Q122/24</f>
        <v>2.9592175217764596</v>
      </c>
    </row>
    <row r="123" spans="1:28" s="71" customFormat="1" x14ac:dyDescent="0.25">
      <c r="B123" s="71" t="str">
        <f>VLOOKUP(F123,[1]NUTS_Europa!$A$2:$C$81,2,FALSE)</f>
        <v>ES61</v>
      </c>
      <c r="C123" s="71">
        <f>VLOOKUP(F123,[1]NUTS_Europa!$A$2:$C$81,3,FALSE)</f>
        <v>61</v>
      </c>
      <c r="D123" s="71" t="str">
        <f>VLOOKUP(G123,[1]NUTS_Europa!$A$2:$C$81,2,FALSE)</f>
        <v>FRG0</v>
      </c>
      <c r="E123" s="71">
        <f>VLOOKUP(G123,[1]NUTS_Europa!$A$2:$C$81,3,FALSE)</f>
        <v>282</v>
      </c>
      <c r="F123" s="71">
        <v>17</v>
      </c>
      <c r="G123" s="71">
        <v>22</v>
      </c>
      <c r="H123" s="73">
        <v>554223.8332952155</v>
      </c>
      <c r="I123" s="73">
        <v>1069096.3565623946</v>
      </c>
      <c r="J123" s="73">
        <f t="shared" si="1"/>
        <v>82238.181274030358</v>
      </c>
      <c r="K123" s="74">
        <v>115262.59218235347</v>
      </c>
      <c r="L123" s="75">
        <v>53.940307692307691</v>
      </c>
      <c r="M123" s="75">
        <v>6.8404520867054774</v>
      </c>
      <c r="N123" s="75">
        <v>4.7621406380274678</v>
      </c>
      <c r="O123" s="74">
        <v>844.67441860465112</v>
      </c>
      <c r="P123" s="75">
        <f t="shared" si="9"/>
        <v>4.7621406380274678</v>
      </c>
      <c r="Q123" s="75">
        <f t="shared" si="10"/>
        <v>65.542900417040642</v>
      </c>
      <c r="R123" s="74">
        <f>O123</f>
        <v>844.67441860465112</v>
      </c>
      <c r="S123" s="73">
        <f t="shared" si="11"/>
        <v>554223.8332952155</v>
      </c>
      <c r="T123" s="73">
        <f t="shared" si="12"/>
        <v>246714.54382209107</v>
      </c>
      <c r="U123" s="73">
        <f t="shared" si="13"/>
        <v>800938.37711730658</v>
      </c>
      <c r="V123" s="71" t="str">
        <f>VLOOKUP(B123,NUTS_Europa!$B$2:$F$41,5,FALSE)</f>
        <v>Andalucía</v>
      </c>
      <c r="W123" s="71" t="str">
        <f>VLOOKUP(C123,Puertos!$N$3:$O$27,2,FALSE)</f>
        <v>Algeciras</v>
      </c>
      <c r="X123" s="71" t="str">
        <f>VLOOKUP(D123,NUTS_Europa!$B$2:$F$41,5,FALSE)</f>
        <v>Pays de la Loire</v>
      </c>
      <c r="Y123" s="71" t="str">
        <f>VLOOKUP(E123,Puertos!$N$3:$O$27,2,FALSE)</f>
        <v>Saint Nazaire</v>
      </c>
      <c r="Z123" s="71">
        <f t="shared" si="14"/>
        <v>18.457099582959358</v>
      </c>
      <c r="AA123" s="71">
        <f t="shared" si="15"/>
        <v>2.7309541840433602</v>
      </c>
      <c r="AB123" s="71">
        <f>AA123+AA122</f>
        <v>5.6901717058198198</v>
      </c>
    </row>
    <row r="124" spans="1:28" s="71" customFormat="1" x14ac:dyDescent="0.25">
      <c r="B124" s="71" t="str">
        <f>VLOOKUP(G124,[1]NUTS_Europa!$A$2:$C$81,2,FALSE)</f>
        <v>FRG0</v>
      </c>
      <c r="C124" s="71">
        <f>VLOOKUP(G124,[1]NUTS_Europa!$A$2:$C$81,3,FALSE)</f>
        <v>282</v>
      </c>
      <c r="D124" s="71" t="str">
        <f>VLOOKUP(F124,[1]NUTS_Europa!$A$2:$C$81,2,FALSE)</f>
        <v>ES62</v>
      </c>
      <c r="E124" s="71">
        <f>VLOOKUP(F124,[1]NUTS_Europa!$A$2:$C$81,3,FALSE)</f>
        <v>1064</v>
      </c>
      <c r="F124" s="71">
        <v>18</v>
      </c>
      <c r="G124" s="71">
        <v>22</v>
      </c>
      <c r="H124" s="73">
        <v>531339.04304623115</v>
      </c>
      <c r="I124" s="73">
        <v>1254204.1372226444</v>
      </c>
      <c r="J124" s="73">
        <f t="shared" si="1"/>
        <v>96477.241324818795</v>
      </c>
      <c r="K124" s="74">
        <v>135416.16142478216</v>
      </c>
      <c r="L124" s="75">
        <v>64.462512820512828</v>
      </c>
      <c r="M124" s="75">
        <v>7.9841022238849231</v>
      </c>
      <c r="N124" s="75">
        <v>5.0582059311999252</v>
      </c>
      <c r="O124" s="74">
        <v>844.67441860465112</v>
      </c>
      <c r="P124" s="75">
        <f t="shared" si="9"/>
        <v>5.0582059311999252</v>
      </c>
      <c r="Q124" s="75">
        <f t="shared" si="10"/>
        <v>77.504820975597681</v>
      </c>
      <c r="R124" s="74">
        <f>O124</f>
        <v>844.67441860465112</v>
      </c>
      <c r="S124" s="73">
        <f t="shared" si="11"/>
        <v>531339.04304623115</v>
      </c>
      <c r="T124" s="73">
        <f t="shared" si="12"/>
        <v>289431.72397445637</v>
      </c>
      <c r="U124" s="73">
        <f t="shared" si="13"/>
        <v>820770.76702068746</v>
      </c>
      <c r="V124" s="71" t="str">
        <f>VLOOKUP(B124,NUTS_Europa!$B$2:$F$41,5,FALSE)</f>
        <v>Pays de la Loire</v>
      </c>
      <c r="W124" s="71" t="str">
        <f>VLOOKUP(C124,Puertos!$N$3:$O$27,2,FALSE)</f>
        <v>Saint Nazaire</v>
      </c>
      <c r="X124" s="71" t="str">
        <f>VLOOKUP(D124,NUTS_Europa!$B$2:$F$41,5,FALSE)</f>
        <v>Región de Murcia</v>
      </c>
      <c r="Y124" s="71" t="str">
        <f>VLOOKUP(E124,Puertos!$N$3:$O$27,2,FALSE)</f>
        <v>Valencia</v>
      </c>
      <c r="Z124" s="71">
        <f t="shared" si="14"/>
        <v>6.4951790244023186</v>
      </c>
      <c r="AA124" s="71">
        <f t="shared" si="15"/>
        <v>3.2293675406499034</v>
      </c>
    </row>
    <row r="125" spans="1:28" s="71" customFormat="1" x14ac:dyDescent="0.25">
      <c r="B125" s="71" t="str">
        <f>VLOOKUP(F125,[1]NUTS_Europa!$A$2:$C$81,2,FALSE)</f>
        <v>ES62</v>
      </c>
      <c r="C125" s="71">
        <f>VLOOKUP(F125,[1]NUTS_Europa!$A$2:$C$81,3,FALSE)</f>
        <v>1064</v>
      </c>
      <c r="D125" s="71" t="str">
        <f>VLOOKUP(G125,[1]NUTS_Europa!$A$2:$C$81,2,FALSE)</f>
        <v>PT17</v>
      </c>
      <c r="E125" s="71">
        <f>VLOOKUP(G125,[1]NUTS_Europa!$A$2:$C$81,3,FALSE)</f>
        <v>294</v>
      </c>
      <c r="F125" s="71">
        <v>18</v>
      </c>
      <c r="G125" s="71">
        <v>39</v>
      </c>
      <c r="H125" s="73">
        <v>1237216.5323886035</v>
      </c>
      <c r="I125" s="73">
        <v>779760.65493295772</v>
      </c>
      <c r="J125" s="73">
        <f t="shared" si="1"/>
        <v>59981.588840996745</v>
      </c>
      <c r="K125" s="74">
        <v>191087.21980936834</v>
      </c>
      <c r="L125" s="75">
        <v>31.760512820512822</v>
      </c>
      <c r="M125" s="75">
        <v>8.0853692180555878</v>
      </c>
      <c r="N125" s="75">
        <v>15.746383121931521</v>
      </c>
      <c r="O125" s="74">
        <v>3107.7929041260345</v>
      </c>
      <c r="P125" s="75">
        <f t="shared" si="9"/>
        <v>7.9953180063636102</v>
      </c>
      <c r="Q125" s="75">
        <f t="shared" si="10"/>
        <v>47.841200044932023</v>
      </c>
      <c r="R125" s="71">
        <f>R$112</f>
        <v>1578</v>
      </c>
      <c r="S125" s="73">
        <f t="shared" si="11"/>
        <v>628203.9210261486</v>
      </c>
      <c r="T125" s="73">
        <f t="shared" si="12"/>
        <v>179944.76652299025</v>
      </c>
      <c r="U125" s="73">
        <f t="shared" si="13"/>
        <v>808148.68754913891</v>
      </c>
      <c r="V125" s="71" t="str">
        <f>VLOOKUP(B125,NUTS_Europa!$B$2:$F$41,5,FALSE)</f>
        <v>Región de Murcia</v>
      </c>
      <c r="W125" s="71" t="str">
        <f>VLOOKUP(C125,Puertos!$N$3:$O$27,2,FALSE)</f>
        <v>Valencia</v>
      </c>
      <c r="X125" s="71" t="str">
        <f>VLOOKUP(D125,NUTS_Europa!$B$2:$F$41,5,FALSE)</f>
        <v>Área Metropolitana de Lisboa</v>
      </c>
      <c r="Y125" s="71" t="str">
        <f>VLOOKUP(E125,Puertos!$N$3:$O$27,2,FALSE)</f>
        <v>Lisboa</v>
      </c>
      <c r="Z125" s="71">
        <f t="shared" si="14"/>
        <v>36.158799955067977</v>
      </c>
      <c r="AA125" s="71">
        <f t="shared" si="15"/>
        <v>1.993383335205501</v>
      </c>
      <c r="AB125" s="71">
        <f>AA125+AA124</f>
        <v>5.2227508758554047</v>
      </c>
    </row>
    <row r="126" spans="1:28" s="71" customFormat="1" x14ac:dyDescent="0.25">
      <c r="B126" s="71" t="str">
        <f>VLOOKUP(G126,[1]NUTS_Europa!$A$2:$C$81,2,FALSE)</f>
        <v>PT17</v>
      </c>
      <c r="C126" s="71">
        <f>VLOOKUP(G126,[1]NUTS_Europa!$A$2:$C$81,3,FALSE)</f>
        <v>294</v>
      </c>
      <c r="D126" s="71" t="str">
        <f>VLOOKUP(F126,[1]NUTS_Europa!$A$2:$C$81,2,FALSE)</f>
        <v>FRJ1</v>
      </c>
      <c r="E126" s="71">
        <f>VLOOKUP(F126,[1]NUTS_Europa!$A$2:$C$81,3,FALSE)</f>
        <v>1063</v>
      </c>
      <c r="F126" s="71">
        <v>26</v>
      </c>
      <c r="G126" s="71">
        <v>39</v>
      </c>
      <c r="H126" s="73">
        <v>1640218.4286312868</v>
      </c>
      <c r="I126" s="73">
        <v>4569841.7775549497</v>
      </c>
      <c r="J126" s="73">
        <f t="shared" si="1"/>
        <v>351526.29058114998</v>
      </c>
      <c r="K126" s="74">
        <v>137713.62258431225</v>
      </c>
      <c r="L126" s="75">
        <v>41.743589743589745</v>
      </c>
      <c r="M126" s="75">
        <v>8.8446813439457177</v>
      </c>
      <c r="N126" s="75">
        <v>15.746383121931521</v>
      </c>
      <c r="O126" s="74">
        <v>3107.7929041260345</v>
      </c>
      <c r="P126" s="75">
        <f t="shared" si="9"/>
        <v>7.9953180063636102</v>
      </c>
      <c r="Q126" s="75">
        <f t="shared" si="10"/>
        <v>58.583589093899072</v>
      </c>
      <c r="R126" s="71">
        <f>R$112</f>
        <v>1578</v>
      </c>
      <c r="S126" s="73">
        <f t="shared" si="11"/>
        <v>832830.48781786056</v>
      </c>
      <c r="T126" s="73">
        <f t="shared" si="12"/>
        <v>1054578.8717434499</v>
      </c>
      <c r="U126" s="73">
        <f t="shared" si="13"/>
        <v>1887409.3595613106</v>
      </c>
      <c r="V126" s="71" t="str">
        <f>VLOOKUP(B126,NUTS_Europa!$B$2:$F$41,5,FALSE)</f>
        <v>Área Metropolitana de Lisboa</v>
      </c>
      <c r="W126" s="71" t="str">
        <f>VLOOKUP(C126,Puertos!$N$3:$O$27,2,FALSE)</f>
        <v>Lisboa</v>
      </c>
      <c r="X126" s="71" t="str">
        <f>VLOOKUP(D126,NUTS_Europa!$B$2:$F$41,5,FALSE)</f>
        <v>Languedoc-Roussillon</v>
      </c>
      <c r="Y126" s="71" t="str">
        <f>VLOOKUP(E126,Puertos!$N$3:$O$27,2,FALSE)</f>
        <v>Barcelona</v>
      </c>
      <c r="Z126" s="71">
        <f t="shared" si="14"/>
        <v>25.416410906100928</v>
      </c>
      <c r="AA126" s="71">
        <f t="shared" si="15"/>
        <v>2.4409828789124615</v>
      </c>
    </row>
    <row r="127" spans="1:28" s="71" customFormat="1" x14ac:dyDescent="0.25">
      <c r="B127" s="71" t="str">
        <f>VLOOKUP(F127,[1]NUTS_Europa!$A$2:$C$81,2,FALSE)</f>
        <v>FRJ1</v>
      </c>
      <c r="C127" s="71">
        <f>VLOOKUP(F127,[1]NUTS_Europa!$A$2:$C$81,3,FALSE)</f>
        <v>1063</v>
      </c>
      <c r="D127" s="71" t="str">
        <f>VLOOKUP(G127,[1]NUTS_Europa!$A$2:$C$81,2,FALSE)</f>
        <v>FRJ2</v>
      </c>
      <c r="E127" s="71">
        <f>VLOOKUP(G127,[1]NUTS_Europa!$A$2:$C$81,3,FALSE)</f>
        <v>283</v>
      </c>
      <c r="F127" s="71">
        <v>26</v>
      </c>
      <c r="G127" s="71">
        <v>28</v>
      </c>
      <c r="H127" s="73">
        <v>2392976.3029271034</v>
      </c>
      <c r="I127" s="73">
        <v>5137765.8197083147</v>
      </c>
      <c r="J127" s="73">
        <f t="shared" si="1"/>
        <v>395212.75536217808</v>
      </c>
      <c r="K127" s="74">
        <v>142841.86171918266</v>
      </c>
      <c r="L127" s="75">
        <v>79.166000000000011</v>
      </c>
      <c r="M127" s="75">
        <v>12.55642973820947</v>
      </c>
      <c r="N127" s="75">
        <v>12.347610163397219</v>
      </c>
      <c r="O127" s="74">
        <v>2344.8291581632657</v>
      </c>
      <c r="P127" s="75">
        <f t="shared" si="9"/>
        <v>8.3095729042807065</v>
      </c>
      <c r="Q127" s="75">
        <f t="shared" si="10"/>
        <v>100.03200264249018</v>
      </c>
      <c r="R127" s="71">
        <f>R$112</f>
        <v>1578</v>
      </c>
      <c r="S127" s="73">
        <f t="shared" si="11"/>
        <v>1610401.5906117652</v>
      </c>
      <c r="T127" s="73">
        <f t="shared" si="12"/>
        <v>1185638.2660865341</v>
      </c>
      <c r="U127" s="73">
        <f t="shared" si="13"/>
        <v>2796039.8566982993</v>
      </c>
      <c r="V127" s="71" t="str">
        <f>VLOOKUP(B127,NUTS_Europa!$B$2:$F$41,5,FALSE)</f>
        <v>Languedoc-Roussillon</v>
      </c>
      <c r="W127" s="71" t="str">
        <f>VLOOKUP(C127,Puertos!$N$3:$O$27,2,FALSE)</f>
        <v>Barcelona</v>
      </c>
      <c r="X127" s="71" t="str">
        <f>VLOOKUP(D127,NUTS_Europa!$B$2:$F$41,5,FALSE)</f>
        <v>Midi-Pyrénées</v>
      </c>
      <c r="Y127" s="71" t="str">
        <f>VLOOKUP(E127,Puertos!$N$3:$O$27,2,FALSE)</f>
        <v>La Rochelle</v>
      </c>
      <c r="Z127" s="71">
        <f t="shared" si="14"/>
        <v>-16.032002642490184</v>
      </c>
      <c r="AA127" s="71">
        <f t="shared" si="15"/>
        <v>4.1680001101037574</v>
      </c>
      <c r="AB127" s="71">
        <f>AA127+AA126</f>
        <v>6.6089829890162193</v>
      </c>
    </row>
    <row r="128" spans="1:28" s="71" customFormat="1" x14ac:dyDescent="0.25">
      <c r="B128" s="71" t="str">
        <f>VLOOKUP(G128,[1]NUTS_Europa!$A$2:$C$81,2,FALSE)</f>
        <v>FRJ2</v>
      </c>
      <c r="C128" s="71">
        <f>VLOOKUP(G128,[1]NUTS_Europa!$A$2:$C$81,3,FALSE)</f>
        <v>283</v>
      </c>
      <c r="D128" s="71" t="str">
        <f>VLOOKUP(F128,[1]NUTS_Europa!$A$2:$C$81,2,FALSE)</f>
        <v>FRF2</v>
      </c>
      <c r="E128" s="71">
        <f>VLOOKUP(F128,[1]NUTS_Europa!$A$2:$C$81,3,FALSE)</f>
        <v>269</v>
      </c>
      <c r="F128" s="71">
        <v>27</v>
      </c>
      <c r="G128" s="71">
        <v>28</v>
      </c>
      <c r="H128" s="71">
        <v>1947814.0373826975</v>
      </c>
      <c r="I128" s="71">
        <v>758900.30058542779</v>
      </c>
      <c r="K128" s="71">
        <v>176841.96373917855</v>
      </c>
      <c r="L128" s="71">
        <v>23.743589743589745</v>
      </c>
      <c r="M128" s="71">
        <v>13.516640278358285</v>
      </c>
      <c r="N128" s="71">
        <v>14.508624423727444</v>
      </c>
      <c r="O128" s="71">
        <v>2344.8291581632657</v>
      </c>
      <c r="T128" s="73">
        <f t="shared" si="12"/>
        <v>0</v>
      </c>
    </row>
    <row r="129" spans="1:20" s="71" customFormat="1" x14ac:dyDescent="0.25">
      <c r="B129" s="71" t="str">
        <f>VLOOKUP(F129,[1]NUTS_Europa!$A$2:$C$81,2,FALSE)</f>
        <v>FRF2</v>
      </c>
      <c r="C129" s="71">
        <f>VLOOKUP(F129,[1]NUTS_Europa!$A$2:$C$81,3,FALSE)</f>
        <v>269</v>
      </c>
      <c r="D129" s="71" t="str">
        <f>VLOOKUP(G129,[1]NUTS_Europa!$A$2:$C$81,2,FALSE)</f>
        <v>FRG0</v>
      </c>
      <c r="E129" s="71">
        <f>VLOOKUP(G129,[1]NUTS_Europa!$A$2:$C$81,3,FALSE)</f>
        <v>283</v>
      </c>
      <c r="F129" s="71">
        <v>27</v>
      </c>
      <c r="G129" s="71">
        <v>62</v>
      </c>
      <c r="H129" s="71">
        <v>1399794.635511728</v>
      </c>
      <c r="I129" s="71">
        <v>758900.30058542779</v>
      </c>
      <c r="K129" s="71">
        <v>141512.315270936</v>
      </c>
      <c r="L129" s="71">
        <v>23.743589743589745</v>
      </c>
      <c r="M129" s="71">
        <v>13.516640278358285</v>
      </c>
      <c r="N129" s="71">
        <v>14.508624423727444</v>
      </c>
      <c r="O129" s="71">
        <v>2344.8291581632657</v>
      </c>
      <c r="T129" s="73">
        <f t="shared" si="12"/>
        <v>0</v>
      </c>
    </row>
    <row r="130" spans="1:20" s="71" customFormat="1" x14ac:dyDescent="0.25">
      <c r="B130" s="71" t="str">
        <f>VLOOKUP(G130,[1]NUTS_Europa!$A$2:$C$81,2,FALSE)</f>
        <v>FRG0</v>
      </c>
      <c r="C130" s="71">
        <f>VLOOKUP(G130,[1]NUTS_Europa!$A$2:$C$81,3,FALSE)</f>
        <v>283</v>
      </c>
      <c r="D130" s="71" t="str">
        <f>VLOOKUP(F130,[1]NUTS_Europa!$A$2:$C$81,2,FALSE)</f>
        <v>FRI2</v>
      </c>
      <c r="E130" s="71">
        <f>VLOOKUP(F130,[1]NUTS_Europa!$A$2:$C$81,3,FALSE)</f>
        <v>269</v>
      </c>
      <c r="F130" s="71">
        <v>29</v>
      </c>
      <c r="G130" s="71">
        <v>62</v>
      </c>
      <c r="H130" s="71">
        <v>1412109.6782504013</v>
      </c>
      <c r="I130" s="71">
        <v>758900.30058542779</v>
      </c>
      <c r="K130" s="71">
        <v>118487.95435333898</v>
      </c>
      <c r="L130" s="71">
        <v>23.743589743589745</v>
      </c>
      <c r="M130" s="71">
        <v>13.516640278358285</v>
      </c>
      <c r="N130" s="71">
        <v>14.508624423727444</v>
      </c>
      <c r="O130" s="71">
        <v>2344.8291581632657</v>
      </c>
      <c r="T130" s="73">
        <f t="shared" si="12"/>
        <v>0</v>
      </c>
    </row>
    <row r="131" spans="1:20" s="71" customFormat="1" x14ac:dyDescent="0.25">
      <c r="B131" s="71" t="str">
        <f>VLOOKUP(F131,[1]NUTS_Europa!$A$2:$C$81,2,FALSE)</f>
        <v>FRI2</v>
      </c>
      <c r="C131" s="71">
        <f>VLOOKUP(F131,[1]NUTS_Europa!$A$2:$C$81,3,FALSE)</f>
        <v>269</v>
      </c>
      <c r="D131" s="71" t="str">
        <f>VLOOKUP(G131,[1]NUTS_Europa!$A$2:$C$81,2,FALSE)</f>
        <v>PT11</v>
      </c>
      <c r="E131" s="71">
        <f>VLOOKUP(G131,[1]NUTS_Europa!$A$2:$C$81,3,FALSE)</f>
        <v>111</v>
      </c>
      <c r="F131" s="71">
        <v>29</v>
      </c>
      <c r="G131" s="71">
        <v>36</v>
      </c>
      <c r="H131" s="71">
        <v>1566947.4383149692</v>
      </c>
      <c r="I131" s="71">
        <v>1010976.2637488907</v>
      </c>
      <c r="K131" s="71">
        <v>114346.85142443764</v>
      </c>
      <c r="L131" s="71">
        <v>40.87025641025641</v>
      </c>
      <c r="M131" s="71">
        <v>11.315162289248464</v>
      </c>
      <c r="N131" s="71">
        <v>18.610551183211584</v>
      </c>
      <c r="O131" s="71">
        <v>3107.7929041260345</v>
      </c>
      <c r="T131" s="73">
        <f t="shared" si="12"/>
        <v>0</v>
      </c>
    </row>
    <row r="132" spans="1:20" s="71" customFormat="1" x14ac:dyDescent="0.25">
      <c r="B132" s="71" t="str">
        <f>VLOOKUP(G132,[1]NUTS_Europa!$A$2:$C$81,2,FALSE)</f>
        <v>PT11</v>
      </c>
      <c r="C132" s="71">
        <f>VLOOKUP(G132,[1]NUTS_Europa!$A$2:$C$81,3,FALSE)</f>
        <v>111</v>
      </c>
      <c r="D132" s="71" t="str">
        <f>VLOOKUP(F132,[1]NUTS_Europa!$A$2:$C$81,2,FALSE)</f>
        <v>NL34</v>
      </c>
      <c r="E132" s="71">
        <f>VLOOKUP(F132,[1]NUTS_Europa!$A$2:$C$81,3,FALSE)</f>
        <v>250</v>
      </c>
      <c r="F132" s="71">
        <v>34</v>
      </c>
      <c r="G132" s="71">
        <v>36</v>
      </c>
      <c r="H132" s="71">
        <v>1358610.4866545277</v>
      </c>
      <c r="I132" s="71">
        <v>1175293.8281937458</v>
      </c>
      <c r="K132" s="71">
        <v>176841.96373917855</v>
      </c>
      <c r="L132" s="71">
        <v>49.426666666666669</v>
      </c>
      <c r="M132" s="71">
        <v>10.822565676659771</v>
      </c>
      <c r="N132" s="71">
        <v>18.610551183211584</v>
      </c>
      <c r="O132" s="71">
        <v>3107.7929041260345</v>
      </c>
      <c r="T132" s="73">
        <f t="shared" si="12"/>
        <v>0</v>
      </c>
    </row>
    <row r="133" spans="1:20" s="71" customFormat="1" x14ac:dyDescent="0.25">
      <c r="A133" s="71" t="s">
        <v>152</v>
      </c>
      <c r="B133" s="71" t="str">
        <f>VLOOKUP(F133,[1]NUTS_Europa!$A$2:$C$81,2,FALSE)</f>
        <v>NL34</v>
      </c>
      <c r="C133" s="71">
        <f>VLOOKUP(F133,[1]NUTS_Europa!$A$2:$C$81,3,FALSE)</f>
        <v>250</v>
      </c>
      <c r="D133" s="71" t="str">
        <f>VLOOKUP(G133,[1]NUTS_Europa!$A$2:$C$81,2,FALSE)</f>
        <v>PT16</v>
      </c>
      <c r="E133" s="71">
        <f>VLOOKUP(G133,[1]NUTS_Europa!$A$2:$C$81,3,FALSE)</f>
        <v>111</v>
      </c>
      <c r="F133" s="71">
        <v>34</v>
      </c>
      <c r="G133" s="71">
        <v>38</v>
      </c>
      <c r="H133" s="71">
        <v>1256597.1845765905</v>
      </c>
      <c r="I133" s="71">
        <v>1175293.8281937458</v>
      </c>
      <c r="K133" s="71">
        <v>199058.85825050285</v>
      </c>
      <c r="L133" s="71">
        <v>49.426666666666669</v>
      </c>
      <c r="M133" s="71">
        <v>10.822565676659771</v>
      </c>
      <c r="N133" s="71">
        <v>18.610551183211584</v>
      </c>
      <c r="O133" s="71">
        <v>3107.7929041260345</v>
      </c>
      <c r="T133" s="73">
        <f t="shared" si="12"/>
        <v>0</v>
      </c>
    </row>
    <row r="134" spans="1:20" s="71" customFormat="1" x14ac:dyDescent="0.25">
      <c r="B134" s="71" t="str">
        <f>VLOOKUP(G134,[1]NUTS_Europa!$A$2:$C$81,2,FALSE)</f>
        <v>PT16</v>
      </c>
      <c r="C134" s="71">
        <f>VLOOKUP(G134,[1]NUTS_Europa!$A$2:$C$81,3,FALSE)</f>
        <v>111</v>
      </c>
      <c r="D134" s="71" t="str">
        <f>VLOOKUP(F134,[1]NUTS_Europa!$A$2:$C$81,2,FALSE)</f>
        <v>NL41</v>
      </c>
      <c r="E134" s="71">
        <f>VLOOKUP(F134,[1]NUTS_Europa!$A$2:$C$81,3,FALSE)</f>
        <v>253</v>
      </c>
      <c r="F134" s="71">
        <v>35</v>
      </c>
      <c r="G134" s="71">
        <v>38</v>
      </c>
      <c r="H134" s="71">
        <v>955245.28033936012</v>
      </c>
      <c r="I134" s="71">
        <v>1101029.3592250734</v>
      </c>
      <c r="K134" s="71">
        <v>122072.63094995193</v>
      </c>
      <c r="L134" s="71">
        <v>49.48205128205128</v>
      </c>
      <c r="M134" s="71">
        <v>12.385931308289724</v>
      </c>
      <c r="N134" s="71">
        <v>18.610551183211584</v>
      </c>
      <c r="O134" s="71">
        <v>3107.7929041260345</v>
      </c>
      <c r="T134" s="73">
        <f t="shared" si="12"/>
        <v>0</v>
      </c>
    </row>
    <row r="135" spans="1:20" s="71" customFormat="1" x14ac:dyDescent="0.25">
      <c r="B135" s="71" t="str">
        <f>VLOOKUP(F135,[1]NUTS_Europa!$A$2:$C$81,2,FALSE)</f>
        <v>NL41</v>
      </c>
      <c r="C135" s="71">
        <f>VLOOKUP(F135,[1]NUTS_Europa!$A$2:$C$81,3,FALSE)</f>
        <v>253</v>
      </c>
      <c r="D135" s="71" t="str">
        <f>VLOOKUP(G135,[1]NUTS_Europa!$A$2:$C$81,2,FALSE)</f>
        <v>PT18</v>
      </c>
      <c r="E135" s="71">
        <f>VLOOKUP(G135,[1]NUTS_Europa!$A$2:$C$81,3,FALSE)</f>
        <v>1065</v>
      </c>
      <c r="F135" s="71">
        <v>35</v>
      </c>
      <c r="G135" s="71">
        <v>40</v>
      </c>
      <c r="H135" s="71">
        <v>2562311.9296272066</v>
      </c>
      <c r="I135" s="71">
        <v>1273821.6951610236</v>
      </c>
      <c r="K135" s="71">
        <v>120437.35243536306</v>
      </c>
      <c r="L135" s="71">
        <v>59.782923076923076</v>
      </c>
      <c r="M135" s="71">
        <v>11.185575571922861</v>
      </c>
      <c r="N135" s="71">
        <v>46.658967189793287</v>
      </c>
      <c r="O135" s="71">
        <v>7791.6234569719818</v>
      </c>
      <c r="T135" s="73">
        <f t="shared" si="12"/>
        <v>0</v>
      </c>
    </row>
    <row r="136" spans="1:20" s="71" customFormat="1" x14ac:dyDescent="0.25">
      <c r="B136" s="71" t="str">
        <f>VLOOKUP(G136,[1]NUTS_Europa!$A$2:$C$81,2,FALSE)</f>
        <v>PT18</v>
      </c>
      <c r="C136" s="71">
        <f>VLOOKUP(G136,[1]NUTS_Europa!$A$2:$C$81,3,FALSE)</f>
        <v>1065</v>
      </c>
      <c r="D136" s="71" t="str">
        <f>VLOOKUP(F136,[1]NUTS_Europa!$A$2:$C$81,2,FALSE)</f>
        <v>ES51</v>
      </c>
      <c r="E136" s="71">
        <f>VLOOKUP(F136,[1]NUTS_Europa!$A$2:$C$81,3,FALSE)</f>
        <v>1063</v>
      </c>
      <c r="F136" s="71">
        <v>15</v>
      </c>
      <c r="G136" s="71">
        <v>40</v>
      </c>
      <c r="H136" s="71">
        <v>2770620.2596714236</v>
      </c>
      <c r="I136" s="71">
        <v>4588043.9448972018</v>
      </c>
      <c r="K136" s="71">
        <v>192445.71807502842</v>
      </c>
      <c r="L136" s="71">
        <v>40.974358974358971</v>
      </c>
      <c r="M136" s="71">
        <v>9.154596012732787</v>
      </c>
      <c r="N136" s="71">
        <v>39.478141523658536</v>
      </c>
      <c r="O136" s="71">
        <v>7791.6234569719818</v>
      </c>
      <c r="T136" s="73">
        <f t="shared" si="12"/>
        <v>0</v>
      </c>
    </row>
    <row r="137" spans="1:20" s="71" customFormat="1" x14ac:dyDescent="0.25">
      <c r="B137" s="71" t="str">
        <f>VLOOKUP(F137,[1]NUTS_Europa!$A$2:$C$81,2,FALSE)</f>
        <v>ES51</v>
      </c>
      <c r="C137" s="71">
        <f>VLOOKUP(F137,[1]NUTS_Europa!$A$2:$C$81,3,FALSE)</f>
        <v>1063</v>
      </c>
      <c r="D137" s="71" t="str">
        <f>VLOOKUP(G137,[1]NUTS_Europa!$A$2:$C$81,2,FALSE)</f>
        <v>ES52</v>
      </c>
      <c r="E137" s="71">
        <f>VLOOKUP(G137,[1]NUTS_Europa!$A$2:$C$81,3,FALSE)</f>
        <v>1064</v>
      </c>
      <c r="F137" s="71">
        <v>15</v>
      </c>
      <c r="G137" s="71">
        <v>16</v>
      </c>
      <c r="H137" s="71">
        <v>3038875.5776029634</v>
      </c>
      <c r="I137" s="71">
        <v>4096077.2625599001</v>
      </c>
      <c r="K137" s="71">
        <v>135416.16142478216</v>
      </c>
      <c r="L137" s="71">
        <v>8.3076923076923084</v>
      </c>
      <c r="M137" s="71">
        <v>10.313667222599831</v>
      </c>
      <c r="N137" s="71">
        <v>59.581222682636778</v>
      </c>
      <c r="O137" s="71">
        <v>11759.278282410953</v>
      </c>
      <c r="T137" s="73">
        <f t="shared" si="12"/>
        <v>0</v>
      </c>
    </row>
    <row r="138" spans="1:20" s="71" customFormat="1" x14ac:dyDescent="0.25">
      <c r="B138" s="71" t="str">
        <f>VLOOKUP(F138,[1]NUTS_Europa!$A$2:$C$81,2,FALSE)</f>
        <v>ES52</v>
      </c>
      <c r="C138" s="71">
        <f>VLOOKUP(F138,[1]NUTS_Europa!$A$2:$C$81,3,FALSE)</f>
        <v>1064</v>
      </c>
      <c r="D138" s="71" t="str">
        <f>VLOOKUP(G138,[1]NUTS_Europa!$A$2:$C$81,2,FALSE)</f>
        <v>PT15</v>
      </c>
      <c r="E138" s="71">
        <f>VLOOKUP(G138,[1]NUTS_Europa!$A$2:$C$81,3,FALSE)</f>
        <v>1065</v>
      </c>
      <c r="F138" s="71">
        <v>16</v>
      </c>
      <c r="G138" s="71">
        <v>37</v>
      </c>
      <c r="H138" s="71">
        <v>2918325.8285786086</v>
      </c>
      <c r="I138" s="71">
        <v>773983.34026542306</v>
      </c>
      <c r="K138" s="71">
        <v>141512.315270936</v>
      </c>
      <c r="L138" s="71">
        <v>29.545128205128204</v>
      </c>
      <c r="M138" s="71">
        <v>8.3952838868426571</v>
      </c>
      <c r="N138" s="71">
        <v>39.478141523658536</v>
      </c>
      <c r="O138" s="71">
        <v>7791.6234569719818</v>
      </c>
      <c r="T138" s="73">
        <f t="shared" si="12"/>
        <v>0</v>
      </c>
    </row>
    <row r="139" spans="1:20" s="71" customFormat="1" x14ac:dyDescent="0.25">
      <c r="B139" s="71" t="str">
        <f>VLOOKUP(G139,[1]NUTS_Europa!$A$2:$C$81,2,FALSE)</f>
        <v>PT15</v>
      </c>
      <c r="C139" s="71">
        <f>VLOOKUP(G139,[1]NUTS_Europa!$A$2:$C$81,3,FALSE)</f>
        <v>1065</v>
      </c>
      <c r="D139" s="71" t="str">
        <f>VLOOKUP(F139,[1]NUTS_Europa!$A$2:$C$81,2,FALSE)</f>
        <v>NL33</v>
      </c>
      <c r="E139" s="71">
        <f>VLOOKUP(F139,[1]NUTS_Europa!$A$2:$C$81,3,FALSE)</f>
        <v>250</v>
      </c>
      <c r="F139" s="71">
        <v>33</v>
      </c>
      <c r="G139" s="71">
        <v>37</v>
      </c>
      <c r="H139" s="71">
        <v>3019110.9186130748</v>
      </c>
      <c r="I139" s="71">
        <v>1337138.2176879437</v>
      </c>
      <c r="K139" s="71">
        <v>114346.85142443764</v>
      </c>
      <c r="L139" s="71">
        <v>59.782564102564102</v>
      </c>
      <c r="M139" s="71">
        <v>9.62220994029291</v>
      </c>
      <c r="N139" s="71">
        <v>46.658967189793287</v>
      </c>
      <c r="O139" s="71">
        <v>7791.6234569719818</v>
      </c>
      <c r="T139" s="73">
        <f t="shared" si="12"/>
        <v>0</v>
      </c>
    </row>
    <row r="140" spans="1:20" s="71" customFormat="1" x14ac:dyDescent="0.25">
      <c r="B140" s="71" t="str">
        <f>VLOOKUP(F140,[1]NUTS_Europa!$A$2:$C$81,2,FALSE)</f>
        <v>NL33</v>
      </c>
      <c r="C140" s="71">
        <f>VLOOKUP(F140,[1]NUTS_Europa!$A$2:$C$81,3,FALSE)</f>
        <v>250</v>
      </c>
      <c r="D140" s="71" t="str">
        <f>VLOOKUP(G140,[1]NUTS_Europa!$A$2:$C$81,2,FALSE)</f>
        <v>NL11</v>
      </c>
      <c r="E140" s="71">
        <f>VLOOKUP(G140,[1]NUTS_Europa!$A$2:$C$81,3,FALSE)</f>
        <v>218</v>
      </c>
      <c r="F140" s="71">
        <v>33</v>
      </c>
      <c r="G140" s="71">
        <v>70</v>
      </c>
      <c r="H140" s="71">
        <v>2009530.2296073569</v>
      </c>
      <c r="I140" s="71">
        <v>553428.44402137853</v>
      </c>
      <c r="K140" s="71">
        <v>135416.16142478216</v>
      </c>
      <c r="L140" s="71">
        <v>3.4871794871794872</v>
      </c>
      <c r="M140" s="71">
        <v>8.4049187760215052</v>
      </c>
      <c r="N140" s="71">
        <v>31.736643810204658</v>
      </c>
      <c r="O140" s="71">
        <v>5603.5863070190189</v>
      </c>
      <c r="T140" s="73">
        <f t="shared" si="12"/>
        <v>0</v>
      </c>
    </row>
    <row r="141" spans="1:20" s="71" customFormat="1" x14ac:dyDescent="0.25">
      <c r="B141" s="71" t="str">
        <f>VLOOKUP(G141,[1]NUTS_Europa!$A$2:$C$81,2,FALSE)</f>
        <v>NL11</v>
      </c>
      <c r="C141" s="71">
        <f>VLOOKUP(G141,[1]NUTS_Europa!$A$2:$C$81,3,FALSE)</f>
        <v>218</v>
      </c>
      <c r="D141" s="71" t="str">
        <f>VLOOKUP(F141,[1]NUTS_Europa!$A$2:$C$81,2,FALSE)</f>
        <v>DE50</v>
      </c>
      <c r="E141" s="71">
        <f>VLOOKUP(F141,[1]NUTS_Europa!$A$2:$C$81,3,FALSE)</f>
        <v>1069</v>
      </c>
      <c r="F141" s="71">
        <v>44</v>
      </c>
      <c r="G141" s="71">
        <v>70</v>
      </c>
      <c r="H141" s="71">
        <v>2265567.9596990589</v>
      </c>
      <c r="I141" s="71">
        <v>614642.19701941637</v>
      </c>
      <c r="K141" s="71">
        <v>120437.35243536306</v>
      </c>
      <c r="L141" s="71">
        <v>13.844615384615386</v>
      </c>
      <c r="M141" s="71">
        <v>7.1823031627156571</v>
      </c>
      <c r="N141" s="71">
        <v>26.572331571804849</v>
      </c>
      <c r="O141" s="71">
        <v>5603.5863070190189</v>
      </c>
      <c r="T141" s="73">
        <f t="shared" si="12"/>
        <v>0</v>
      </c>
    </row>
    <row r="142" spans="1:20" s="71" customFormat="1" x14ac:dyDescent="0.25">
      <c r="A142" s="71" t="s">
        <v>153</v>
      </c>
      <c r="B142" s="71" t="str">
        <f>VLOOKUP(F142,[1]NUTS_Europa!$A$2:$C$81,2,FALSE)</f>
        <v>DE50</v>
      </c>
      <c r="C142" s="71">
        <f>VLOOKUP(F142,[1]NUTS_Europa!$A$2:$C$81,3,FALSE)</f>
        <v>1069</v>
      </c>
      <c r="D142" s="71" t="str">
        <f>VLOOKUP(G142,[1]NUTS_Europa!$A$2:$C$81,2,FALSE)</f>
        <v>ES12</v>
      </c>
      <c r="E142" s="71">
        <f>VLOOKUP(G142,[1]NUTS_Europa!$A$2:$C$81,3,FALSE)</f>
        <v>163</v>
      </c>
      <c r="F142" s="71">
        <v>44</v>
      </c>
      <c r="G142" s="71">
        <v>52</v>
      </c>
      <c r="H142" s="71">
        <v>1753248.3728589457</v>
      </c>
      <c r="I142" s="71">
        <v>1147710.6165584009</v>
      </c>
      <c r="K142" s="71">
        <v>120125.80522925351</v>
      </c>
      <c r="L142" s="71">
        <v>53.746153846153845</v>
      </c>
      <c r="M142" s="71">
        <v>10.035672417878224</v>
      </c>
      <c r="N142" s="71">
        <v>19.051623323019999</v>
      </c>
      <c r="O142" s="71">
        <v>3181.447942754919</v>
      </c>
      <c r="T142" s="73">
        <f t="shared" si="12"/>
        <v>0</v>
      </c>
    </row>
    <row r="143" spans="1:20" s="71" customFormat="1" x14ac:dyDescent="0.25">
      <c r="B143" s="71" t="str">
        <f>VLOOKUP(G143,[1]NUTS_Europa!$A$2:$C$81,2,FALSE)</f>
        <v>ES12</v>
      </c>
      <c r="C143" s="71">
        <f>VLOOKUP(G143,[1]NUTS_Europa!$A$2:$C$81,3,FALSE)</f>
        <v>163</v>
      </c>
      <c r="D143" s="71" t="str">
        <f>VLOOKUP(F143,[1]NUTS_Europa!$A$2:$C$81,2,FALSE)</f>
        <v>BE23</v>
      </c>
      <c r="E143" s="71">
        <f>VLOOKUP(F143,[1]NUTS_Europa!$A$2:$C$81,3,FALSE)</f>
        <v>220</v>
      </c>
      <c r="F143" s="71">
        <v>42</v>
      </c>
      <c r="G143" s="71">
        <v>52</v>
      </c>
      <c r="H143" s="71">
        <v>1601892.4180811774</v>
      </c>
      <c r="I143" s="71">
        <v>868774.04423832486</v>
      </c>
      <c r="K143" s="71">
        <v>137713.62258431225</v>
      </c>
      <c r="L143" s="71">
        <v>37.435897435897438</v>
      </c>
      <c r="M143" s="71">
        <v>9.1608516459717713</v>
      </c>
      <c r="N143" s="71">
        <v>20.043101429466677</v>
      </c>
      <c r="O143" s="71">
        <v>3181.447942754919</v>
      </c>
      <c r="T143" s="73">
        <f t="shared" si="12"/>
        <v>0</v>
      </c>
    </row>
    <row r="144" spans="1:20" s="71" customFormat="1" x14ac:dyDescent="0.25">
      <c r="B144" s="71" t="str">
        <f>VLOOKUP(F144,[1]NUTS_Europa!$A$2:$C$81,2,FALSE)</f>
        <v>BE23</v>
      </c>
      <c r="C144" s="71">
        <f>VLOOKUP(F144,[1]NUTS_Europa!$A$2:$C$81,3,FALSE)</f>
        <v>220</v>
      </c>
      <c r="D144" s="71" t="str">
        <f>VLOOKUP(G144,[1]NUTS_Europa!$A$2:$C$81,2,FALSE)</f>
        <v>FRJ2</v>
      </c>
      <c r="E144" s="71">
        <f>VLOOKUP(G144,[1]NUTS_Europa!$A$2:$C$81,3,FALSE)</f>
        <v>163</v>
      </c>
      <c r="F144" s="71">
        <v>42</v>
      </c>
      <c r="G144" s="71">
        <v>68</v>
      </c>
      <c r="H144" s="71">
        <v>2658734.4287369908</v>
      </c>
      <c r="I144" s="71">
        <v>868774.04423832486</v>
      </c>
      <c r="K144" s="71">
        <v>156784.57749147405</v>
      </c>
      <c r="L144" s="71">
        <v>37.435897435897438</v>
      </c>
      <c r="M144" s="71">
        <v>9.1608516459717713</v>
      </c>
      <c r="N144" s="71">
        <v>20.043101429466677</v>
      </c>
      <c r="O144" s="71">
        <v>3181.447942754919</v>
      </c>
      <c r="T144" s="73">
        <f t="shared" si="12"/>
        <v>0</v>
      </c>
    </row>
    <row r="145" spans="2:26" s="71" customFormat="1" x14ac:dyDescent="0.25">
      <c r="B145" s="71" t="str">
        <f>VLOOKUP(G145,[1]NUTS_Europa!$A$2:$C$81,2,FALSE)</f>
        <v>FRJ2</v>
      </c>
      <c r="C145" s="71">
        <f>VLOOKUP(G145,[1]NUTS_Europa!$A$2:$C$81,3,FALSE)</f>
        <v>163</v>
      </c>
      <c r="D145" s="71" t="str">
        <f>VLOOKUP(F145,[1]NUTS_Europa!$A$2:$C$81,2,FALSE)</f>
        <v>FRD1</v>
      </c>
      <c r="E145" s="71">
        <f>VLOOKUP(F145,[1]NUTS_Europa!$A$2:$C$81,3,FALSE)</f>
        <v>269</v>
      </c>
      <c r="F145" s="71">
        <v>59</v>
      </c>
      <c r="G145" s="71">
        <v>68</v>
      </c>
      <c r="H145" s="71">
        <v>2897753.1922670826</v>
      </c>
      <c r="I145" s="71">
        <v>884686.44422346039</v>
      </c>
      <c r="K145" s="71">
        <v>145277.79316174539</v>
      </c>
      <c r="L145" s="71">
        <v>31.178974358974358</v>
      </c>
      <c r="M145" s="71">
        <v>11.750884643772764</v>
      </c>
      <c r="N145" s="71">
        <v>21.983672486967205</v>
      </c>
      <c r="O145" s="71">
        <v>3181.447942754919</v>
      </c>
      <c r="T145" s="73">
        <f t="shared" si="12"/>
        <v>0</v>
      </c>
    </row>
    <row r="146" spans="2:26" s="71" customFormat="1" x14ac:dyDescent="0.25">
      <c r="B146" s="71" t="str">
        <f>VLOOKUP(G146,[1]NUTS_Europa!$A$2:$C$81,2,FALSE)</f>
        <v>FRD1</v>
      </c>
      <c r="C146" s="71">
        <f>VLOOKUP(G146,[1]NUTS_Europa!$A$2:$C$81,3,FALSE)</f>
        <v>269</v>
      </c>
      <c r="D146" s="71" t="str">
        <f>VLOOKUP(F146,[1]NUTS_Europa!$A$2:$C$81,2,FALSE)</f>
        <v>BE25</v>
      </c>
      <c r="E146" s="71">
        <f>VLOOKUP(F146,[1]NUTS_Europa!$A$2:$C$81,3,FALSE)</f>
        <v>220</v>
      </c>
      <c r="F146" s="71">
        <v>43</v>
      </c>
      <c r="G146" s="71">
        <v>59</v>
      </c>
      <c r="H146" s="71">
        <v>4232837.4788314467</v>
      </c>
      <c r="I146" s="71">
        <v>527907.35851956042</v>
      </c>
      <c r="K146" s="71">
        <v>199058.85825050285</v>
      </c>
      <c r="L146" s="71">
        <v>9.281538461538462</v>
      </c>
      <c r="M146" s="71">
        <v>10.403367430986599</v>
      </c>
      <c r="N146" s="71">
        <v>103.79774657649504</v>
      </c>
      <c r="O146" s="71">
        <v>16475.849731663686</v>
      </c>
      <c r="T146" s="73">
        <f t="shared" si="12"/>
        <v>0</v>
      </c>
    </row>
    <row r="147" spans="2:26" s="71" customFormat="1" x14ac:dyDescent="0.25">
      <c r="B147" s="71" t="str">
        <f>VLOOKUP(F147,[1]NUTS_Europa!$A$2:$C$81,2,FALSE)</f>
        <v>BE25</v>
      </c>
      <c r="C147" s="71">
        <f>VLOOKUP(F147,[1]NUTS_Europa!$A$2:$C$81,3,FALSE)</f>
        <v>220</v>
      </c>
      <c r="D147" s="71" t="str">
        <f>VLOOKUP(G147,[1]NUTS_Europa!$A$2:$C$81,2,FALSE)</f>
        <v>PT18</v>
      </c>
      <c r="E147" s="71">
        <f>VLOOKUP(G147,[1]NUTS_Europa!$A$2:$C$81,3,FALSE)</f>
        <v>61</v>
      </c>
      <c r="F147" s="71">
        <v>43</v>
      </c>
      <c r="G147" s="71">
        <v>80</v>
      </c>
      <c r="H147" s="71">
        <v>12861602.269692292</v>
      </c>
      <c r="I147" s="71">
        <v>1290442.5620775365</v>
      </c>
      <c r="K147" s="71">
        <v>117768.50934211678</v>
      </c>
      <c r="L147" s="71">
        <v>69.418974358974367</v>
      </c>
      <c r="M147" s="71">
        <v>7.5401946277682068</v>
      </c>
      <c r="N147" s="71">
        <v>96.115676155576978</v>
      </c>
      <c r="O147" s="71">
        <v>19116.553042582418</v>
      </c>
      <c r="T147" s="73">
        <f t="shared" si="12"/>
        <v>0</v>
      </c>
    </row>
    <row r="148" spans="2:26" s="71" customFormat="1" x14ac:dyDescent="0.25">
      <c r="B148" s="71" t="str">
        <f>VLOOKUP(G148,[1]NUTS_Europa!$A$2:$C$81,2,FALSE)</f>
        <v>PT18</v>
      </c>
      <c r="C148" s="71">
        <f>VLOOKUP(G148,[1]NUTS_Europa!$A$2:$C$81,3,FALSE)</f>
        <v>61</v>
      </c>
      <c r="D148" s="71" t="str">
        <f>VLOOKUP(F148,[1]NUTS_Europa!$A$2:$C$81,2,FALSE)</f>
        <v>DE60</v>
      </c>
      <c r="E148" s="71">
        <f>VLOOKUP(F148,[1]NUTS_Europa!$A$2:$C$81,3,FALSE)</f>
        <v>1069</v>
      </c>
      <c r="F148" s="71">
        <v>5</v>
      </c>
      <c r="G148" s="71">
        <v>80</v>
      </c>
      <c r="H148" s="71">
        <v>11943705.904867379</v>
      </c>
      <c r="I148" s="71">
        <v>1570826.3309450187</v>
      </c>
      <c r="K148" s="71">
        <v>118487.95435333898</v>
      </c>
      <c r="L148" s="71">
        <v>85.783589743589744</v>
      </c>
      <c r="M148" s="71">
        <v>8.4150153996746599</v>
      </c>
      <c r="N148" s="71">
        <v>90.158123445777008</v>
      </c>
      <c r="O148" s="71">
        <v>19116.553042582418</v>
      </c>
      <c r="T148" s="73">
        <f t="shared" si="12"/>
        <v>0</v>
      </c>
    </row>
    <row r="149" spans="2:26" s="71" customFormat="1" x14ac:dyDescent="0.25">
      <c r="Q149" s="75">
        <f>Q127+Q126+Q125+Q124+Q123+Q122</f>
        <v>420.52573369659461</v>
      </c>
      <c r="Z149" s="71">
        <f>(Z127+Z126+Z125+Z124+Z123+Z122)/6</f>
        <v>13.912377717234229</v>
      </c>
    </row>
    <row r="150" spans="2:26" s="71" customFormat="1" x14ac:dyDescent="0.25">
      <c r="Q150" s="71">
        <f>Q149/24</f>
        <v>17.521905570691441</v>
      </c>
    </row>
    <row r="151" spans="2:26" s="71" customFormat="1" x14ac:dyDescent="0.25">
      <c r="Q151" s="71">
        <f>Q150/7</f>
        <v>2.5031293672416344</v>
      </c>
    </row>
    <row r="152" spans="2:26" s="71" customFormat="1" x14ac:dyDescent="0.25"/>
    <row r="154" spans="2:26" x14ac:dyDescent="0.25">
      <c r="H154" s="15"/>
      <c r="I154" s="15"/>
    </row>
  </sheetData>
  <autoFilter ref="B3:I83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3DF3-D0DF-4535-AD5B-44FAA973BBCB}">
  <dimension ref="B3:AA147"/>
  <sheetViews>
    <sheetView topLeftCell="A115" workbookViewId="0">
      <selection activeCell="Q127" sqref="Q127:Q129"/>
    </sheetView>
  </sheetViews>
  <sheetFormatPr baseColWidth="10" defaultRowHeight="15" x14ac:dyDescent="0.25"/>
  <cols>
    <col min="6" max="7" width="5" bestFit="1" customWidth="1"/>
    <col min="8" max="9" width="14.7109375" bestFit="1" customWidth="1"/>
    <col min="10" max="10" width="16.140625" bestFit="1" customWidth="1"/>
    <col min="11" max="12" width="11.7109375" bestFit="1" customWidth="1"/>
    <col min="13" max="13" width="13.7109375" bestFit="1" customWidth="1"/>
    <col min="14" max="14" width="11.7109375" bestFit="1" customWidth="1"/>
    <col min="16" max="16" width="9.5703125" bestFit="1" customWidth="1"/>
    <col min="17" max="17" width="11.85546875" customWidth="1"/>
    <col min="18" max="18" width="12" bestFit="1" customWidth="1"/>
    <col min="19" max="21" width="13.85546875" bestFit="1" customWidth="1"/>
  </cols>
  <sheetData>
    <row r="3" spans="2:14" x14ac:dyDescent="0.25">
      <c r="B3" t="s">
        <v>134</v>
      </c>
      <c r="C3" t="s">
        <v>135</v>
      </c>
      <c r="D3" t="s">
        <v>131</v>
      </c>
      <c r="E3" t="s">
        <v>136</v>
      </c>
      <c r="F3" t="s">
        <v>39</v>
      </c>
      <c r="G3" t="s">
        <v>40</v>
      </c>
      <c r="H3" t="s">
        <v>137</v>
      </c>
      <c r="I3" t="s">
        <v>133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71" customFormat="1" x14ac:dyDescent="0.25">
      <c r="B4" s="71" t="str">
        <f>VLOOKUP(F4,[1]NUTS_Europa!$A$2:$C$81,2,FALSE)</f>
        <v>BE21</v>
      </c>
      <c r="C4" s="71">
        <f>VLOOKUP(F4,[1]NUTS_Europa!$A$2:$C$81,3,FALSE)</f>
        <v>253</v>
      </c>
      <c r="D4" s="71" t="str">
        <f>VLOOKUP(G4,[1]NUTS_Europa!$A$2:$C$81,2,FALSE)</f>
        <v>BE25</v>
      </c>
      <c r="E4" s="71">
        <f>VLOOKUP(G4,[1]NUTS_Europa!$A$2:$C$81,3,FALSE)</f>
        <v>235</v>
      </c>
      <c r="F4" s="71">
        <v>1</v>
      </c>
      <c r="G4" s="71">
        <v>3</v>
      </c>
      <c r="H4" s="72">
        <v>286657.42126054224</v>
      </c>
      <c r="I4" s="72">
        <v>486338.31962185231</v>
      </c>
      <c r="J4" s="71">
        <v>135416.16142478216</v>
      </c>
      <c r="K4" s="71">
        <v>8.9857142857142858</v>
      </c>
      <c r="L4" s="71">
        <v>14.933765277661841</v>
      </c>
      <c r="M4" s="71">
        <v>8.4795381465049093</v>
      </c>
      <c r="N4" s="71">
        <v>1522.6567936191168</v>
      </c>
    </row>
    <row r="5" spans="2:14" s="71" customFormat="1" x14ac:dyDescent="0.25">
      <c r="B5" s="71" t="str">
        <f>VLOOKUP(F5,[1]NUTS_Europa!$A$2:$C$81,2,FALSE)</f>
        <v>BE21</v>
      </c>
      <c r="C5" s="71">
        <f>VLOOKUP(F5,[1]NUTS_Europa!$A$2:$C$81,3,FALSE)</f>
        <v>253</v>
      </c>
      <c r="D5" s="71" t="str">
        <f>VLOOKUP(G5,[1]NUTS_Europa!$A$2:$C$81,2,FALSE)</f>
        <v>NL12</v>
      </c>
      <c r="E5" s="71">
        <f>VLOOKUP(G5,[1]NUTS_Europa!$A$2:$C$81,3,FALSE)</f>
        <v>218</v>
      </c>
      <c r="F5" s="71">
        <v>1</v>
      </c>
      <c r="G5" s="71">
        <v>31</v>
      </c>
      <c r="H5" s="71">
        <v>1331261.1704182203</v>
      </c>
      <c r="I5" s="71">
        <v>641997.35762596503</v>
      </c>
      <c r="J5" s="71">
        <v>114203.52260471623</v>
      </c>
      <c r="K5" s="71">
        <v>12.785</v>
      </c>
      <c r="L5" s="71">
        <v>13.909540797229681</v>
      </c>
      <c r="M5" s="71">
        <v>28.627748090021338</v>
      </c>
      <c r="N5" s="71">
        <v>5443.4838411041892</v>
      </c>
    </row>
    <row r="6" spans="2:14" s="71" customFormat="1" x14ac:dyDescent="0.25">
      <c r="B6" s="71" t="str">
        <f>VLOOKUP(F6,[1]NUTS_Europa!$A$2:$C$81,2,FALSE)</f>
        <v>BE23</v>
      </c>
      <c r="C6" s="71">
        <f>VLOOKUP(F6,[1]NUTS_Europa!$A$2:$C$81,3,FALSE)</f>
        <v>253</v>
      </c>
      <c r="D6" s="71" t="str">
        <f>VLOOKUP(G6,[1]NUTS_Europa!$A$2:$C$81,2,FALSE)</f>
        <v>BE25</v>
      </c>
      <c r="E6" s="71">
        <f>VLOOKUP(G6,[1]NUTS_Europa!$A$2:$C$81,3,FALSE)</f>
        <v>235</v>
      </c>
      <c r="F6" s="71">
        <v>2</v>
      </c>
      <c r="G6" s="71">
        <v>3</v>
      </c>
      <c r="H6" s="71">
        <v>354631.86584128684</v>
      </c>
      <c r="I6" s="71">
        <v>486338.31962185231</v>
      </c>
      <c r="J6" s="71">
        <v>135416.16142478216</v>
      </c>
      <c r="K6" s="71">
        <v>8.9857142857142858</v>
      </c>
      <c r="L6" s="71">
        <v>14.933765277661841</v>
      </c>
      <c r="M6" s="71">
        <v>8.4795381465049093</v>
      </c>
      <c r="N6" s="71">
        <v>1522.6567936191168</v>
      </c>
    </row>
    <row r="7" spans="2:14" s="71" customFormat="1" x14ac:dyDescent="0.25">
      <c r="B7" s="71" t="str">
        <f>VLOOKUP(F7,[1]NUTS_Europa!$A$2:$C$81,2,FALSE)</f>
        <v>BE23</v>
      </c>
      <c r="C7" s="71">
        <f>VLOOKUP(F7,[1]NUTS_Europa!$A$2:$C$81,3,FALSE)</f>
        <v>253</v>
      </c>
      <c r="D7" s="71" t="str">
        <f>VLOOKUP(G7,[1]NUTS_Europa!$A$2:$C$81,2,FALSE)</f>
        <v>ES13</v>
      </c>
      <c r="E7" s="71">
        <f>VLOOKUP(G7,[1]NUTS_Europa!$A$2:$C$81,3,FALSE)</f>
        <v>163</v>
      </c>
      <c r="F7" s="71">
        <v>2</v>
      </c>
      <c r="G7" s="71">
        <v>13</v>
      </c>
      <c r="H7" s="71">
        <v>949031.24189557706</v>
      </c>
      <c r="I7" s="71">
        <v>908278.88324064726</v>
      </c>
      <c r="J7" s="71">
        <v>117923.68175590989</v>
      </c>
      <c r="K7" s="71">
        <v>55.422142857142852</v>
      </c>
      <c r="L7" s="71">
        <v>13.951343299811249</v>
      </c>
      <c r="M7" s="71">
        <v>19.79482197960683</v>
      </c>
      <c r="N7" s="71">
        <v>3085.040429338103</v>
      </c>
    </row>
    <row r="8" spans="2:14" s="71" customFormat="1" x14ac:dyDescent="0.25">
      <c r="B8" s="71" t="str">
        <f>VLOOKUP(F8,[1]NUTS_Europa!$A$2:$C$81,2,FALSE)</f>
        <v>DE50</v>
      </c>
      <c r="C8" s="71">
        <f>VLOOKUP(F8,[1]NUTS_Europa!$A$2:$C$81,3,FALSE)</f>
        <v>245</v>
      </c>
      <c r="D8" s="71" t="str">
        <f>VLOOKUP(G8,[1]NUTS_Europa!$A$2:$C$81,2,FALSE)</f>
        <v>ES12</v>
      </c>
      <c r="E8" s="71">
        <f>VLOOKUP(G8,[1]NUTS_Europa!$A$2:$C$81,3,FALSE)</f>
        <v>285</v>
      </c>
      <c r="F8" s="71">
        <v>4</v>
      </c>
      <c r="G8" s="71">
        <v>12</v>
      </c>
      <c r="H8" s="71">
        <v>55467.590571060922</v>
      </c>
      <c r="I8" s="71">
        <v>6044854.2821975788</v>
      </c>
      <c r="J8" s="71">
        <v>114346.85142443764</v>
      </c>
      <c r="K8" s="71">
        <v>71.852857142857147</v>
      </c>
      <c r="L8" s="71">
        <v>9.3335259515845017</v>
      </c>
      <c r="M8" s="71">
        <v>8.6798247044985843E-2</v>
      </c>
      <c r="N8" s="71">
        <v>15.60948133635801</v>
      </c>
    </row>
    <row r="9" spans="2:14" s="71" customFormat="1" x14ac:dyDescent="0.25">
      <c r="B9" s="71" t="str">
        <f>VLOOKUP(F9,[1]NUTS_Europa!$A$2:$C$81,2,FALSE)</f>
        <v>DE50</v>
      </c>
      <c r="C9" s="71">
        <f>VLOOKUP(F9,[1]NUTS_Europa!$A$2:$C$81,3,FALSE)</f>
        <v>245</v>
      </c>
      <c r="D9" s="71" t="str">
        <f>VLOOKUP(G9,[1]NUTS_Europa!$A$2:$C$81,2,FALSE)</f>
        <v>FRD1</v>
      </c>
      <c r="E9" s="71">
        <f>VLOOKUP(G9,[1]NUTS_Europa!$A$2:$C$81,3,FALSE)</f>
        <v>268</v>
      </c>
      <c r="F9" s="71">
        <v>4</v>
      </c>
      <c r="G9" s="71">
        <v>19</v>
      </c>
      <c r="H9" s="71">
        <v>355469.58233453403</v>
      </c>
      <c r="I9" s="71">
        <v>5493928.6546186432</v>
      </c>
      <c r="J9" s="71">
        <v>163171.48832599766</v>
      </c>
      <c r="K9" s="71">
        <v>41.638571428571431</v>
      </c>
      <c r="L9" s="71">
        <v>8.6353940690237216</v>
      </c>
      <c r="M9" s="71">
        <v>0.57391679890327807</v>
      </c>
      <c r="N9" s="71">
        <v>89.445438282647586</v>
      </c>
    </row>
    <row r="10" spans="2:14" s="71" customFormat="1" x14ac:dyDescent="0.25">
      <c r="B10" s="71" t="str">
        <f>VLOOKUP(F10,[1]NUTS_Europa!$A$2:$C$81,2,FALSE)</f>
        <v>DE60</v>
      </c>
      <c r="C10" s="71">
        <f>VLOOKUP(F10,[1]NUTS_Europa!$A$2:$C$81,3,FALSE)</f>
        <v>1069</v>
      </c>
      <c r="D10" s="71" t="str">
        <f>VLOOKUP(G10,[1]NUTS_Europa!$A$2:$C$81,2,FALSE)</f>
        <v>NL32</v>
      </c>
      <c r="E10" s="71">
        <f>VLOOKUP(G10,[1]NUTS_Europa!$A$2:$C$81,3,FALSE)</f>
        <v>218</v>
      </c>
      <c r="F10" s="71">
        <v>5</v>
      </c>
      <c r="G10" s="71">
        <v>32</v>
      </c>
      <c r="H10" s="71">
        <v>330390.53260692285</v>
      </c>
      <c r="I10" s="71">
        <v>643309.24134809233</v>
      </c>
      <c r="J10" s="71">
        <v>119215.96904421839</v>
      </c>
      <c r="K10" s="71">
        <v>19.283571428571431</v>
      </c>
      <c r="L10" s="71">
        <v>9.1877940805951432</v>
      </c>
      <c r="M10" s="71">
        <v>23.969327662730084</v>
      </c>
      <c r="N10" s="71">
        <v>5443.4838411041892</v>
      </c>
    </row>
    <row r="11" spans="2:14" s="71" customFormat="1" x14ac:dyDescent="0.25">
      <c r="B11" s="71" t="str">
        <f>VLOOKUP(F11,[1]NUTS_Europa!$A$2:$C$81,2,FALSE)</f>
        <v>DE60</v>
      </c>
      <c r="C11" s="71">
        <f>VLOOKUP(F11,[1]NUTS_Europa!$A$2:$C$81,3,FALSE)</f>
        <v>1069</v>
      </c>
      <c r="D11" s="71" t="str">
        <f>VLOOKUP(G11,[1]NUTS_Europa!$A$2:$C$81,2,FALSE)</f>
        <v>PT18</v>
      </c>
      <c r="E11" s="71">
        <f>VLOOKUP(G11,[1]NUTS_Europa!$A$2:$C$81,3,FALSE)</f>
        <v>61</v>
      </c>
      <c r="F11" s="71">
        <v>5</v>
      </c>
      <c r="G11" s="71">
        <v>80</v>
      </c>
      <c r="H11" s="71">
        <v>11581775.422901699</v>
      </c>
      <c r="I11" s="71">
        <v>1364981.2834943873</v>
      </c>
      <c r="J11" s="71">
        <v>118487.95435333898</v>
      </c>
      <c r="K11" s="71">
        <v>119.48428571428572</v>
      </c>
      <c r="L11" s="71">
        <v>8.9694603288775365</v>
      </c>
      <c r="M11" s="71">
        <v>81.181340591868462</v>
      </c>
      <c r="N11" s="71">
        <v>18537.263556443555</v>
      </c>
    </row>
    <row r="12" spans="2:14" s="71" customFormat="1" x14ac:dyDescent="0.25">
      <c r="B12" s="71" t="str">
        <f>VLOOKUP(F12,[1]NUTS_Europa!$A$2:$C$81,2,FALSE)</f>
        <v>DE80</v>
      </c>
      <c r="C12" s="71">
        <f>VLOOKUP(F12,[1]NUTS_Europa!$A$2:$C$81,3,FALSE)</f>
        <v>1069</v>
      </c>
      <c r="D12" s="71" t="str">
        <f>VLOOKUP(G12,[1]NUTS_Europa!$A$2:$C$81,2,FALSE)</f>
        <v>ES11</v>
      </c>
      <c r="E12" s="71">
        <f>VLOOKUP(G12,[1]NUTS_Europa!$A$2:$C$81,3,FALSE)</f>
        <v>288</v>
      </c>
      <c r="F12" s="71">
        <v>6</v>
      </c>
      <c r="G12" s="71">
        <v>11</v>
      </c>
      <c r="H12" s="71">
        <v>517213.26083615399</v>
      </c>
      <c r="I12" s="71">
        <v>1144592.6592526953</v>
      </c>
      <c r="J12" s="71">
        <v>142841.86171918266</v>
      </c>
      <c r="K12" s="71">
        <v>82.767857142857139</v>
      </c>
      <c r="L12" s="71">
        <v>10.687691880457653</v>
      </c>
      <c r="M12" s="71">
        <v>4.5189062009214327</v>
      </c>
      <c r="N12" s="71">
        <v>960.4820809003329</v>
      </c>
    </row>
    <row r="13" spans="2:14" s="71" customFormat="1" x14ac:dyDescent="0.25">
      <c r="B13" s="71" t="str">
        <f>VLOOKUP(F13,[1]NUTS_Europa!$A$2:$C$81,2,FALSE)</f>
        <v>DE80</v>
      </c>
      <c r="C13" s="71">
        <f>VLOOKUP(F13,[1]NUTS_Europa!$A$2:$C$81,3,FALSE)</f>
        <v>1069</v>
      </c>
      <c r="D13" s="71" t="str">
        <f>VLOOKUP(G13,[1]NUTS_Europa!$A$2:$C$81,2,FALSE)</f>
        <v>ES21</v>
      </c>
      <c r="E13" s="71">
        <f>VLOOKUP(G13,[1]NUTS_Europa!$A$2:$C$81,3,FALSE)</f>
        <v>163</v>
      </c>
      <c r="F13" s="71">
        <v>6</v>
      </c>
      <c r="G13" s="71">
        <v>14</v>
      </c>
      <c r="H13" s="71">
        <v>1465991.5970483928</v>
      </c>
      <c r="I13" s="71">
        <v>1021019.4141458258</v>
      </c>
      <c r="J13" s="71">
        <v>154854.30087154222</v>
      </c>
      <c r="K13" s="71">
        <v>74.86071428571428</v>
      </c>
      <c r="L13" s="71">
        <v>9.2295965831767113</v>
      </c>
      <c r="M13" s="71">
        <v>17.154708446701989</v>
      </c>
      <c r="N13" s="71">
        <v>3085.040429338103</v>
      </c>
    </row>
    <row r="14" spans="2:14" s="71" customFormat="1" x14ac:dyDescent="0.25">
      <c r="B14" s="71" t="str">
        <f>VLOOKUP(F14,[1]NUTS_Europa!$A$2:$C$81,2,FALSE)</f>
        <v>DE93</v>
      </c>
      <c r="C14" s="71">
        <f>VLOOKUP(F14,[1]NUTS_Europa!$A$2:$C$81,3,FALSE)</f>
        <v>1069</v>
      </c>
      <c r="D14" s="71" t="str">
        <f>VLOOKUP(G14,[1]NUTS_Europa!$A$2:$C$81,2,FALSE)</f>
        <v>NL12</v>
      </c>
      <c r="E14" s="71">
        <f>VLOOKUP(G14,[1]NUTS_Europa!$A$2:$C$81,3,FALSE)</f>
        <v>218</v>
      </c>
      <c r="F14" s="71">
        <v>7</v>
      </c>
      <c r="G14" s="71">
        <v>31</v>
      </c>
      <c r="H14" s="71">
        <v>1453945.1939526554</v>
      </c>
      <c r="I14" s="71">
        <v>643309.24134809233</v>
      </c>
      <c r="J14" s="71">
        <v>163171.48832599766</v>
      </c>
      <c r="K14" s="71">
        <v>19.283571428571431</v>
      </c>
      <c r="L14" s="71">
        <v>9.1877940805951432</v>
      </c>
      <c r="M14" s="71">
        <v>23.969327662730084</v>
      </c>
      <c r="N14" s="71">
        <v>5443.4838411041892</v>
      </c>
    </row>
    <row r="15" spans="2:14" s="71" customFormat="1" x14ac:dyDescent="0.25">
      <c r="B15" s="71" t="str">
        <f>VLOOKUP(F15,[1]NUTS_Europa!$A$2:$C$81,2,FALSE)</f>
        <v>DE93</v>
      </c>
      <c r="C15" s="71">
        <f>VLOOKUP(F15,[1]NUTS_Europa!$A$2:$C$81,3,FALSE)</f>
        <v>1069</v>
      </c>
      <c r="D15" s="71" t="str">
        <f>VLOOKUP(G15,[1]NUTS_Europa!$A$2:$C$81,2,FALSE)</f>
        <v>NL32</v>
      </c>
      <c r="E15" s="71">
        <f>VLOOKUP(G15,[1]NUTS_Europa!$A$2:$C$81,3,FALSE)</f>
        <v>218</v>
      </c>
      <c r="F15" s="71">
        <v>7</v>
      </c>
      <c r="G15" s="71">
        <v>32</v>
      </c>
      <c r="H15" s="71">
        <v>612708.65680003003</v>
      </c>
      <c r="I15" s="71">
        <v>643309.24134809233</v>
      </c>
      <c r="J15" s="71">
        <v>199058.85825050285</v>
      </c>
      <c r="K15" s="71">
        <v>19.283571428571431</v>
      </c>
      <c r="L15" s="71">
        <v>9.1877940805951432</v>
      </c>
      <c r="M15" s="71">
        <v>23.969327662730084</v>
      </c>
      <c r="N15" s="71">
        <v>5443.4838411041892</v>
      </c>
    </row>
    <row r="16" spans="2:14" s="71" customFormat="1" x14ac:dyDescent="0.25">
      <c r="B16" s="71" t="str">
        <f>VLOOKUP(F16,[1]NUTS_Europa!$A$2:$C$81,2,FALSE)</f>
        <v>DE94</v>
      </c>
      <c r="C16" s="71">
        <f>VLOOKUP(F16,[1]NUTS_Europa!$A$2:$C$81,3,FALSE)</f>
        <v>245</v>
      </c>
      <c r="D16" s="71" t="str">
        <f>VLOOKUP(G16,[1]NUTS_Europa!$A$2:$C$81,2,FALSE)</f>
        <v>ES12</v>
      </c>
      <c r="E16" s="71">
        <f>VLOOKUP(G16,[1]NUTS_Europa!$A$2:$C$81,3,FALSE)</f>
        <v>285</v>
      </c>
      <c r="F16" s="71">
        <v>8</v>
      </c>
      <c r="G16" s="71">
        <v>12</v>
      </c>
      <c r="H16" s="71">
        <v>55750.425007186932</v>
      </c>
      <c r="I16" s="71">
        <v>6044854.2821975788</v>
      </c>
      <c r="J16" s="71">
        <v>117061.71481038857</v>
      </c>
      <c r="K16" s="71">
        <v>71.852857142857147</v>
      </c>
      <c r="L16" s="71">
        <v>9.3335259515845017</v>
      </c>
      <c r="M16" s="71">
        <v>8.6798247044985843E-2</v>
      </c>
      <c r="N16" s="71">
        <v>15.60948133635801</v>
      </c>
    </row>
    <row r="17" spans="2:14" s="71" customFormat="1" x14ac:dyDescent="0.25">
      <c r="B17" s="71" t="str">
        <f>VLOOKUP(F17,[1]NUTS_Europa!$A$2:$C$81,2,FALSE)</f>
        <v>DE94</v>
      </c>
      <c r="C17" s="71">
        <f>VLOOKUP(F17,[1]NUTS_Europa!$A$2:$C$81,3,FALSE)</f>
        <v>245</v>
      </c>
      <c r="D17" s="71" t="str">
        <f>VLOOKUP(G17,[1]NUTS_Europa!$A$2:$C$81,2,FALSE)</f>
        <v>FRD1</v>
      </c>
      <c r="E17" s="71">
        <f>VLOOKUP(G17,[1]NUTS_Europa!$A$2:$C$81,3,FALSE)</f>
        <v>268</v>
      </c>
      <c r="F17" s="71">
        <v>8</v>
      </c>
      <c r="G17" s="71">
        <v>19</v>
      </c>
      <c r="H17" s="71">
        <v>357090.28000895266</v>
      </c>
      <c r="I17" s="71">
        <v>5493928.6546186432</v>
      </c>
      <c r="J17" s="71">
        <v>113696.3812050019</v>
      </c>
      <c r="K17" s="71">
        <v>41.638571428571431</v>
      </c>
      <c r="L17" s="71">
        <v>8.6353940690237216</v>
      </c>
      <c r="M17" s="71">
        <v>0.57391679890327807</v>
      </c>
      <c r="N17" s="71">
        <v>89.445438282647586</v>
      </c>
    </row>
    <row r="18" spans="2:14" s="71" customFormat="1" x14ac:dyDescent="0.25">
      <c r="B18" s="71" t="str">
        <f>VLOOKUP(F18,[1]NUTS_Europa!$A$2:$C$81,2,FALSE)</f>
        <v>DEA1</v>
      </c>
      <c r="C18" s="71">
        <f>VLOOKUP(F18,[1]NUTS_Europa!$A$2:$C$81,3,FALSE)</f>
        <v>253</v>
      </c>
      <c r="D18" s="71" t="str">
        <f>VLOOKUP(G18,[1]NUTS_Europa!$A$2:$C$81,2,FALSE)</f>
        <v>ES11</v>
      </c>
      <c r="E18" s="71">
        <f>VLOOKUP(G18,[1]NUTS_Europa!$A$2:$C$81,3,FALSE)</f>
        <v>288</v>
      </c>
      <c r="F18" s="71">
        <v>9</v>
      </c>
      <c r="G18" s="71">
        <v>11</v>
      </c>
      <c r="H18" s="71">
        <v>538562.41891311097</v>
      </c>
      <c r="I18" s="71">
        <v>1047478.5285216311</v>
      </c>
      <c r="J18" s="71">
        <v>142392.8717171422</v>
      </c>
      <c r="K18" s="71">
        <v>63.36785714285714</v>
      </c>
      <c r="L18" s="71">
        <v>15.409438597092191</v>
      </c>
      <c r="M18" s="71">
        <v>5.3408668195839333</v>
      </c>
      <c r="N18" s="71">
        <v>960.4820809003329</v>
      </c>
    </row>
    <row r="19" spans="2:14" s="71" customFormat="1" x14ac:dyDescent="0.25">
      <c r="B19" s="71" t="str">
        <f>VLOOKUP(F19,[1]NUTS_Europa!$A$2:$C$81,2,FALSE)</f>
        <v>DEA1</v>
      </c>
      <c r="C19" s="71">
        <f>VLOOKUP(F19,[1]NUTS_Europa!$A$2:$C$81,3,FALSE)</f>
        <v>253</v>
      </c>
      <c r="D19" s="71" t="str">
        <f>VLOOKUP(G19,[1]NUTS_Europa!$A$2:$C$81,2,FALSE)</f>
        <v>FRI1</v>
      </c>
      <c r="E19" s="71">
        <f>VLOOKUP(G19,[1]NUTS_Europa!$A$2:$C$81,3,FALSE)</f>
        <v>283</v>
      </c>
      <c r="F19" s="71">
        <v>9</v>
      </c>
      <c r="G19" s="71">
        <v>24</v>
      </c>
      <c r="H19" s="71">
        <v>1225137.9921742163</v>
      </c>
      <c r="I19" s="71">
        <v>810279.32801855914</v>
      </c>
      <c r="J19" s="71">
        <v>118487.95435333898</v>
      </c>
      <c r="K19" s="71">
        <v>49.328571428571429</v>
      </c>
      <c r="L19" s="71">
        <v>12.9883424736196</v>
      </c>
      <c r="M19" s="71">
        <v>11.226911756455761</v>
      </c>
      <c r="N19" s="71">
        <v>1954.024298469388</v>
      </c>
    </row>
    <row r="20" spans="2:14" s="71" customFormat="1" x14ac:dyDescent="0.25">
      <c r="B20" s="71" t="str">
        <f>VLOOKUP(F20,[1]NUTS_Europa!$A$2:$C$81,2,FALSE)</f>
        <v>DEF0</v>
      </c>
      <c r="C20" s="71">
        <f>VLOOKUP(F20,[1]NUTS_Europa!$A$2:$C$81,3,FALSE)</f>
        <v>1069</v>
      </c>
      <c r="D20" s="71" t="str">
        <f>VLOOKUP(G20,[1]NUTS_Europa!$A$2:$C$81,2,FALSE)</f>
        <v>ES13</v>
      </c>
      <c r="E20" s="71">
        <f>VLOOKUP(G20,[1]NUTS_Europa!$A$2:$C$81,3,FALSE)</f>
        <v>163</v>
      </c>
      <c r="F20" s="71">
        <v>10</v>
      </c>
      <c r="G20" s="71">
        <v>13</v>
      </c>
      <c r="H20" s="71">
        <v>1079963.8816697879</v>
      </c>
      <c r="I20" s="71">
        <v>1021019.4141458258</v>
      </c>
      <c r="J20" s="71">
        <v>163171.48832599766</v>
      </c>
      <c r="K20" s="71">
        <v>74.86071428571428</v>
      </c>
      <c r="L20" s="71">
        <v>9.2295965831767113</v>
      </c>
      <c r="M20" s="71">
        <v>17.154708446701989</v>
      </c>
      <c r="N20" s="71">
        <v>3085.040429338103</v>
      </c>
    </row>
    <row r="21" spans="2:14" s="71" customFormat="1" x14ac:dyDescent="0.25">
      <c r="B21" s="71" t="str">
        <f>VLOOKUP(F21,[1]NUTS_Europa!$A$2:$C$81,2,FALSE)</f>
        <v>DEF0</v>
      </c>
      <c r="C21" s="71">
        <f>VLOOKUP(F21,[1]NUTS_Europa!$A$2:$C$81,3,FALSE)</f>
        <v>1069</v>
      </c>
      <c r="D21" s="71" t="str">
        <f>VLOOKUP(G21,[1]NUTS_Europa!$A$2:$C$81,2,FALSE)</f>
        <v>ES21</v>
      </c>
      <c r="E21" s="71">
        <f>VLOOKUP(G21,[1]NUTS_Europa!$A$2:$C$81,3,FALSE)</f>
        <v>163</v>
      </c>
      <c r="F21" s="71">
        <v>10</v>
      </c>
      <c r="G21" s="71">
        <v>14</v>
      </c>
      <c r="H21" s="71">
        <v>898494.39951909042</v>
      </c>
      <c r="I21" s="71">
        <v>1021019.4141458258</v>
      </c>
      <c r="J21" s="71">
        <v>199058.85825050285</v>
      </c>
      <c r="K21" s="71">
        <v>74.86071428571428</v>
      </c>
      <c r="L21" s="71">
        <v>9.2295965831767113</v>
      </c>
      <c r="M21" s="71">
        <v>17.154708446701989</v>
      </c>
      <c r="N21" s="71">
        <v>3085.040429338103</v>
      </c>
    </row>
    <row r="22" spans="2:14" s="71" customFormat="1" x14ac:dyDescent="0.25">
      <c r="B22" s="71" t="str">
        <f>VLOOKUP(F22,[1]NUTS_Europa!$A$2:$C$81,2,FALSE)</f>
        <v>ES51</v>
      </c>
      <c r="C22" s="71">
        <f>VLOOKUP(F22,[1]NUTS_Europa!$A$2:$C$81,3,FALSE)</f>
        <v>1063</v>
      </c>
      <c r="D22" s="71" t="str">
        <f>VLOOKUP(G22,[1]NUTS_Europa!$A$2:$C$81,2,FALSE)</f>
        <v>ES52</v>
      </c>
      <c r="E22" s="71">
        <f>VLOOKUP(G22,[1]NUTS_Europa!$A$2:$C$81,3,FALSE)</f>
        <v>1064</v>
      </c>
      <c r="F22" s="71">
        <v>15</v>
      </c>
      <c r="G22" s="71">
        <v>16</v>
      </c>
      <c r="H22" s="71">
        <v>2946788.4388877219</v>
      </c>
      <c r="I22" s="71">
        <v>4370728.6763288528</v>
      </c>
      <c r="J22" s="71">
        <v>135416.16142478216</v>
      </c>
      <c r="K22" s="71">
        <v>11.571428571428571</v>
      </c>
      <c r="L22" s="71">
        <v>10.119207705528375</v>
      </c>
      <c r="M22" s="71">
        <v>53.648893151465145</v>
      </c>
      <c r="N22" s="71">
        <v>11402.936516277287</v>
      </c>
    </row>
    <row r="23" spans="2:14" s="71" customFormat="1" x14ac:dyDescent="0.25">
      <c r="B23" s="71" t="str">
        <f>VLOOKUP(F23,[1]NUTS_Europa!$A$2:$C$81,2,FALSE)</f>
        <v>ES51</v>
      </c>
      <c r="C23" s="71">
        <f>VLOOKUP(F23,[1]NUTS_Europa!$A$2:$C$81,3,FALSE)</f>
        <v>1063</v>
      </c>
      <c r="D23" s="71" t="str">
        <f>VLOOKUP(G23,[1]NUTS_Europa!$A$2:$C$81,2,FALSE)</f>
        <v>PT15</v>
      </c>
      <c r="E23" s="71">
        <f>VLOOKUP(G23,[1]NUTS_Europa!$A$2:$C$81,3,FALSE)</f>
        <v>1065</v>
      </c>
      <c r="F23" s="71">
        <v>15</v>
      </c>
      <c r="G23" s="71">
        <v>37</v>
      </c>
      <c r="H23" s="71">
        <v>3020965.4054705924</v>
      </c>
      <c r="I23" s="71">
        <v>4797887.7084162012</v>
      </c>
      <c r="J23" s="71">
        <v>123614.25510828695</v>
      </c>
      <c r="K23" s="71">
        <v>57.071428571428569</v>
      </c>
      <c r="L23" s="71">
        <v>10.135429227415838</v>
      </c>
      <c r="M23" s="71">
        <v>33.325703883607865</v>
      </c>
      <c r="N23" s="71">
        <v>7083.2940517927127</v>
      </c>
    </row>
    <row r="24" spans="2:14" s="71" customFormat="1" x14ac:dyDescent="0.25">
      <c r="B24" s="71" t="str">
        <f>VLOOKUP(F24,[1]NUTS_Europa!$A$2:$C$81,2,FALSE)</f>
        <v>ES52</v>
      </c>
      <c r="C24" s="71">
        <f>VLOOKUP(F24,[1]NUTS_Europa!$A$2:$C$81,3,FALSE)</f>
        <v>1064</v>
      </c>
      <c r="D24" s="71" t="str">
        <f>VLOOKUP(G24,[1]NUTS_Europa!$A$2:$C$81,2,FALSE)</f>
        <v>PT18</v>
      </c>
      <c r="E24" s="71">
        <f>VLOOKUP(G24,[1]NUTS_Europa!$A$2:$C$81,3,FALSE)</f>
        <v>1065</v>
      </c>
      <c r="F24" s="71">
        <v>16</v>
      </c>
      <c r="G24" s="71">
        <v>40</v>
      </c>
      <c r="H24" s="71">
        <v>2150803.7656658012</v>
      </c>
      <c r="I24" s="71">
        <v>715954.75702814525</v>
      </c>
      <c r="J24" s="71">
        <v>117923.68175590989</v>
      </c>
      <c r="K24" s="71">
        <v>41.152142857142856</v>
      </c>
      <c r="L24" s="71">
        <v>8.5515326523219777</v>
      </c>
      <c r="M24" s="71">
        <v>33.325703883607865</v>
      </c>
      <c r="N24" s="71">
        <v>7083.2940517927127</v>
      </c>
    </row>
    <row r="25" spans="2:14" s="71" customFormat="1" x14ac:dyDescent="0.25">
      <c r="B25" s="71" t="str">
        <f>VLOOKUP(F25,[1]NUTS_Europa!$A$2:$C$81,2,FALSE)</f>
        <v>ES61</v>
      </c>
      <c r="C25" s="71">
        <f>VLOOKUP(F25,[1]NUTS_Europa!$A$2:$C$81,3,FALSE)</f>
        <v>61</v>
      </c>
      <c r="D25" s="71" t="str">
        <f>VLOOKUP(G25,[1]NUTS_Europa!$A$2:$C$81,2,FALSE)</f>
        <v>FRG0</v>
      </c>
      <c r="E25" s="71">
        <f>VLOOKUP(G25,[1]NUTS_Europa!$A$2:$C$81,3,FALSE)</f>
        <v>282</v>
      </c>
      <c r="F25" s="71">
        <v>17</v>
      </c>
      <c r="G25" s="71">
        <v>22</v>
      </c>
      <c r="H25" s="71">
        <v>461853.19441267959</v>
      </c>
      <c r="I25" s="71">
        <v>1015498.5032520832</v>
      </c>
      <c r="J25" s="71">
        <v>115262.59218235347</v>
      </c>
      <c r="K25" s="71">
        <v>75.131142857142862</v>
      </c>
      <c r="L25" s="71">
        <v>14.748525605526405</v>
      </c>
      <c r="M25" s="71">
        <v>3.6849897794260169</v>
      </c>
      <c r="N25" s="71">
        <v>703.89534883720933</v>
      </c>
    </row>
    <row r="26" spans="2:14" s="71" customFormat="1" x14ac:dyDescent="0.25">
      <c r="B26" s="71" t="str">
        <f>VLOOKUP(F26,[1]NUTS_Europa!$A$2:$C$81,2,FALSE)</f>
        <v>ES61</v>
      </c>
      <c r="C26" s="71">
        <f>VLOOKUP(F26,[1]NUTS_Europa!$A$2:$C$81,3,FALSE)</f>
        <v>61</v>
      </c>
      <c r="D26" s="71" t="str">
        <f>VLOOKUP(G26,[1]NUTS_Europa!$A$2:$C$81,2,FALSE)</f>
        <v>FRH0</v>
      </c>
      <c r="E26" s="71">
        <f>VLOOKUP(G26,[1]NUTS_Europa!$A$2:$C$81,3,FALSE)</f>
        <v>283</v>
      </c>
      <c r="F26" s="71">
        <v>17</v>
      </c>
      <c r="G26" s="71">
        <v>23</v>
      </c>
      <c r="H26" s="71">
        <v>1444170.8012856515</v>
      </c>
      <c r="I26" s="71">
        <v>928160.7660955505</v>
      </c>
      <c r="J26" s="71">
        <v>191087.21980936834</v>
      </c>
      <c r="K26" s="71">
        <v>73.28</v>
      </c>
      <c r="L26" s="71">
        <v>9.0907844671787181</v>
      </c>
      <c r="M26" s="71">
        <v>8.9187183759123076</v>
      </c>
      <c r="N26" s="71">
        <v>1954.024298469388</v>
      </c>
    </row>
    <row r="27" spans="2:14" s="71" customFormat="1" x14ac:dyDescent="0.25">
      <c r="B27" s="71" t="str">
        <f>VLOOKUP(F27,[1]NUTS_Europa!$A$2:$C$81,2,FALSE)</f>
        <v>ES62</v>
      </c>
      <c r="C27" s="71">
        <f>VLOOKUP(F27,[1]NUTS_Europa!$A$2:$C$81,3,FALSE)</f>
        <v>1064</v>
      </c>
      <c r="D27" s="71" t="str">
        <f>VLOOKUP(G27,[1]NUTS_Europa!$A$2:$C$81,2,FALSE)</f>
        <v>FRG0</v>
      </c>
      <c r="E27" s="71">
        <f>VLOOKUP(G27,[1]NUTS_Europa!$A$2:$C$81,3,FALSE)</f>
        <v>282</v>
      </c>
      <c r="F27" s="71">
        <v>18</v>
      </c>
      <c r="G27" s="71">
        <v>22</v>
      </c>
      <c r="H27" s="71">
        <v>442782.53587185929</v>
      </c>
      <c r="I27" s="71">
        <v>1155459.4509477154</v>
      </c>
      <c r="J27" s="71">
        <v>135416.16142478216</v>
      </c>
      <c r="K27" s="71">
        <v>89.787071428571423</v>
      </c>
      <c r="L27" s="71">
        <v>14.119356651208065</v>
      </c>
      <c r="M27" s="71">
        <v>3.9140879229523233</v>
      </c>
      <c r="N27" s="71">
        <v>703.89534883720933</v>
      </c>
    </row>
    <row r="28" spans="2:14" s="71" customFormat="1" x14ac:dyDescent="0.25">
      <c r="B28" s="71" t="str">
        <f>VLOOKUP(F28,[1]NUTS_Europa!$A$2:$C$81,2,FALSE)</f>
        <v>ES62</v>
      </c>
      <c r="C28" s="71">
        <f>VLOOKUP(F28,[1]NUTS_Europa!$A$2:$C$81,3,FALSE)</f>
        <v>1064</v>
      </c>
      <c r="D28" s="71" t="str">
        <f>VLOOKUP(G28,[1]NUTS_Europa!$A$2:$C$81,2,FALSE)</f>
        <v>PT17</v>
      </c>
      <c r="E28" s="71">
        <f>VLOOKUP(G28,[1]NUTS_Europa!$A$2:$C$81,3,FALSE)</f>
        <v>294</v>
      </c>
      <c r="F28" s="71">
        <v>18</v>
      </c>
      <c r="G28" s="71">
        <v>39</v>
      </c>
      <c r="H28" s="71">
        <v>1124742.302171458</v>
      </c>
      <c r="I28" s="71">
        <v>703130.25048976485</v>
      </c>
      <c r="J28" s="71">
        <v>191087.21980936834</v>
      </c>
      <c r="K28" s="71">
        <v>44.237857142857145</v>
      </c>
      <c r="L28" s="71">
        <v>6.8603952269372517</v>
      </c>
      <c r="M28" s="71">
        <v>13.292401336695443</v>
      </c>
      <c r="N28" s="71">
        <v>2825.2662764782135</v>
      </c>
    </row>
    <row r="29" spans="2:14" s="71" customFormat="1" x14ac:dyDescent="0.25">
      <c r="B29" s="71" t="str">
        <f>VLOOKUP(F29,[1]NUTS_Europa!$A$2:$C$81,2,FALSE)</f>
        <v>FRD2</v>
      </c>
      <c r="C29" s="71">
        <f>VLOOKUP(F29,[1]NUTS_Europa!$A$2:$C$81,3,FALSE)</f>
        <v>269</v>
      </c>
      <c r="D29" s="71" t="str">
        <f>VLOOKUP(G29,[1]NUTS_Europa!$A$2:$C$81,2,FALSE)</f>
        <v>FRH0</v>
      </c>
      <c r="E29" s="71">
        <f>VLOOKUP(G29,[1]NUTS_Europa!$A$2:$C$81,3,FALSE)</f>
        <v>283</v>
      </c>
      <c r="F29" s="71">
        <v>20</v>
      </c>
      <c r="G29" s="71">
        <v>23</v>
      </c>
      <c r="H29" s="71">
        <v>940206.6192699814</v>
      </c>
      <c r="I29" s="71">
        <v>701660.68044172216</v>
      </c>
      <c r="J29" s="71">
        <v>159445.52860932166</v>
      </c>
      <c r="K29" s="71">
        <v>33.071428571428569</v>
      </c>
      <c r="L29" s="71">
        <v>10.276457353774529</v>
      </c>
      <c r="M29" s="71">
        <v>11.226911756455761</v>
      </c>
      <c r="N29" s="71">
        <v>1954.024298469388</v>
      </c>
    </row>
    <row r="30" spans="2:14" s="71" customFormat="1" x14ac:dyDescent="0.25">
      <c r="B30" s="71" t="str">
        <f>VLOOKUP(F30,[1]NUTS_Europa!$A$2:$C$81,2,FALSE)</f>
        <v>FRD2</v>
      </c>
      <c r="C30" s="71">
        <f>VLOOKUP(F30,[1]NUTS_Europa!$A$2:$C$81,3,FALSE)</f>
        <v>269</v>
      </c>
      <c r="D30" s="71" t="str">
        <f>VLOOKUP(G30,[1]NUTS_Europa!$A$2:$C$81,2,FALSE)</f>
        <v>FRI3</v>
      </c>
      <c r="E30" s="71">
        <f>VLOOKUP(G30,[1]NUTS_Europa!$A$2:$C$81,3,FALSE)</f>
        <v>283</v>
      </c>
      <c r="F30" s="71">
        <v>20</v>
      </c>
      <c r="G30" s="71">
        <v>25</v>
      </c>
      <c r="H30" s="71">
        <v>466847.16400221997</v>
      </c>
      <c r="I30" s="71">
        <v>701660.68044172216</v>
      </c>
      <c r="J30" s="71">
        <v>141512.315270936</v>
      </c>
      <c r="K30" s="71">
        <v>33.071428571428569</v>
      </c>
      <c r="L30" s="71">
        <v>10.276457353774529</v>
      </c>
      <c r="M30" s="71">
        <v>11.226911756455761</v>
      </c>
      <c r="N30" s="71">
        <v>1954.024298469388</v>
      </c>
    </row>
    <row r="31" spans="2:14" s="71" customFormat="1" x14ac:dyDescent="0.25">
      <c r="B31" s="71" t="str">
        <f>VLOOKUP(F31,[1]NUTS_Europa!$A$2:$C$81,2,FALSE)</f>
        <v>FRE1</v>
      </c>
      <c r="C31" s="71">
        <f>VLOOKUP(F31,[1]NUTS_Europa!$A$2:$C$81,3,FALSE)</f>
        <v>220</v>
      </c>
      <c r="D31" s="71" t="str">
        <f>VLOOKUP(G31,[1]NUTS_Europa!$A$2:$C$81,2,FALSE)</f>
        <v>FRI1</v>
      </c>
      <c r="E31" s="71">
        <f>VLOOKUP(G31,[1]NUTS_Europa!$A$2:$C$81,3,FALSE)</f>
        <v>283</v>
      </c>
      <c r="F31" s="71">
        <v>21</v>
      </c>
      <c r="G31" s="71">
        <v>24</v>
      </c>
      <c r="H31" s="71">
        <v>891337.41428845644</v>
      </c>
      <c r="I31" s="71">
        <v>666971.86494409561</v>
      </c>
      <c r="J31" s="71">
        <v>123840.01515725654</v>
      </c>
      <c r="K31" s="71">
        <v>42.999285714285712</v>
      </c>
      <c r="L31" s="71">
        <v>7.9760616637430992</v>
      </c>
      <c r="M31" s="71">
        <v>10.120160547630702</v>
      </c>
      <c r="N31" s="71">
        <v>1954.024298469388</v>
      </c>
    </row>
    <row r="32" spans="2:14" s="71" customFormat="1" x14ac:dyDescent="0.25">
      <c r="B32" s="71" t="str">
        <f>VLOOKUP(F32,[1]NUTS_Europa!$A$2:$C$81,2,FALSE)</f>
        <v>FRE1</v>
      </c>
      <c r="C32" s="71">
        <f>VLOOKUP(F32,[1]NUTS_Europa!$A$2:$C$81,3,FALSE)</f>
        <v>220</v>
      </c>
      <c r="D32" s="71" t="str">
        <f>VLOOKUP(G32,[1]NUTS_Europa!$A$2:$C$81,2,FALSE)</f>
        <v>FRI3</v>
      </c>
      <c r="E32" s="71">
        <f>VLOOKUP(G32,[1]NUTS_Europa!$A$2:$C$81,3,FALSE)</f>
        <v>283</v>
      </c>
      <c r="F32" s="71">
        <v>21</v>
      </c>
      <c r="G32" s="71">
        <v>25</v>
      </c>
      <c r="H32" s="71">
        <v>582178.52886967442</v>
      </c>
      <c r="I32" s="71">
        <v>666971.86494409561</v>
      </c>
      <c r="J32" s="71">
        <v>117061.71481038857</v>
      </c>
      <c r="K32" s="71">
        <v>42.999285714285712</v>
      </c>
      <c r="L32" s="71">
        <v>7.9760616637430992</v>
      </c>
      <c r="M32" s="71">
        <v>10.120160547630702</v>
      </c>
      <c r="N32" s="71">
        <v>1954.024298469388</v>
      </c>
    </row>
    <row r="33" spans="2:14" s="71" customFormat="1" x14ac:dyDescent="0.25">
      <c r="B33" s="71" t="str">
        <f>VLOOKUP(F33,[1]NUTS_Europa!$A$2:$C$81,2,FALSE)</f>
        <v>FRJ1</v>
      </c>
      <c r="C33" s="71">
        <f>VLOOKUP(F33,[1]NUTS_Europa!$A$2:$C$81,3,FALSE)</f>
        <v>1063</v>
      </c>
      <c r="D33" s="71" t="str">
        <f>VLOOKUP(G33,[1]NUTS_Europa!$A$2:$C$81,2,FALSE)</f>
        <v>FRJ2</v>
      </c>
      <c r="E33" s="71">
        <f>VLOOKUP(G33,[1]NUTS_Europa!$A$2:$C$81,3,FALSE)</f>
        <v>283</v>
      </c>
      <c r="F33" s="71">
        <v>26</v>
      </c>
      <c r="G33" s="71">
        <v>28</v>
      </c>
      <c r="H33" s="71">
        <v>1994146.9191059193</v>
      </c>
      <c r="I33" s="71">
        <v>5199815.5421438655</v>
      </c>
      <c r="J33" s="71">
        <v>142841.86171918266</v>
      </c>
      <c r="K33" s="71">
        <v>110.26692857142858</v>
      </c>
      <c r="L33" s="71">
        <v>10.04551208795424</v>
      </c>
      <c r="M33" s="71">
        <v>9.5546983407240393</v>
      </c>
      <c r="N33" s="71">
        <v>1954.024298469388</v>
      </c>
    </row>
    <row r="34" spans="2:14" s="71" customFormat="1" x14ac:dyDescent="0.25">
      <c r="B34" s="71" t="str">
        <f>VLOOKUP(F34,[1]NUTS_Europa!$A$2:$C$81,2,FALSE)</f>
        <v>FRJ1</v>
      </c>
      <c r="C34" s="71">
        <f>VLOOKUP(F34,[1]NUTS_Europa!$A$2:$C$81,3,FALSE)</f>
        <v>1063</v>
      </c>
      <c r="D34" s="71" t="str">
        <f>VLOOKUP(G34,[1]NUTS_Europa!$A$2:$C$81,2,FALSE)</f>
        <v>PT17</v>
      </c>
      <c r="E34" s="71">
        <f>VLOOKUP(G34,[1]NUTS_Europa!$A$2:$C$81,3,FALSE)</f>
        <v>294</v>
      </c>
      <c r="F34" s="71">
        <v>26</v>
      </c>
      <c r="G34" s="71">
        <v>39</v>
      </c>
      <c r="H34" s="71">
        <v>1491107.6623920791</v>
      </c>
      <c r="I34" s="71">
        <v>4758760.8863474885</v>
      </c>
      <c r="J34" s="71">
        <v>137713.62258431225</v>
      </c>
      <c r="K34" s="71">
        <v>58.142857142857146</v>
      </c>
      <c r="L34" s="71">
        <v>8.4442918020311133</v>
      </c>
      <c r="M34" s="71">
        <v>13.292401336695443</v>
      </c>
      <c r="N34" s="71">
        <v>2825.2662764782135</v>
      </c>
    </row>
    <row r="35" spans="2:14" s="71" customFormat="1" x14ac:dyDescent="0.25">
      <c r="B35" s="71" t="str">
        <f>VLOOKUP(F35,[1]NUTS_Europa!$A$2:$C$81,2,FALSE)</f>
        <v>FRF2</v>
      </c>
      <c r="C35" s="71">
        <f>VLOOKUP(F35,[1]NUTS_Europa!$A$2:$C$81,3,FALSE)</f>
        <v>269</v>
      </c>
      <c r="D35" s="71" t="str">
        <f>VLOOKUP(G35,[1]NUTS_Europa!$A$2:$C$81,2,FALSE)</f>
        <v>FRJ2</v>
      </c>
      <c r="E35" s="71">
        <f>VLOOKUP(G35,[1]NUTS_Europa!$A$2:$C$81,3,FALSE)</f>
        <v>283</v>
      </c>
      <c r="F35" s="71">
        <v>27</v>
      </c>
      <c r="G35" s="71">
        <v>28</v>
      </c>
      <c r="H35" s="71">
        <v>1623178.3644855812</v>
      </c>
      <c r="I35" s="71">
        <v>701660.68044172216</v>
      </c>
      <c r="J35" s="71">
        <v>176841.96373917855</v>
      </c>
      <c r="K35" s="71">
        <v>33.071428571428569</v>
      </c>
      <c r="L35" s="71">
        <v>10.276457353774529</v>
      </c>
      <c r="M35" s="71">
        <v>11.226911756455761</v>
      </c>
      <c r="N35" s="71">
        <v>1954.024298469388</v>
      </c>
    </row>
    <row r="36" spans="2:14" s="71" customFormat="1" x14ac:dyDescent="0.25">
      <c r="B36" s="71" t="str">
        <f>VLOOKUP(F36,[1]NUTS_Europa!$A$2:$C$81,2,FALSE)</f>
        <v>FRF2</v>
      </c>
      <c r="C36" s="71">
        <f>VLOOKUP(F36,[1]NUTS_Europa!$A$2:$C$81,3,FALSE)</f>
        <v>269</v>
      </c>
      <c r="D36" s="71" t="str">
        <f>VLOOKUP(G36,[1]NUTS_Europa!$A$2:$C$81,2,FALSE)</f>
        <v>FRG0</v>
      </c>
      <c r="E36" s="71">
        <f>VLOOKUP(G36,[1]NUTS_Europa!$A$2:$C$81,3,FALSE)</f>
        <v>283</v>
      </c>
      <c r="F36" s="71">
        <v>27</v>
      </c>
      <c r="G36" s="71">
        <v>62</v>
      </c>
      <c r="H36" s="71">
        <v>1166495.5295931066</v>
      </c>
      <c r="I36" s="71">
        <v>701660.68044172216</v>
      </c>
      <c r="J36" s="71">
        <v>141512.315270936</v>
      </c>
      <c r="K36" s="71">
        <v>33.071428571428569</v>
      </c>
      <c r="L36" s="71">
        <v>10.276457353774529</v>
      </c>
      <c r="M36" s="71">
        <v>11.226911756455761</v>
      </c>
      <c r="N36" s="71">
        <v>1954.024298469388</v>
      </c>
    </row>
    <row r="37" spans="2:14" s="71" customFormat="1" x14ac:dyDescent="0.25">
      <c r="B37" s="71" t="str">
        <f>VLOOKUP(F37,[1]NUTS_Europa!$A$2:$C$81,2,FALSE)</f>
        <v>FRI2</v>
      </c>
      <c r="C37" s="71">
        <f>VLOOKUP(F37,[1]NUTS_Europa!$A$2:$C$81,3,FALSE)</f>
        <v>269</v>
      </c>
      <c r="D37" s="71" t="str">
        <f>VLOOKUP(G37,[1]NUTS_Europa!$A$2:$C$81,2,FALSE)</f>
        <v>FRG0</v>
      </c>
      <c r="E37" s="71">
        <f>VLOOKUP(G37,[1]NUTS_Europa!$A$2:$C$81,3,FALSE)</f>
        <v>283</v>
      </c>
      <c r="F37" s="71">
        <v>29</v>
      </c>
      <c r="G37" s="71">
        <v>62</v>
      </c>
      <c r="H37" s="71">
        <v>1176758.0652086679</v>
      </c>
      <c r="I37" s="71">
        <v>701660.68044172216</v>
      </c>
      <c r="J37" s="71">
        <v>118487.95435333898</v>
      </c>
      <c r="K37" s="71">
        <v>33.071428571428569</v>
      </c>
      <c r="L37" s="71">
        <v>10.276457353774529</v>
      </c>
      <c r="M37" s="71">
        <v>11.226911756455761</v>
      </c>
      <c r="N37" s="71">
        <v>1954.024298469388</v>
      </c>
    </row>
    <row r="38" spans="2:14" s="71" customFormat="1" x14ac:dyDescent="0.25">
      <c r="B38" s="71" t="str">
        <f>VLOOKUP(F38,[1]NUTS_Europa!$A$2:$C$81,2,FALSE)</f>
        <v>FRI2</v>
      </c>
      <c r="C38" s="71">
        <f>VLOOKUP(F38,[1]NUTS_Europa!$A$2:$C$81,3,FALSE)</f>
        <v>269</v>
      </c>
      <c r="D38" s="71" t="str">
        <f>VLOOKUP(G38,[1]NUTS_Europa!$A$2:$C$81,2,FALSE)</f>
        <v>FRH0</v>
      </c>
      <c r="E38" s="71">
        <f>VLOOKUP(G38,[1]NUTS_Europa!$A$2:$C$81,3,FALSE)</f>
        <v>282</v>
      </c>
      <c r="F38" s="71">
        <v>29</v>
      </c>
      <c r="G38" s="71">
        <v>63</v>
      </c>
      <c r="H38" s="71">
        <v>366653.90907184919</v>
      </c>
      <c r="I38" s="71">
        <v>733527.07336782699</v>
      </c>
      <c r="J38" s="71">
        <v>127001.21695280854</v>
      </c>
      <c r="K38" s="71">
        <v>28.428571428571427</v>
      </c>
      <c r="L38" s="71">
        <v>15.934198492122217</v>
      </c>
      <c r="M38" s="71">
        <v>4.5164669448092924</v>
      </c>
      <c r="N38" s="71">
        <v>703.89534883720933</v>
      </c>
    </row>
    <row r="39" spans="2:14" s="71" customFormat="1" x14ac:dyDescent="0.25">
      <c r="B39" s="71" t="str">
        <f>VLOOKUP(F39,[1]NUTS_Europa!$A$2:$C$81,2,FALSE)</f>
        <v>NL11</v>
      </c>
      <c r="C39" s="71">
        <f>VLOOKUP(F39,[1]NUTS_Europa!$A$2:$C$81,3,FALSE)</f>
        <v>245</v>
      </c>
      <c r="D39" s="71" t="str">
        <f>VLOOKUP(G39,[1]NUTS_Europa!$A$2:$C$81,2,FALSE)</f>
        <v>FRI1</v>
      </c>
      <c r="E39" s="71">
        <f>VLOOKUP(G39,[1]NUTS_Europa!$A$2:$C$81,3,FALSE)</f>
        <v>275</v>
      </c>
      <c r="F39" s="71">
        <v>30</v>
      </c>
      <c r="G39" s="71">
        <v>64</v>
      </c>
      <c r="H39" s="71">
        <v>758813.06349718978</v>
      </c>
      <c r="I39" s="71">
        <v>8079240.3138220748</v>
      </c>
      <c r="J39" s="71">
        <v>114346.85142443764</v>
      </c>
      <c r="K39" s="71">
        <v>85</v>
      </c>
      <c r="L39" s="71">
        <v>12.829351255965221</v>
      </c>
      <c r="M39" s="71">
        <v>1.1478335978065561</v>
      </c>
      <c r="N39" s="71">
        <v>178.89087656529517</v>
      </c>
    </row>
    <row r="40" spans="2:14" s="71" customFormat="1" x14ac:dyDescent="0.25">
      <c r="B40" s="71" t="str">
        <f>VLOOKUP(F40,[1]NUTS_Europa!$A$2:$C$81,2,FALSE)</f>
        <v>NL11</v>
      </c>
      <c r="C40" s="71">
        <f>VLOOKUP(F40,[1]NUTS_Europa!$A$2:$C$81,3,FALSE)</f>
        <v>245</v>
      </c>
      <c r="D40" s="71" t="str">
        <f>VLOOKUP(G40,[1]NUTS_Europa!$A$2:$C$81,2,FALSE)</f>
        <v>FRI2</v>
      </c>
      <c r="E40" s="71">
        <f>VLOOKUP(G40,[1]NUTS_Europa!$A$2:$C$81,3,FALSE)</f>
        <v>275</v>
      </c>
      <c r="F40" s="71">
        <v>30</v>
      </c>
      <c r="G40" s="71">
        <v>69</v>
      </c>
      <c r="H40" s="71">
        <v>727808.41233439895</v>
      </c>
      <c r="I40" s="71">
        <v>8079240.3138220748</v>
      </c>
      <c r="J40" s="71">
        <v>145277.79316174539</v>
      </c>
      <c r="K40" s="71">
        <v>85</v>
      </c>
      <c r="L40" s="71">
        <v>12.829351255965221</v>
      </c>
      <c r="M40" s="71">
        <v>1.1478335978065561</v>
      </c>
      <c r="N40" s="71">
        <v>178.89087656529517</v>
      </c>
    </row>
    <row r="41" spans="2:14" s="71" customFormat="1" x14ac:dyDescent="0.25">
      <c r="B41" s="71" t="str">
        <f>VLOOKUP(F41,[1]NUTS_Europa!$A$2:$C$81,2,FALSE)</f>
        <v>NL33</v>
      </c>
      <c r="C41" s="71">
        <f>VLOOKUP(F41,[1]NUTS_Europa!$A$2:$C$81,3,FALSE)</f>
        <v>250</v>
      </c>
      <c r="D41" s="71" t="str">
        <f>VLOOKUP(G41,[1]NUTS_Europa!$A$2:$C$81,2,FALSE)</f>
        <v>PT15</v>
      </c>
      <c r="E41" s="71">
        <f>VLOOKUP(G41,[1]NUTS_Europa!$A$2:$C$81,3,FALSE)</f>
        <v>1065</v>
      </c>
      <c r="F41" s="71">
        <v>33</v>
      </c>
      <c r="G41" s="71">
        <v>37</v>
      </c>
      <c r="H41" s="71">
        <v>2744646.2896482507</v>
      </c>
      <c r="I41" s="71">
        <v>1275361.3665347081</v>
      </c>
      <c r="J41" s="71">
        <v>114346.85142443764</v>
      </c>
      <c r="K41" s="71">
        <v>83.268571428571434</v>
      </c>
      <c r="L41" s="71">
        <v>12.039436510349862</v>
      </c>
      <c r="M41" s="71">
        <v>39.387439835539801</v>
      </c>
      <c r="N41" s="71">
        <v>7083.2940517927127</v>
      </c>
    </row>
    <row r="42" spans="2:14" s="71" customFormat="1" x14ac:dyDescent="0.25">
      <c r="B42" s="71" t="str">
        <f>VLOOKUP(F42,[1]NUTS_Europa!$A$2:$C$81,2,FALSE)</f>
        <v>NL33</v>
      </c>
      <c r="C42" s="71">
        <f>VLOOKUP(F42,[1]NUTS_Europa!$A$2:$C$81,3,FALSE)</f>
        <v>250</v>
      </c>
      <c r="D42" s="71" t="str">
        <f>VLOOKUP(G42,[1]NUTS_Europa!$A$2:$C$81,2,FALSE)</f>
        <v>PT18</v>
      </c>
      <c r="E42" s="71">
        <f>VLOOKUP(G42,[1]NUTS_Europa!$A$2:$C$81,3,FALSE)</f>
        <v>1065</v>
      </c>
      <c r="F42" s="71">
        <v>33</v>
      </c>
      <c r="G42" s="71">
        <v>40</v>
      </c>
      <c r="H42" s="71">
        <v>2242426.5747880437</v>
      </c>
      <c r="I42" s="71">
        <v>1275361.3665347081</v>
      </c>
      <c r="J42" s="71">
        <v>137713.62258431225</v>
      </c>
      <c r="K42" s="71">
        <v>83.268571428571434</v>
      </c>
      <c r="L42" s="71">
        <v>12.039436510349862</v>
      </c>
      <c r="M42" s="71">
        <v>39.387439835539801</v>
      </c>
      <c r="N42" s="71">
        <v>7083.2940517927127</v>
      </c>
    </row>
    <row r="43" spans="2:14" s="71" customFormat="1" x14ac:dyDescent="0.25">
      <c r="B43" s="71" t="str">
        <f>VLOOKUP(F43,[1]NUTS_Europa!$A$2:$C$81,2,FALSE)</f>
        <v>NL34</v>
      </c>
      <c r="C43" s="71">
        <f>VLOOKUP(F43,[1]NUTS_Europa!$A$2:$C$81,3,FALSE)</f>
        <v>250</v>
      </c>
      <c r="D43" s="71" t="str">
        <f>VLOOKUP(G43,[1]NUTS_Europa!$A$2:$C$81,2,FALSE)</f>
        <v>PT11</v>
      </c>
      <c r="E43" s="71">
        <f>VLOOKUP(G43,[1]NUTS_Europa!$A$2:$C$81,3,FALSE)</f>
        <v>111</v>
      </c>
      <c r="F43" s="71">
        <v>34</v>
      </c>
      <c r="G43" s="71">
        <v>36</v>
      </c>
      <c r="H43" s="71">
        <v>1235100.4424132071</v>
      </c>
      <c r="I43" s="71">
        <v>1113414.4897076227</v>
      </c>
      <c r="J43" s="71">
        <v>176841.96373917855</v>
      </c>
      <c r="K43" s="71">
        <v>68.844285714285718</v>
      </c>
      <c r="L43" s="71">
        <v>11.872079675254724</v>
      </c>
      <c r="M43" s="71">
        <v>15.710205544269522</v>
      </c>
      <c r="N43" s="71">
        <v>2825.2662764782135</v>
      </c>
    </row>
    <row r="44" spans="2:14" s="71" customFormat="1" x14ac:dyDescent="0.25">
      <c r="B44" s="71" t="str">
        <f>VLOOKUP(F44,[1]NUTS_Europa!$A$2:$C$81,2,FALSE)</f>
        <v>NL34</v>
      </c>
      <c r="C44" s="71">
        <f>VLOOKUP(F44,[1]NUTS_Europa!$A$2:$C$81,3,FALSE)</f>
        <v>250</v>
      </c>
      <c r="D44" s="71" t="str">
        <f>VLOOKUP(G44,[1]NUTS_Europa!$A$2:$C$81,2,FALSE)</f>
        <v>PT16</v>
      </c>
      <c r="E44" s="71">
        <f>VLOOKUP(G44,[1]NUTS_Europa!$A$2:$C$81,3,FALSE)</f>
        <v>111</v>
      </c>
      <c r="F44" s="71">
        <v>34</v>
      </c>
      <c r="G44" s="71">
        <v>38</v>
      </c>
      <c r="H44" s="71">
        <v>1142361.0768878097</v>
      </c>
      <c r="I44" s="71">
        <v>1113414.4897076227</v>
      </c>
      <c r="J44" s="71">
        <v>199058.85825050285</v>
      </c>
      <c r="K44" s="71">
        <v>68.844285714285718</v>
      </c>
      <c r="L44" s="71">
        <v>11.872079675254724</v>
      </c>
      <c r="M44" s="71">
        <v>15.710205544269522</v>
      </c>
      <c r="N44" s="71">
        <v>2825.2662764782135</v>
      </c>
    </row>
    <row r="45" spans="2:14" s="71" customFormat="1" x14ac:dyDescent="0.25">
      <c r="B45" s="71" t="str">
        <f>VLOOKUP(F45,[1]NUTS_Europa!$A$2:$C$81,2,FALSE)</f>
        <v>NL41</v>
      </c>
      <c r="C45" s="71">
        <f>VLOOKUP(F45,[1]NUTS_Europa!$A$2:$C$81,3,FALSE)</f>
        <v>253</v>
      </c>
      <c r="D45" s="71" t="str">
        <f>VLOOKUP(G45,[1]NUTS_Europa!$A$2:$C$81,2,FALSE)</f>
        <v>PT11</v>
      </c>
      <c r="E45" s="71">
        <f>VLOOKUP(G45,[1]NUTS_Europa!$A$2:$C$81,3,FALSE)</f>
        <v>111</v>
      </c>
      <c r="F45" s="71">
        <v>35</v>
      </c>
      <c r="G45" s="71">
        <v>36</v>
      </c>
      <c r="H45" s="71">
        <v>961144.16583390662</v>
      </c>
      <c r="I45" s="71">
        <v>1002653.2544606176</v>
      </c>
      <c r="J45" s="71">
        <v>163029.68053166996</v>
      </c>
      <c r="K45" s="71">
        <v>68.921428571428564</v>
      </c>
      <c r="L45" s="71">
        <v>12.91090277798606</v>
      </c>
      <c r="M45" s="71">
        <v>15.710205544269522</v>
      </c>
      <c r="N45" s="71">
        <v>2825.2662764782135</v>
      </c>
    </row>
    <row r="46" spans="2:14" s="71" customFormat="1" x14ac:dyDescent="0.25">
      <c r="B46" s="71" t="str">
        <f>VLOOKUP(F46,[1]NUTS_Europa!$A$2:$C$81,2,FALSE)</f>
        <v>NL41</v>
      </c>
      <c r="C46" s="71">
        <f>VLOOKUP(F46,[1]NUTS_Europa!$A$2:$C$81,3,FALSE)</f>
        <v>253</v>
      </c>
      <c r="D46" s="71" t="str">
        <f>VLOOKUP(G46,[1]NUTS_Europa!$A$2:$C$81,2,FALSE)</f>
        <v>PT16</v>
      </c>
      <c r="E46" s="71">
        <f>VLOOKUP(G46,[1]NUTS_Europa!$A$2:$C$81,3,FALSE)</f>
        <v>111</v>
      </c>
      <c r="F46" s="71">
        <v>35</v>
      </c>
      <c r="G46" s="71">
        <v>38</v>
      </c>
      <c r="H46" s="71">
        <v>868404.80030850926</v>
      </c>
      <c r="I46" s="71">
        <v>1002653.2544606176</v>
      </c>
      <c r="J46" s="71">
        <v>122072.63094995193</v>
      </c>
      <c r="K46" s="71">
        <v>68.921428571428564</v>
      </c>
      <c r="L46" s="71">
        <v>12.91090277798606</v>
      </c>
      <c r="M46" s="71">
        <v>15.710205544269522</v>
      </c>
      <c r="N46" s="71">
        <v>2825.2662764782135</v>
      </c>
    </row>
    <row r="47" spans="2:14" s="71" customFormat="1" x14ac:dyDescent="0.25">
      <c r="B47" s="71" t="str">
        <f>VLOOKUP(F47,[1]NUTS_Europa!$A$2:$C$81,2,FALSE)</f>
        <v>BE21</v>
      </c>
      <c r="C47" s="71">
        <f>VLOOKUP(F47,[1]NUTS_Europa!$A$2:$C$81,3,FALSE)</f>
        <v>250</v>
      </c>
      <c r="D47" s="71" t="str">
        <f>VLOOKUP(G47,[1]NUTS_Europa!$A$2:$C$81,2,FALSE)</f>
        <v>FRE1</v>
      </c>
      <c r="E47" s="71">
        <f>VLOOKUP(G47,[1]NUTS_Europa!$A$2:$C$81,3,FALSE)</f>
        <v>235</v>
      </c>
      <c r="F47" s="71">
        <v>41</v>
      </c>
      <c r="G47" s="71">
        <v>61</v>
      </c>
      <c r="H47" s="71">
        <v>548348.57647098962</v>
      </c>
      <c r="I47" s="71">
        <v>620821.46772944788</v>
      </c>
      <c r="J47" s="71">
        <v>142392.8717171422</v>
      </c>
      <c r="K47" s="71">
        <v>10.071428571428571</v>
      </c>
      <c r="L47" s="71">
        <v>13.894942174930504</v>
      </c>
      <c r="M47" s="71">
        <v>8.4795381465049093</v>
      </c>
      <c r="N47" s="71">
        <v>1522.6567936191168</v>
      </c>
    </row>
    <row r="48" spans="2:14" s="71" customFormat="1" x14ac:dyDescent="0.25">
      <c r="B48" s="71" t="str">
        <f>VLOOKUP(F48,[1]NUTS_Europa!$A$2:$C$81,2,FALSE)</f>
        <v>BE21</v>
      </c>
      <c r="C48" s="71">
        <f>VLOOKUP(F48,[1]NUTS_Europa!$A$2:$C$81,3,FALSE)</f>
        <v>250</v>
      </c>
      <c r="D48" s="71" t="str">
        <f>VLOOKUP(G48,[1]NUTS_Europa!$A$2:$C$81,2,FALSE)</f>
        <v>FRF2</v>
      </c>
      <c r="E48" s="71">
        <f>VLOOKUP(G48,[1]NUTS_Europa!$A$2:$C$81,3,FALSE)</f>
        <v>235</v>
      </c>
      <c r="F48" s="71">
        <v>41</v>
      </c>
      <c r="G48" s="71">
        <v>67</v>
      </c>
      <c r="H48" s="71">
        <v>1044961.8715844295</v>
      </c>
      <c r="I48" s="71">
        <v>620821.46772944788</v>
      </c>
      <c r="J48" s="71">
        <v>156784.57749147405</v>
      </c>
      <c r="K48" s="71">
        <v>10.071428571428571</v>
      </c>
      <c r="L48" s="71">
        <v>13.894942174930504</v>
      </c>
      <c r="M48" s="71">
        <v>8.4795381465049093</v>
      </c>
      <c r="N48" s="71">
        <v>1522.6567936191168</v>
      </c>
    </row>
    <row r="49" spans="2:14" s="71" customFormat="1" x14ac:dyDescent="0.25">
      <c r="B49" s="71" t="str">
        <f>VLOOKUP(F49,[1]NUTS_Europa!$A$2:$C$81,2,FALSE)</f>
        <v>BE23</v>
      </c>
      <c r="C49" s="71">
        <f>VLOOKUP(F49,[1]NUTS_Europa!$A$2:$C$81,3,FALSE)</f>
        <v>220</v>
      </c>
      <c r="D49" s="71" t="str">
        <f>VLOOKUP(G49,[1]NUTS_Europa!$A$2:$C$81,2,FALSE)</f>
        <v>ES12</v>
      </c>
      <c r="E49" s="71">
        <f>VLOOKUP(G49,[1]NUTS_Europa!$A$2:$C$81,3,FALSE)</f>
        <v>163</v>
      </c>
      <c r="F49" s="71">
        <v>42</v>
      </c>
      <c r="G49" s="71">
        <v>52</v>
      </c>
      <c r="H49" s="71">
        <v>1553350.2235938688</v>
      </c>
      <c r="I49" s="71">
        <v>791622.96681149653</v>
      </c>
      <c r="J49" s="71">
        <v>137713.62258431225</v>
      </c>
      <c r="K49" s="71">
        <v>52.142857142857146</v>
      </c>
      <c r="L49" s="71">
        <v>8.9390624899347468</v>
      </c>
      <c r="M49" s="71">
        <v>18.047467953805491</v>
      </c>
      <c r="N49" s="71">
        <v>3085.040429338103</v>
      </c>
    </row>
    <row r="50" spans="2:14" s="71" customFormat="1" x14ac:dyDescent="0.25">
      <c r="B50" s="71" t="str">
        <f>VLOOKUP(F50,[1]NUTS_Europa!$A$2:$C$81,2,FALSE)</f>
        <v>BE23</v>
      </c>
      <c r="C50" s="71">
        <f>VLOOKUP(F50,[1]NUTS_Europa!$A$2:$C$81,3,FALSE)</f>
        <v>220</v>
      </c>
      <c r="D50" s="71" t="str">
        <f>VLOOKUP(G50,[1]NUTS_Europa!$A$2:$C$81,2,FALSE)</f>
        <v>NL11</v>
      </c>
      <c r="E50" s="71">
        <f>VLOOKUP(G50,[1]NUTS_Europa!$A$2:$C$81,3,FALSE)</f>
        <v>218</v>
      </c>
      <c r="F50" s="71">
        <v>42</v>
      </c>
      <c r="G50" s="71">
        <v>70</v>
      </c>
      <c r="H50" s="71">
        <v>1939166.0287241349</v>
      </c>
      <c r="I50" s="71">
        <v>520174.39031351125</v>
      </c>
      <c r="J50" s="71">
        <v>117061.71481038857</v>
      </c>
      <c r="K50" s="71">
        <v>8.9285714285714288</v>
      </c>
      <c r="L50" s="71">
        <v>8.8972599873531788</v>
      </c>
      <c r="M50" s="71">
        <v>25.544581557199372</v>
      </c>
      <c r="N50" s="71">
        <v>5443.4838411041892</v>
      </c>
    </row>
    <row r="51" spans="2:14" s="71" customFormat="1" x14ac:dyDescent="0.25">
      <c r="B51" s="71" t="str">
        <f>VLOOKUP(F51,[1]NUTS_Europa!$A$2:$C$81,2,FALSE)</f>
        <v>BE25</v>
      </c>
      <c r="C51" s="71">
        <f>VLOOKUP(F51,[1]NUTS_Europa!$A$2:$C$81,3,FALSE)</f>
        <v>220</v>
      </c>
      <c r="D51" s="71" t="str">
        <f>VLOOKUP(G51,[1]NUTS_Europa!$A$2:$C$81,2,FALSE)</f>
        <v>FRD1</v>
      </c>
      <c r="E51" s="71">
        <f>VLOOKUP(G51,[1]NUTS_Europa!$A$2:$C$81,3,FALSE)</f>
        <v>269</v>
      </c>
      <c r="F51" s="71">
        <v>43</v>
      </c>
      <c r="G51" s="71">
        <v>59</v>
      </c>
      <c r="H51" s="71">
        <v>3527364.5656928718</v>
      </c>
      <c r="I51" s="71">
        <v>534487.62041329429</v>
      </c>
      <c r="J51" s="71">
        <v>199058.85825050285</v>
      </c>
      <c r="K51" s="71">
        <v>12.927857142857144</v>
      </c>
      <c r="L51" s="71">
        <v>9.8645991222313842</v>
      </c>
      <c r="M51" s="71">
        <v>80.319684850859261</v>
      </c>
      <c r="N51" s="71">
        <v>13729.874776386405</v>
      </c>
    </row>
    <row r="52" spans="2:14" s="71" customFormat="1" x14ac:dyDescent="0.25">
      <c r="B52" s="71" t="str">
        <f>VLOOKUP(F52,[1]NUTS_Europa!$A$2:$C$81,2,FALSE)</f>
        <v>BE25</v>
      </c>
      <c r="C52" s="71">
        <f>VLOOKUP(F52,[1]NUTS_Europa!$A$2:$C$81,3,FALSE)</f>
        <v>220</v>
      </c>
      <c r="D52" s="71" t="str">
        <f>VLOOKUP(G52,[1]NUTS_Europa!$A$2:$C$81,2,FALSE)</f>
        <v>PT18</v>
      </c>
      <c r="E52" s="71">
        <f>VLOOKUP(G52,[1]NUTS_Europa!$A$2:$C$81,3,FALSE)</f>
        <v>61</v>
      </c>
      <c r="F52" s="71">
        <v>43</v>
      </c>
      <c r="G52" s="71">
        <v>80</v>
      </c>
      <c r="H52" s="71">
        <v>12471856.746368283</v>
      </c>
      <c r="I52" s="71">
        <v>1134823.0246945161</v>
      </c>
      <c r="J52" s="71">
        <v>117768.50934211678</v>
      </c>
      <c r="K52" s="71">
        <v>96.690714285714293</v>
      </c>
      <c r="L52" s="71">
        <v>8.6789262356355721</v>
      </c>
      <c r="M52" s="71">
        <v>86.545717057835546</v>
      </c>
      <c r="N52" s="71">
        <v>18537.263556443555</v>
      </c>
    </row>
    <row r="53" spans="2:14" s="71" customFormat="1" x14ac:dyDescent="0.25">
      <c r="B53" s="71" t="str">
        <f>VLOOKUP(F53,[1]NUTS_Europa!$A$2:$C$81,2,FALSE)</f>
        <v>DE50</v>
      </c>
      <c r="C53" s="71">
        <f>VLOOKUP(F53,[1]NUTS_Europa!$A$2:$C$81,3,FALSE)</f>
        <v>1069</v>
      </c>
      <c r="D53" s="71" t="str">
        <f>VLOOKUP(G53,[1]NUTS_Europa!$A$2:$C$81,2,FALSE)</f>
        <v>ES12</v>
      </c>
      <c r="E53" s="71">
        <f>VLOOKUP(G53,[1]NUTS_Europa!$A$2:$C$81,3,FALSE)</f>
        <v>163</v>
      </c>
      <c r="F53" s="71">
        <v>44</v>
      </c>
      <c r="G53" s="71">
        <v>52</v>
      </c>
      <c r="H53" s="71">
        <v>1700119.6342874623</v>
      </c>
      <c r="I53" s="71">
        <v>1021019.4141458258</v>
      </c>
      <c r="J53" s="71">
        <v>120125.80522925351</v>
      </c>
      <c r="K53" s="71">
        <v>74.86071428571428</v>
      </c>
      <c r="L53" s="71">
        <v>9.2295965831767113</v>
      </c>
      <c r="M53" s="71">
        <v>17.154708446701989</v>
      </c>
      <c r="N53" s="71">
        <v>3085.040429338103</v>
      </c>
    </row>
    <row r="54" spans="2:14" s="71" customFormat="1" x14ac:dyDescent="0.25">
      <c r="B54" s="71" t="str">
        <f>VLOOKUP(F54,[1]NUTS_Europa!$A$2:$C$81,2,FALSE)</f>
        <v>DE50</v>
      </c>
      <c r="C54" s="71">
        <f>VLOOKUP(F54,[1]NUTS_Europa!$A$2:$C$81,3,FALSE)</f>
        <v>1069</v>
      </c>
      <c r="D54" s="71" t="str">
        <f>VLOOKUP(G54,[1]NUTS_Europa!$A$2:$C$81,2,FALSE)</f>
        <v>NL11</v>
      </c>
      <c r="E54" s="71">
        <f>VLOOKUP(G54,[1]NUTS_Europa!$A$2:$C$81,3,FALSE)</f>
        <v>218</v>
      </c>
      <c r="F54" s="71">
        <v>44</v>
      </c>
      <c r="G54" s="71">
        <v>70</v>
      </c>
      <c r="H54" s="71">
        <v>2200837.4465647996</v>
      </c>
      <c r="I54" s="71">
        <v>643309.24134809233</v>
      </c>
      <c r="J54" s="71">
        <v>120437.35243536306</v>
      </c>
      <c r="K54" s="71">
        <v>19.283571428571431</v>
      </c>
      <c r="L54" s="71">
        <v>9.1877940805951432</v>
      </c>
      <c r="M54" s="71">
        <v>23.969327662730084</v>
      </c>
      <c r="N54" s="71">
        <v>5443.4838411041892</v>
      </c>
    </row>
    <row r="55" spans="2:14" s="71" customFormat="1" x14ac:dyDescent="0.25">
      <c r="B55" s="71" t="str">
        <f>VLOOKUP(F55,[1]NUTS_Europa!$A$2:$C$81,2,FALSE)</f>
        <v>DE60</v>
      </c>
      <c r="C55" s="71">
        <f>VLOOKUP(F55,[1]NUTS_Europa!$A$2:$C$81,3,FALSE)</f>
        <v>245</v>
      </c>
      <c r="D55" s="71" t="str">
        <f>VLOOKUP(G55,[1]NUTS_Europa!$A$2:$C$81,2,FALSE)</f>
        <v>ES61</v>
      </c>
      <c r="E55" s="71">
        <f>VLOOKUP(G55,[1]NUTS_Europa!$A$2:$C$81,3,FALSE)</f>
        <v>297</v>
      </c>
      <c r="F55" s="71">
        <v>45</v>
      </c>
      <c r="G55" s="71">
        <v>57</v>
      </c>
      <c r="H55" s="71">
        <v>3280360.6999294455</v>
      </c>
      <c r="I55" s="71">
        <v>6387562.7306849053</v>
      </c>
      <c r="J55" s="71">
        <v>159445.52860932166</v>
      </c>
      <c r="K55" s="71">
        <v>111.61642857142859</v>
      </c>
      <c r="L55" s="71">
        <v>9.3688708310407236</v>
      </c>
      <c r="M55" s="71">
        <v>5.0151239393796105</v>
      </c>
      <c r="N55" s="71">
        <v>901.90166502666227</v>
      </c>
    </row>
    <row r="56" spans="2:14" s="71" customFormat="1" x14ac:dyDescent="0.25">
      <c r="B56" s="71" t="str">
        <f>VLOOKUP(F56,[1]NUTS_Europa!$A$2:$C$81,2,FALSE)</f>
        <v>DE60</v>
      </c>
      <c r="C56" s="71">
        <f>VLOOKUP(F56,[1]NUTS_Europa!$A$2:$C$81,3,FALSE)</f>
        <v>245</v>
      </c>
      <c r="D56" s="71" t="str">
        <f>VLOOKUP(G56,[1]NUTS_Europa!$A$2:$C$81,2,FALSE)</f>
        <v>FRD2</v>
      </c>
      <c r="E56" s="71">
        <f>VLOOKUP(G56,[1]NUTS_Europa!$A$2:$C$81,3,FALSE)</f>
        <v>271</v>
      </c>
      <c r="F56" s="71">
        <v>45</v>
      </c>
      <c r="G56" s="71">
        <v>60</v>
      </c>
      <c r="H56" s="71">
        <v>1136987.8727499039</v>
      </c>
      <c r="I56" s="71">
        <v>9259917.4761609323</v>
      </c>
      <c r="J56" s="71">
        <v>141734.02658349604</v>
      </c>
      <c r="K56" s="71">
        <v>199.78571428571428</v>
      </c>
      <c r="L56" s="71">
        <v>13.139090102189435</v>
      </c>
      <c r="M56" s="71">
        <v>1.9223056220865846</v>
      </c>
      <c r="N56" s="71">
        <v>299.59302325581393</v>
      </c>
    </row>
    <row r="57" spans="2:14" s="71" customFormat="1" x14ac:dyDescent="0.25">
      <c r="B57" s="71" t="str">
        <f>VLOOKUP(F57,[1]NUTS_Europa!$A$2:$C$81,2,FALSE)</f>
        <v>DE80</v>
      </c>
      <c r="C57" s="71">
        <f>VLOOKUP(F57,[1]NUTS_Europa!$A$2:$C$81,3,FALSE)</f>
        <v>245</v>
      </c>
      <c r="D57" s="71" t="str">
        <f>VLOOKUP(G57,[1]NUTS_Europa!$A$2:$C$81,2,FALSE)</f>
        <v>ES11</v>
      </c>
      <c r="E57" s="71">
        <f>VLOOKUP(G57,[1]NUTS_Europa!$A$2:$C$81,3,FALSE)</f>
        <v>285</v>
      </c>
      <c r="F57" s="71">
        <v>46</v>
      </c>
      <c r="G57" s="71">
        <v>51</v>
      </c>
      <c r="H57" s="71">
        <v>59259.211635068961</v>
      </c>
      <c r="I57" s="71">
        <v>6044854.2821975788</v>
      </c>
      <c r="J57" s="71">
        <v>127001.21695280854</v>
      </c>
      <c r="K57" s="71">
        <v>71.852857142857147</v>
      </c>
      <c r="L57" s="71">
        <v>9.3335259515845017</v>
      </c>
      <c r="M57" s="71">
        <v>8.6798247044985843E-2</v>
      </c>
      <c r="N57" s="71">
        <v>15.60948133635801</v>
      </c>
    </row>
    <row r="58" spans="2:14" s="71" customFormat="1" x14ac:dyDescent="0.25">
      <c r="B58" s="71" t="str">
        <f>VLOOKUP(F58,[1]NUTS_Europa!$A$2:$C$81,2,FALSE)</f>
        <v>DE80</v>
      </c>
      <c r="C58" s="71">
        <f>VLOOKUP(F58,[1]NUTS_Europa!$A$2:$C$81,3,FALSE)</f>
        <v>245</v>
      </c>
      <c r="D58" s="71" t="str">
        <f>VLOOKUP(G58,[1]NUTS_Europa!$A$2:$C$81,2,FALSE)</f>
        <v>ES13</v>
      </c>
      <c r="E58" s="71">
        <f>VLOOKUP(G58,[1]NUTS_Europa!$A$2:$C$81,3,FALSE)</f>
        <v>285</v>
      </c>
      <c r="F58" s="71">
        <v>46</v>
      </c>
      <c r="G58" s="71">
        <v>53</v>
      </c>
      <c r="H58" s="71">
        <v>66002.148554304891</v>
      </c>
      <c r="I58" s="71">
        <v>6044854.2821975788</v>
      </c>
      <c r="J58" s="71">
        <v>117768.50934211678</v>
      </c>
      <c r="K58" s="71">
        <v>71.852857142857147</v>
      </c>
      <c r="L58" s="71">
        <v>9.3335259515845017</v>
      </c>
      <c r="M58" s="71">
        <v>8.6798247044985843E-2</v>
      </c>
      <c r="N58" s="71">
        <v>15.60948133635801</v>
      </c>
    </row>
    <row r="59" spans="2:14" s="71" customFormat="1" x14ac:dyDescent="0.25">
      <c r="B59" s="71" t="str">
        <f>VLOOKUP(F59,[1]NUTS_Europa!$A$2:$C$81,2,FALSE)</f>
        <v>DE93</v>
      </c>
      <c r="C59" s="71">
        <f>VLOOKUP(F59,[1]NUTS_Europa!$A$2:$C$81,3,FALSE)</f>
        <v>245</v>
      </c>
      <c r="D59" s="71" t="str">
        <f>VLOOKUP(G59,[1]NUTS_Europa!$A$2:$C$81,2,FALSE)</f>
        <v>FRI1</v>
      </c>
      <c r="E59" s="71">
        <f>VLOOKUP(G59,[1]NUTS_Europa!$A$2:$C$81,3,FALSE)</f>
        <v>275</v>
      </c>
      <c r="F59" s="71">
        <v>47</v>
      </c>
      <c r="G59" s="71">
        <v>64</v>
      </c>
      <c r="H59" s="71">
        <v>760692.1332646315</v>
      </c>
      <c r="I59" s="71">
        <v>8079240.3138220748</v>
      </c>
      <c r="J59" s="71">
        <v>154854.30087154222</v>
      </c>
      <c r="K59" s="71">
        <v>85</v>
      </c>
      <c r="L59" s="71">
        <v>12.829351255965221</v>
      </c>
      <c r="M59" s="71">
        <v>1.1478335978065561</v>
      </c>
      <c r="N59" s="71">
        <v>178.89087656529517</v>
      </c>
    </row>
    <row r="60" spans="2:14" s="71" customFormat="1" x14ac:dyDescent="0.25">
      <c r="B60" s="71" t="str">
        <f>VLOOKUP(F60,[1]NUTS_Europa!$A$2:$C$81,2,FALSE)</f>
        <v>DE93</v>
      </c>
      <c r="C60" s="71">
        <f>VLOOKUP(F60,[1]NUTS_Europa!$A$2:$C$81,3,FALSE)</f>
        <v>245</v>
      </c>
      <c r="D60" s="71" t="str">
        <f>VLOOKUP(G60,[1]NUTS_Europa!$A$2:$C$81,2,FALSE)</f>
        <v>FRI2</v>
      </c>
      <c r="E60" s="71">
        <f>VLOOKUP(G60,[1]NUTS_Europa!$A$2:$C$81,3,FALSE)</f>
        <v>275</v>
      </c>
      <c r="F60" s="71">
        <v>47</v>
      </c>
      <c r="G60" s="71">
        <v>69</v>
      </c>
      <c r="H60" s="71">
        <v>729687.4821018409</v>
      </c>
      <c r="I60" s="71">
        <v>8079240.3138220748</v>
      </c>
      <c r="J60" s="71">
        <v>114346.85142443764</v>
      </c>
      <c r="K60" s="71">
        <v>85</v>
      </c>
      <c r="L60" s="71">
        <v>12.829351255965221</v>
      </c>
      <c r="M60" s="71">
        <v>1.1478335978065561</v>
      </c>
      <c r="N60" s="71">
        <v>178.89087656529517</v>
      </c>
    </row>
    <row r="61" spans="2:14" s="71" customFormat="1" x14ac:dyDescent="0.25">
      <c r="B61" s="71" t="str">
        <f>VLOOKUP(F61,[1]NUTS_Europa!$A$2:$C$81,2,FALSE)</f>
        <v>DE94</v>
      </c>
      <c r="C61" s="71">
        <f>VLOOKUP(F61,[1]NUTS_Europa!$A$2:$C$81,3,FALSE)</f>
        <v>1069</v>
      </c>
      <c r="D61" s="71" t="str">
        <f>VLOOKUP(G61,[1]NUTS_Europa!$A$2:$C$81,2,FALSE)</f>
        <v>FRE1</v>
      </c>
      <c r="E61" s="71">
        <f>VLOOKUP(G61,[1]NUTS_Europa!$A$2:$C$81,3,FALSE)</f>
        <v>235</v>
      </c>
      <c r="F61" s="71">
        <v>48</v>
      </c>
      <c r="G61" s="71">
        <v>61</v>
      </c>
      <c r="H61" s="71">
        <v>571741.22089845873</v>
      </c>
      <c r="I61" s="71">
        <v>603127.53811951214</v>
      </c>
      <c r="J61" s="71">
        <v>507158.32774652442</v>
      </c>
      <c r="K61" s="71">
        <v>29.118571428571432</v>
      </c>
      <c r="L61" s="71">
        <v>10.212018561027303</v>
      </c>
      <c r="M61" s="71">
        <v>7.1764800832866538</v>
      </c>
      <c r="N61" s="71">
        <v>1522.6567936191168</v>
      </c>
    </row>
    <row r="62" spans="2:14" s="71" customFormat="1" x14ac:dyDescent="0.25">
      <c r="B62" s="71" t="str">
        <f>VLOOKUP(F62,[1]NUTS_Europa!$A$2:$C$81,2,FALSE)</f>
        <v>DE94</v>
      </c>
      <c r="C62" s="71">
        <f>VLOOKUP(F62,[1]NUTS_Europa!$A$2:$C$81,3,FALSE)</f>
        <v>1069</v>
      </c>
      <c r="D62" s="71" t="str">
        <f>VLOOKUP(G62,[1]NUTS_Europa!$A$2:$C$81,2,FALSE)</f>
        <v>FRF2</v>
      </c>
      <c r="E62" s="71">
        <f>VLOOKUP(G62,[1]NUTS_Europa!$A$2:$C$81,3,FALSE)</f>
        <v>235</v>
      </c>
      <c r="F62" s="71">
        <v>48</v>
      </c>
      <c r="G62" s="71">
        <v>67</v>
      </c>
      <c r="H62" s="71">
        <v>1068354.5160118989</v>
      </c>
      <c r="I62" s="71">
        <v>603127.53811951214</v>
      </c>
      <c r="J62" s="71">
        <v>126450.71705482846</v>
      </c>
      <c r="K62" s="71">
        <v>29.118571428571432</v>
      </c>
      <c r="L62" s="71">
        <v>10.212018561027303</v>
      </c>
      <c r="M62" s="71">
        <v>7.1764800832866538</v>
      </c>
      <c r="N62" s="71">
        <v>1522.6567936191168</v>
      </c>
    </row>
    <row r="63" spans="2:14" s="71" customFormat="1" x14ac:dyDescent="0.25">
      <c r="B63" s="71" t="str">
        <f>VLOOKUP(F63,[1]NUTS_Europa!$A$2:$C$81,2,FALSE)</f>
        <v>DEA1</v>
      </c>
      <c r="C63" s="71">
        <f>VLOOKUP(F63,[1]NUTS_Europa!$A$2:$C$81,3,FALSE)</f>
        <v>245</v>
      </c>
      <c r="D63" s="71" t="str">
        <f>VLOOKUP(G63,[1]NUTS_Europa!$A$2:$C$81,2,FALSE)</f>
        <v>ES11</v>
      </c>
      <c r="E63" s="71">
        <f>VLOOKUP(G63,[1]NUTS_Europa!$A$2:$C$81,3,FALSE)</f>
        <v>285</v>
      </c>
      <c r="F63" s="71">
        <v>49</v>
      </c>
      <c r="G63" s="71">
        <v>51</v>
      </c>
      <c r="H63" s="71">
        <v>58049.991944385321</v>
      </c>
      <c r="I63" s="71">
        <v>6044854.2821975788</v>
      </c>
      <c r="J63" s="71">
        <v>176841.96373917855</v>
      </c>
      <c r="K63" s="71">
        <v>71.852857142857147</v>
      </c>
      <c r="L63" s="71">
        <v>9.3335259515845017</v>
      </c>
      <c r="M63" s="71">
        <v>8.6798247044985843E-2</v>
      </c>
      <c r="N63" s="71">
        <v>15.60948133635801</v>
      </c>
    </row>
    <row r="64" spans="2:14" s="71" customFormat="1" x14ac:dyDescent="0.25">
      <c r="B64" s="71" t="str">
        <f>VLOOKUP(F64,[1]NUTS_Europa!$A$2:$C$81,2,FALSE)</f>
        <v>DEA1</v>
      </c>
      <c r="C64" s="71">
        <f>VLOOKUP(F64,[1]NUTS_Europa!$A$2:$C$81,3,FALSE)</f>
        <v>245</v>
      </c>
      <c r="D64" s="71" t="str">
        <f>VLOOKUP(G64,[1]NUTS_Europa!$A$2:$C$81,2,FALSE)</f>
        <v>ES13</v>
      </c>
      <c r="E64" s="71">
        <f>VLOOKUP(G64,[1]NUTS_Europa!$A$2:$C$81,3,FALSE)</f>
        <v>285</v>
      </c>
      <c r="F64" s="71">
        <v>49</v>
      </c>
      <c r="G64" s="71">
        <v>53</v>
      </c>
      <c r="H64" s="71">
        <v>64792.928863621244</v>
      </c>
      <c r="I64" s="71">
        <v>6044854.2821975788</v>
      </c>
      <c r="J64" s="71">
        <v>199058.85825050285</v>
      </c>
      <c r="K64" s="71">
        <v>71.852857142857147</v>
      </c>
      <c r="L64" s="71">
        <v>9.3335259515845017</v>
      </c>
      <c r="M64" s="71">
        <v>8.6798247044985843E-2</v>
      </c>
      <c r="N64" s="71">
        <v>15.60948133635801</v>
      </c>
    </row>
    <row r="65" spans="2:14" s="71" customFormat="1" x14ac:dyDescent="0.25">
      <c r="B65" s="71" t="str">
        <f>VLOOKUP(F65,[1]NUTS_Europa!$A$2:$C$81,2,FALSE)</f>
        <v>DEF0</v>
      </c>
      <c r="C65" s="71">
        <f>VLOOKUP(F65,[1]NUTS_Europa!$A$2:$C$81,3,FALSE)</f>
        <v>245</v>
      </c>
      <c r="D65" s="71" t="str">
        <f>VLOOKUP(G65,[1]NUTS_Europa!$A$2:$C$81,2,FALSE)</f>
        <v>ES61</v>
      </c>
      <c r="E65" s="71">
        <f>VLOOKUP(G65,[1]NUTS_Europa!$A$2:$C$81,3,FALSE)</f>
        <v>297</v>
      </c>
      <c r="F65" s="71">
        <v>50</v>
      </c>
      <c r="G65" s="71">
        <v>57</v>
      </c>
      <c r="H65" s="71">
        <v>3234177.0213684249</v>
      </c>
      <c r="I65" s="71">
        <v>6387562.7306849053</v>
      </c>
      <c r="J65" s="71">
        <v>137713.62258431225</v>
      </c>
      <c r="K65" s="71">
        <v>111.61642857142859</v>
      </c>
      <c r="L65" s="71">
        <v>9.3688708310407236</v>
      </c>
      <c r="M65" s="71">
        <v>5.0151239393796105</v>
      </c>
      <c r="N65" s="71">
        <v>901.90166502666227</v>
      </c>
    </row>
    <row r="66" spans="2:14" s="71" customFormat="1" x14ac:dyDescent="0.25">
      <c r="B66" s="71" t="str">
        <f>VLOOKUP(F66,[1]NUTS_Europa!$A$2:$C$81,2,FALSE)</f>
        <v>DEF0</v>
      </c>
      <c r="C66" s="71">
        <f>VLOOKUP(F66,[1]NUTS_Europa!$A$2:$C$81,3,FALSE)</f>
        <v>245</v>
      </c>
      <c r="D66" s="71" t="str">
        <f>VLOOKUP(G66,[1]NUTS_Europa!$A$2:$C$81,2,FALSE)</f>
        <v>PT17</v>
      </c>
      <c r="E66" s="71">
        <f>VLOOKUP(G66,[1]NUTS_Europa!$A$2:$C$81,3,FALSE)</f>
        <v>297</v>
      </c>
      <c r="F66" s="71">
        <v>50</v>
      </c>
      <c r="G66" s="71">
        <v>79</v>
      </c>
      <c r="H66" s="71">
        <v>3318255.0002872054</v>
      </c>
      <c r="I66" s="71">
        <v>6387562.7306849053</v>
      </c>
      <c r="J66" s="71">
        <v>144185.26102544673</v>
      </c>
      <c r="K66" s="71">
        <v>111.61642857142859</v>
      </c>
      <c r="L66" s="71">
        <v>9.3688708310407236</v>
      </c>
      <c r="M66" s="71">
        <v>5.0151239393796105</v>
      </c>
      <c r="N66" s="71">
        <v>901.90166502666227</v>
      </c>
    </row>
    <row r="67" spans="2:14" s="71" customFormat="1" x14ac:dyDescent="0.25">
      <c r="B67" s="71" t="str">
        <f>VLOOKUP(F67,[1]NUTS_Europa!$A$2:$C$81,2,FALSE)</f>
        <v>ES21</v>
      </c>
      <c r="C67" s="71">
        <f>VLOOKUP(F67,[1]NUTS_Europa!$A$2:$C$81,3,FALSE)</f>
        <v>1063</v>
      </c>
      <c r="D67" s="71" t="str">
        <f>VLOOKUP(G67,[1]NUTS_Europa!$A$2:$C$81,2,FALSE)</f>
        <v>FRD2</v>
      </c>
      <c r="E67" s="71">
        <f>VLOOKUP(G67,[1]NUTS_Europa!$A$2:$C$81,3,FALSE)</f>
        <v>271</v>
      </c>
      <c r="F67" s="71">
        <v>54</v>
      </c>
      <c r="G67" s="71">
        <v>60</v>
      </c>
      <c r="H67" s="71">
        <v>261624.72277969259</v>
      </c>
      <c r="I67" s="71">
        <v>5342286.3659891132</v>
      </c>
      <c r="J67" s="71">
        <v>159445.52860932166</v>
      </c>
      <c r="K67" s="71">
        <v>119.21428571428571</v>
      </c>
      <c r="L67" s="71">
        <v>13.963619522518282</v>
      </c>
      <c r="M67" s="71">
        <v>1.6659201343828627</v>
      </c>
      <c r="N67" s="71">
        <v>299.59302325581393</v>
      </c>
    </row>
    <row r="68" spans="2:14" s="71" customFormat="1" x14ac:dyDescent="0.25">
      <c r="B68" s="71" t="str">
        <f>VLOOKUP(F68,[1]NUTS_Europa!$A$2:$C$81,2,FALSE)</f>
        <v>ES21</v>
      </c>
      <c r="C68" s="71">
        <f>VLOOKUP(F68,[1]NUTS_Europa!$A$2:$C$81,3,FALSE)</f>
        <v>1063</v>
      </c>
      <c r="D68" s="71" t="str">
        <f>VLOOKUP(G68,[1]NUTS_Europa!$A$2:$C$81,2,FALSE)</f>
        <v>FRI3</v>
      </c>
      <c r="E68" s="71">
        <f>VLOOKUP(G68,[1]NUTS_Europa!$A$2:$C$81,3,FALSE)</f>
        <v>282</v>
      </c>
      <c r="F68" s="71">
        <v>54</v>
      </c>
      <c r="G68" s="71">
        <v>65</v>
      </c>
      <c r="H68" s="71">
        <v>868336.35209317086</v>
      </c>
      <c r="I68" s="71">
        <v>5241603.2711278889</v>
      </c>
      <c r="J68" s="71">
        <v>117923.68175590989</v>
      </c>
      <c r="K68" s="71">
        <v>105</v>
      </c>
      <c r="L68" s="71">
        <v>15.703253226301928</v>
      </c>
      <c r="M68" s="71">
        <v>3.9140879229523233</v>
      </c>
      <c r="N68" s="71">
        <v>703.89534883720933</v>
      </c>
    </row>
    <row r="69" spans="2:14" s="71" customFormat="1" x14ac:dyDescent="0.25">
      <c r="B69" s="71" t="str">
        <f>VLOOKUP(F69,[1]NUTS_Europa!$A$2:$C$81,2,FALSE)</f>
        <v>ES51</v>
      </c>
      <c r="C69" s="71">
        <f>VLOOKUP(F69,[1]NUTS_Europa!$A$2:$C$81,3,FALSE)</f>
        <v>1064</v>
      </c>
      <c r="D69" s="71" t="str">
        <f>VLOOKUP(G69,[1]NUTS_Europa!$A$2:$C$81,2,FALSE)</f>
        <v>ES62</v>
      </c>
      <c r="E69" s="71">
        <f>VLOOKUP(G69,[1]NUTS_Europa!$A$2:$C$81,3,FALSE)</f>
        <v>462</v>
      </c>
      <c r="F69" s="71">
        <v>55</v>
      </c>
      <c r="G69" s="71">
        <v>58</v>
      </c>
      <c r="H69" s="71">
        <v>1052995.6815304749</v>
      </c>
      <c r="I69" s="71">
        <v>545206.23434717138</v>
      </c>
      <c r="J69" s="71">
        <v>114203.52260471623</v>
      </c>
      <c r="K69" s="71">
        <v>23.785714285714285</v>
      </c>
      <c r="L69" s="71">
        <v>9.6376164809258711</v>
      </c>
      <c r="M69" s="71">
        <v>4.5878681908245769</v>
      </c>
      <c r="N69" s="71">
        <v>975.13977739150903</v>
      </c>
    </row>
    <row r="70" spans="2:14" s="71" customFormat="1" x14ac:dyDescent="0.25">
      <c r="B70" s="71" t="str">
        <f>VLOOKUP(F70,[1]NUTS_Europa!$A$2:$C$81,2,FALSE)</f>
        <v>ES51</v>
      </c>
      <c r="C70" s="71">
        <f>VLOOKUP(F70,[1]NUTS_Europa!$A$2:$C$81,3,FALSE)</f>
        <v>1064</v>
      </c>
      <c r="D70" s="71" t="str">
        <f>VLOOKUP(G70,[1]NUTS_Europa!$A$2:$C$81,2,FALSE)</f>
        <v>FRH0</v>
      </c>
      <c r="E70" s="71">
        <f>VLOOKUP(G70,[1]NUTS_Europa!$A$2:$C$81,3,FALSE)</f>
        <v>282</v>
      </c>
      <c r="F70" s="71">
        <v>55</v>
      </c>
      <c r="G70" s="71">
        <v>63</v>
      </c>
      <c r="H70" s="71">
        <v>498235.41145325464</v>
      </c>
      <c r="I70" s="71">
        <v>1155459.4509477154</v>
      </c>
      <c r="J70" s="71">
        <v>127001.21695280854</v>
      </c>
      <c r="K70" s="71">
        <v>89.787071428571423</v>
      </c>
      <c r="L70" s="71">
        <v>14.119356651208065</v>
      </c>
      <c r="M70" s="71">
        <v>3.9140879229523233</v>
      </c>
      <c r="N70" s="71">
        <v>703.89534883720933</v>
      </c>
    </row>
    <row r="71" spans="2:14" s="71" customFormat="1" x14ac:dyDescent="0.25">
      <c r="B71" s="71" t="str">
        <f>VLOOKUP(F71,[1]NUTS_Europa!$A$2:$C$81,2,FALSE)</f>
        <v>ES52</v>
      </c>
      <c r="C71" s="71">
        <f>VLOOKUP(F71,[1]NUTS_Europa!$A$2:$C$81,3,FALSE)</f>
        <v>1063</v>
      </c>
      <c r="D71" s="71" t="str">
        <f>VLOOKUP(G71,[1]NUTS_Europa!$A$2:$C$81,2,FALSE)</f>
        <v>ES62</v>
      </c>
      <c r="E71" s="71">
        <f>VLOOKUP(G71,[1]NUTS_Europa!$A$2:$C$81,3,FALSE)</f>
        <v>462</v>
      </c>
      <c r="F71" s="71">
        <v>56</v>
      </c>
      <c r="G71" s="71">
        <v>58</v>
      </c>
      <c r="H71" s="71">
        <v>1070616.0969089533</v>
      </c>
      <c r="I71" s="71">
        <v>4569518.2495470066</v>
      </c>
      <c r="J71" s="71">
        <v>163171.48832599766</v>
      </c>
      <c r="K71" s="71">
        <v>32.857142857142854</v>
      </c>
      <c r="L71" s="71">
        <v>11.221513056019733</v>
      </c>
      <c r="M71" s="71">
        <v>4.5878681908245769</v>
      </c>
      <c r="N71" s="71">
        <v>975.13977739150903</v>
      </c>
    </row>
    <row r="72" spans="2:14" s="71" customFormat="1" x14ac:dyDescent="0.25">
      <c r="B72" s="71" t="str">
        <f>VLOOKUP(F72,[1]NUTS_Europa!$A$2:$C$81,2,FALSE)</f>
        <v>ES52</v>
      </c>
      <c r="C72" s="71">
        <f>VLOOKUP(F72,[1]NUTS_Europa!$A$2:$C$81,3,FALSE)</f>
        <v>1063</v>
      </c>
      <c r="D72" s="71" t="str">
        <f>VLOOKUP(G72,[1]NUTS_Europa!$A$2:$C$81,2,FALSE)</f>
        <v>FRI3</v>
      </c>
      <c r="E72" s="71">
        <f>VLOOKUP(G72,[1]NUTS_Europa!$A$2:$C$81,3,FALSE)</f>
        <v>282</v>
      </c>
      <c r="F72" s="71">
        <v>56</v>
      </c>
      <c r="G72" s="71">
        <v>65</v>
      </c>
      <c r="H72" s="71">
        <v>642827.99139549641</v>
      </c>
      <c r="I72" s="71">
        <v>5241603.2711278889</v>
      </c>
      <c r="J72" s="71">
        <v>122072.63094995193</v>
      </c>
      <c r="K72" s="71">
        <v>105</v>
      </c>
      <c r="L72" s="71">
        <v>15.703253226301928</v>
      </c>
      <c r="M72" s="71">
        <v>3.9140879229523233</v>
      </c>
      <c r="N72" s="71">
        <v>703.89534883720933</v>
      </c>
    </row>
    <row r="73" spans="2:14" s="71" customFormat="1" x14ac:dyDescent="0.25">
      <c r="B73" s="71" t="str">
        <f>VLOOKUP(F73,[1]NUTS_Europa!$A$2:$C$81,2,FALSE)</f>
        <v>FRD1</v>
      </c>
      <c r="C73" s="71">
        <f>VLOOKUP(F73,[1]NUTS_Europa!$A$2:$C$81,3,FALSE)</f>
        <v>269</v>
      </c>
      <c r="D73" s="71" t="str">
        <f>VLOOKUP(G73,[1]NUTS_Europa!$A$2:$C$81,2,FALSE)</f>
        <v>FRJ2</v>
      </c>
      <c r="E73" s="71">
        <f>VLOOKUP(G73,[1]NUTS_Europa!$A$2:$C$81,3,FALSE)</f>
        <v>163</v>
      </c>
      <c r="F73" s="71">
        <v>59</v>
      </c>
      <c r="G73" s="71">
        <v>68</v>
      </c>
      <c r="H73" s="71">
        <v>2809942.48947111</v>
      </c>
      <c r="I73" s="71">
        <v>836032.14075109141</v>
      </c>
      <c r="J73" s="71">
        <v>145277.79316174539</v>
      </c>
      <c r="K73" s="71">
        <v>43.427857142857142</v>
      </c>
      <c r="L73" s="71">
        <v>11.239458179966176</v>
      </c>
      <c r="M73" s="71">
        <v>19.79482197960683</v>
      </c>
      <c r="N73" s="71">
        <v>3085.040429338103</v>
      </c>
    </row>
    <row r="74" spans="2:14" s="71" customFormat="1" x14ac:dyDescent="0.25">
      <c r="B74" s="71" t="str">
        <f>VLOOKUP(F74,[1]NUTS_Europa!$A$2:$C$81,2,FALSE)</f>
        <v>FRJ1</v>
      </c>
      <c r="C74" s="71">
        <f>VLOOKUP(F74,[1]NUTS_Europa!$A$2:$C$81,3,FALSE)</f>
        <v>1064</v>
      </c>
      <c r="D74" s="71" t="str">
        <f>VLOOKUP(G74,[1]NUTS_Europa!$A$2:$C$81,2,FALSE)</f>
        <v>FRJ2</v>
      </c>
      <c r="E74" s="71">
        <f>VLOOKUP(G74,[1]NUTS_Europa!$A$2:$C$81,3,FALSE)</f>
        <v>163</v>
      </c>
      <c r="F74" s="71">
        <v>66</v>
      </c>
      <c r="G74" s="71">
        <v>68</v>
      </c>
      <c r="H74" s="71">
        <v>3703382.2214772352</v>
      </c>
      <c r="I74" s="71">
        <v>1122203.9636527435</v>
      </c>
      <c r="J74" s="71">
        <v>163171.48832599766</v>
      </c>
      <c r="K74" s="71">
        <v>89</v>
      </c>
      <c r="L74" s="71">
        <v>9.4246163390520259</v>
      </c>
      <c r="M74" s="71">
        <v>17.154708446701989</v>
      </c>
      <c r="N74" s="71">
        <v>3085.040429338103</v>
      </c>
    </row>
    <row r="75" spans="2:14" s="71" customFormat="1" x14ac:dyDescent="0.25">
      <c r="B75" s="71" t="str">
        <f>VLOOKUP(F75,[1]NUTS_Europa!$A$2:$C$81,2,FALSE)</f>
        <v>FRJ1</v>
      </c>
      <c r="C75" s="71">
        <f>VLOOKUP(F75,[1]NUTS_Europa!$A$2:$C$81,3,FALSE)</f>
        <v>1064</v>
      </c>
      <c r="D75" s="71" t="str">
        <f>VLOOKUP(G75,[1]NUTS_Europa!$A$2:$C$81,2,FALSE)</f>
        <v>PT11</v>
      </c>
      <c r="E75" s="71">
        <f>VLOOKUP(G75,[1]NUTS_Europa!$A$2:$C$81,3,FALSE)</f>
        <v>288</v>
      </c>
      <c r="F75" s="71">
        <v>66</v>
      </c>
      <c r="G75" s="71">
        <v>76</v>
      </c>
      <c r="H75" s="71">
        <v>807990.87382197916</v>
      </c>
      <c r="I75" s="71">
        <v>973248.16402506118</v>
      </c>
      <c r="J75" s="71">
        <v>123614.25510828695</v>
      </c>
      <c r="K75" s="71">
        <v>65.142857142857139</v>
      </c>
      <c r="L75" s="71">
        <v>10.882711636332967</v>
      </c>
      <c r="M75" s="71">
        <v>4.5189062009214327</v>
      </c>
      <c r="N75" s="71">
        <v>960.4820809003329</v>
      </c>
    </row>
    <row r="76" spans="2:14" s="71" customFormat="1" x14ac:dyDescent="0.25">
      <c r="B76" s="71" t="str">
        <f>VLOOKUP(F76,[1]NUTS_Europa!$A$2:$C$81,2,FALSE)</f>
        <v>NL12</v>
      </c>
      <c r="C76" s="71">
        <f>VLOOKUP(F76,[1]NUTS_Europa!$A$2:$C$81,3,FALSE)</f>
        <v>250</v>
      </c>
      <c r="D76" s="71" t="str">
        <f>VLOOKUP(G76,[1]NUTS_Europa!$A$2:$C$81,2,FALSE)</f>
        <v>PT11</v>
      </c>
      <c r="E76" s="71">
        <f>VLOOKUP(G76,[1]NUTS_Europa!$A$2:$C$81,3,FALSE)</f>
        <v>288</v>
      </c>
      <c r="F76" s="71">
        <v>71</v>
      </c>
      <c r="G76" s="71">
        <v>76</v>
      </c>
      <c r="H76" s="71">
        <v>703958.80993704603</v>
      </c>
      <c r="I76" s="71">
        <v>1186922.6119317156</v>
      </c>
      <c r="J76" s="71">
        <v>142841.86171918266</v>
      </c>
      <c r="K76" s="71">
        <v>64.987142857142857</v>
      </c>
      <c r="L76" s="71">
        <v>14.370615494360854</v>
      </c>
      <c r="M76" s="71">
        <v>5.3408668195839333</v>
      </c>
      <c r="N76" s="71">
        <v>960.4820809003329</v>
      </c>
    </row>
    <row r="77" spans="2:14" s="71" customFormat="1" x14ac:dyDescent="0.25">
      <c r="B77" s="71" t="str">
        <f>VLOOKUP(F77,[1]NUTS_Europa!$A$2:$C$81,2,FALSE)</f>
        <v>NL12</v>
      </c>
      <c r="C77" s="71">
        <f>VLOOKUP(F77,[1]NUTS_Europa!$A$2:$C$81,3,FALSE)</f>
        <v>250</v>
      </c>
      <c r="D77" s="71" t="str">
        <f>VLOOKUP(G77,[1]NUTS_Europa!$A$2:$C$81,2,FALSE)</f>
        <v>PT16</v>
      </c>
      <c r="E77" s="71">
        <f>VLOOKUP(G77,[1]NUTS_Europa!$A$2:$C$81,3,FALSE)</f>
        <v>294</v>
      </c>
      <c r="F77" s="71">
        <v>71</v>
      </c>
      <c r="G77" s="71">
        <v>78</v>
      </c>
      <c r="H77" s="71">
        <v>2281594.6620497401</v>
      </c>
      <c r="I77" s="71">
        <v>1184113.5153427226</v>
      </c>
      <c r="J77" s="71">
        <v>135416.16142478216</v>
      </c>
      <c r="K77" s="71">
        <v>79.83642857142857</v>
      </c>
      <c r="L77" s="71">
        <v>10.348299084965138</v>
      </c>
      <c r="M77" s="71">
        <v>15.710205544269522</v>
      </c>
      <c r="N77" s="71">
        <v>2825.2662764782135</v>
      </c>
    </row>
    <row r="78" spans="2:14" s="71" customFormat="1" x14ac:dyDescent="0.25">
      <c r="B78" s="71" t="str">
        <f>VLOOKUP(F78,[1]NUTS_Europa!$A$2:$C$81,2,FALSE)</f>
        <v>NL32</v>
      </c>
      <c r="C78" s="71">
        <f>VLOOKUP(F78,[1]NUTS_Europa!$A$2:$C$81,3,FALSE)</f>
        <v>253</v>
      </c>
      <c r="D78" s="71" t="str">
        <f>VLOOKUP(G78,[1]NUTS_Europa!$A$2:$C$81,2,FALSE)</f>
        <v>NL34</v>
      </c>
      <c r="E78" s="71">
        <f>VLOOKUP(G78,[1]NUTS_Europa!$A$2:$C$81,3,FALSE)</f>
        <v>218</v>
      </c>
      <c r="F78" s="71">
        <v>72</v>
      </c>
      <c r="G78" s="71">
        <v>74</v>
      </c>
      <c r="H78" s="71">
        <v>2771440.968517235</v>
      </c>
      <c r="I78" s="71">
        <v>641997.35762596503</v>
      </c>
      <c r="J78" s="71">
        <v>120125.80522925351</v>
      </c>
      <c r="K78" s="71">
        <v>12.785</v>
      </c>
      <c r="L78" s="71">
        <v>13.909540797229681</v>
      </c>
      <c r="M78" s="71">
        <v>28.627748090021338</v>
      </c>
      <c r="N78" s="71">
        <v>5443.4838411041892</v>
      </c>
    </row>
    <row r="79" spans="2:14" s="71" customFormat="1" x14ac:dyDescent="0.25">
      <c r="B79" s="71" t="str">
        <f>VLOOKUP(F79,[1]NUTS_Europa!$A$2:$C$81,2,FALSE)</f>
        <v>NL32</v>
      </c>
      <c r="C79" s="71">
        <f>VLOOKUP(F79,[1]NUTS_Europa!$A$2:$C$81,3,FALSE)</f>
        <v>253</v>
      </c>
      <c r="D79" s="71" t="str">
        <f>VLOOKUP(G79,[1]NUTS_Europa!$A$2:$C$81,2,FALSE)</f>
        <v>NL41</v>
      </c>
      <c r="E79" s="71">
        <f>VLOOKUP(G79,[1]NUTS_Europa!$A$2:$C$81,3,FALSE)</f>
        <v>218</v>
      </c>
      <c r="F79" s="71">
        <v>72</v>
      </c>
      <c r="G79" s="71">
        <v>75</v>
      </c>
      <c r="H79" s="71">
        <v>2378339.7829318959</v>
      </c>
      <c r="I79" s="71">
        <v>641997.35762596503</v>
      </c>
      <c r="J79" s="71">
        <v>159445.52860932166</v>
      </c>
      <c r="K79" s="71">
        <v>12.785</v>
      </c>
      <c r="L79" s="71">
        <v>13.909540797229681</v>
      </c>
      <c r="M79" s="71">
        <v>28.627748090021338</v>
      </c>
      <c r="N79" s="71">
        <v>5443.4838411041892</v>
      </c>
    </row>
    <row r="80" spans="2:14" s="71" customFormat="1" x14ac:dyDescent="0.25">
      <c r="B80" s="71" t="str">
        <f>VLOOKUP(F80,[1]NUTS_Europa!$A$2:$C$81,2,FALSE)</f>
        <v>NL33</v>
      </c>
      <c r="C80" s="71">
        <f>VLOOKUP(F80,[1]NUTS_Europa!$A$2:$C$81,3,FALSE)</f>
        <v>220</v>
      </c>
      <c r="D80" s="71" t="str">
        <f>VLOOKUP(G80,[1]NUTS_Europa!$A$2:$C$81,2,FALSE)</f>
        <v>NL34</v>
      </c>
      <c r="E80" s="71">
        <f>VLOOKUP(G80,[1]NUTS_Europa!$A$2:$C$81,3,FALSE)</f>
        <v>218</v>
      </c>
      <c r="F80" s="71">
        <v>73</v>
      </c>
      <c r="G80" s="71">
        <v>74</v>
      </c>
      <c r="H80" s="71">
        <v>2934784.1223975481</v>
      </c>
      <c r="I80" s="71">
        <v>520174.39031351125</v>
      </c>
      <c r="J80" s="71">
        <v>145277.79316174539</v>
      </c>
      <c r="K80" s="71">
        <v>8.9285714285714288</v>
      </c>
      <c r="L80" s="71">
        <v>8.8972599873531788</v>
      </c>
      <c r="M80" s="71">
        <v>25.544581557199372</v>
      </c>
      <c r="N80" s="71">
        <v>5443.4838411041892</v>
      </c>
    </row>
    <row r="81" spans="2:27" s="71" customFormat="1" x14ac:dyDescent="0.25">
      <c r="B81" s="71" t="str">
        <f>VLOOKUP(F81,[1]NUTS_Europa!$A$2:$C$81,2,FALSE)</f>
        <v>NL33</v>
      </c>
      <c r="C81" s="71">
        <f>VLOOKUP(F81,[1]NUTS_Europa!$A$2:$C$81,3,FALSE)</f>
        <v>220</v>
      </c>
      <c r="D81" s="71" t="str">
        <f>VLOOKUP(G81,[1]NUTS_Europa!$A$2:$C$81,2,FALSE)</f>
        <v>NL41</v>
      </c>
      <c r="E81" s="71">
        <f>VLOOKUP(G81,[1]NUTS_Europa!$A$2:$C$81,3,FALSE)</f>
        <v>218</v>
      </c>
      <c r="F81" s="71">
        <v>73</v>
      </c>
      <c r="G81" s="71">
        <v>75</v>
      </c>
      <c r="H81" s="71">
        <v>2541682.936812209</v>
      </c>
      <c r="I81" s="71">
        <v>520174.39031351125</v>
      </c>
      <c r="J81" s="71">
        <v>176841.96373917855</v>
      </c>
      <c r="K81" s="71">
        <v>8.9285714285714288</v>
      </c>
      <c r="L81" s="71">
        <v>8.8972599873531788</v>
      </c>
      <c r="M81" s="71">
        <v>25.544581557199372</v>
      </c>
      <c r="N81" s="71">
        <v>5443.4838411041892</v>
      </c>
    </row>
    <row r="82" spans="2:27" s="71" customFormat="1" x14ac:dyDescent="0.25">
      <c r="B82" s="71" t="str">
        <f>VLOOKUP(F82,[1]NUTS_Europa!$A$2:$C$81,2,FALSE)</f>
        <v>PT15</v>
      </c>
      <c r="C82" s="71">
        <f>VLOOKUP(F82,[1]NUTS_Europa!$A$2:$C$81,3,FALSE)</f>
        <v>61</v>
      </c>
      <c r="D82" s="71" t="str">
        <f>VLOOKUP(G82,[1]NUTS_Europa!$A$2:$C$81,2,FALSE)</f>
        <v>PT16</v>
      </c>
      <c r="E82" s="71">
        <f>VLOOKUP(G82,[1]NUTS_Europa!$A$2:$C$81,3,FALSE)</f>
        <v>294</v>
      </c>
      <c r="F82" s="71">
        <v>77</v>
      </c>
      <c r="G82" s="71">
        <v>78</v>
      </c>
      <c r="H82" s="71">
        <v>2371896.3776358208</v>
      </c>
      <c r="I82" s="71">
        <v>498602.11576627055</v>
      </c>
      <c r="J82" s="71">
        <v>127001.21695280854</v>
      </c>
      <c r="K82" s="71">
        <v>21.978571428571428</v>
      </c>
      <c r="L82" s="71">
        <v>7.4895641812555915</v>
      </c>
      <c r="M82" s="71">
        <v>12.372856606107471</v>
      </c>
      <c r="N82" s="71">
        <v>2825.2662764782135</v>
      </c>
    </row>
    <row r="83" spans="2:27" s="71" customFormat="1" x14ac:dyDescent="0.25">
      <c r="B83" s="71" t="str">
        <f>VLOOKUP(F83,[1]NUTS_Europa!$A$2:$C$81,2,FALSE)</f>
        <v>PT15</v>
      </c>
      <c r="C83" s="71">
        <f>VLOOKUP(F83,[1]NUTS_Europa!$A$2:$C$81,3,FALSE)</f>
        <v>61</v>
      </c>
      <c r="D83" s="71" t="str">
        <f>VLOOKUP(G83,[1]NUTS_Europa!$A$2:$C$81,2,FALSE)</f>
        <v>PT17</v>
      </c>
      <c r="E83" s="71">
        <f>VLOOKUP(G83,[1]NUTS_Europa!$A$2:$C$81,3,FALSE)</f>
        <v>297</v>
      </c>
      <c r="F83" s="71">
        <v>77</v>
      </c>
      <c r="G83" s="71">
        <v>79</v>
      </c>
      <c r="H83" s="71">
        <v>768916.21823423519</v>
      </c>
      <c r="I83" s="71">
        <v>338055.49477871205</v>
      </c>
      <c r="J83" s="71">
        <v>113696.3812050019</v>
      </c>
      <c r="K83" s="71">
        <v>5.3571428571428568</v>
      </c>
      <c r="L83" s="71">
        <v>9.2386726305940492</v>
      </c>
      <c r="M83" s="71">
        <v>3.9497515922975746</v>
      </c>
      <c r="N83" s="71">
        <v>901.90166502666227</v>
      </c>
    </row>
    <row r="84" spans="2:27" s="71" customFormat="1" x14ac:dyDescent="0.25"/>
    <row r="85" spans="2:27" s="71" customFormat="1" x14ac:dyDescent="0.25"/>
    <row r="86" spans="2:27" s="71" customFormat="1" x14ac:dyDescent="0.25"/>
    <row r="87" spans="2:27" s="71" customFormat="1" x14ac:dyDescent="0.25">
      <c r="B87" s="71" t="s">
        <v>132</v>
      </c>
    </row>
    <row r="88" spans="2:27" s="71" customFormat="1" x14ac:dyDescent="0.25">
      <c r="B88" s="71" t="str">
        <f>'14 buques 19.5 kn 25000 charter'!B104</f>
        <v>nodo inicial</v>
      </c>
      <c r="C88" s="71" t="str">
        <f>'14 buques 19.5 kn 25000 charter'!C104</f>
        <v>puerto O</v>
      </c>
      <c r="D88" s="71" t="str">
        <f>'14 buques 19.5 kn 25000 charter'!D104</f>
        <v>nodo final</v>
      </c>
      <c r="E88" s="71" t="str">
        <f>'14 buques 19.5 kn 25000 charter'!E104</f>
        <v>puerto D</v>
      </c>
      <c r="F88" s="71" t="str">
        <f>'14 buques 19.5 kn 25000 charter'!F104</f>
        <v>Var1</v>
      </c>
      <c r="G88" s="71" t="str">
        <f>'14 buques 19.5 kn 25000 charter'!G104</f>
        <v>Var2</v>
      </c>
      <c r="H88" s="71" t="str">
        <f>'14 buques 19.5 kn 25000 charter'!H104</f>
        <v>Coste variable</v>
      </c>
      <c r="I88" s="71" t="str">
        <f>'14 buques 19.5 kn 25000 charter'!I104</f>
        <v>Coste fijo</v>
      </c>
      <c r="J88" s="71" t="str">
        <f>'14 buques 19.5 kn 25000 charter'!J104</f>
        <v>Coste fijo/buque</v>
      </c>
      <c r="K88" s="71" t="str">
        <f>'14 buques 19.5 kn 25000 charter'!K104</f>
        <v>flow</v>
      </c>
      <c r="L88" s="71" t="str">
        <f>'14 buques 19.5 kn 25000 charter'!L104</f>
        <v>TiempoNav</v>
      </c>
      <c r="M88" s="71" t="str">
        <f>'14 buques 19.5 kn 25000 charter'!M104</f>
        <v>TiempoPort</v>
      </c>
      <c r="N88" s="71" t="str">
        <f>'14 buques 19.5 kn 25000 charter'!N104</f>
        <v>TiempoCD</v>
      </c>
      <c r="O88" s="71" t="str">
        <f>'14 buques 19.5 kn 25000 charter'!O104</f>
        <v>offer</v>
      </c>
      <c r="P88" s="71" t="str">
        <f>'14 buques 19.5 kn 25000 charter'!P104</f>
        <v>Tiempo C/D</v>
      </c>
      <c r="Q88" s="71" t="str">
        <f>'14 buques 19.5 kn 25000 charter'!Q104</f>
        <v>Tiempo total</v>
      </c>
      <c r="R88" s="71" t="str">
        <f>'14 buques 19.5 kn 25000 charter'!R104</f>
        <v>TEUs/buque</v>
      </c>
      <c r="S88" s="71" t="str">
        <f>'14 buques 19.5 kn 25000 charter'!S104</f>
        <v>Coste variable</v>
      </c>
      <c r="T88" s="71" t="str">
        <f>'14 buques 19.5 kn 25000 charter'!T104</f>
        <v>Coste fijo</v>
      </c>
      <c r="U88" s="71" t="str">
        <f>'14 buques 19.5 kn 25000 charter'!U104</f>
        <v>Coste Total</v>
      </c>
      <c r="V88" s="71" t="str">
        <f>'14 buques 19.5 kn 25000 charter'!V104</f>
        <v>Nodo inicial</v>
      </c>
      <c r="W88" s="71" t="str">
        <f>'14 buques 19.5 kn 25000 charter'!W104</f>
        <v>Puerto O</v>
      </c>
      <c r="X88" s="71" t="str">
        <f>'14 buques 19.5 kn 25000 charter'!X104</f>
        <v>Nodo final</v>
      </c>
      <c r="Y88" s="71" t="str">
        <f>'14 buques 19.5 kn 25000 charter'!Y104</f>
        <v>Puerto D</v>
      </c>
    </row>
    <row r="89" spans="2:27" s="71" customFormat="1" x14ac:dyDescent="0.25">
      <c r="B89" s="71" t="str">
        <f>VLOOKUP(F89,[1]NUTS_Europa!$A$2:$C$81,2,FALSE)</f>
        <v>DE50</v>
      </c>
      <c r="C89" s="71">
        <f>VLOOKUP(F89,[1]NUTS_Europa!$A$2:$C$81,3,FALSE)</f>
        <v>1069</v>
      </c>
      <c r="D89" s="71" t="str">
        <f>VLOOKUP(G89,[1]NUTS_Europa!$A$2:$C$81,2,FALSE)</f>
        <v>NL11</v>
      </c>
      <c r="E89" s="71">
        <f>VLOOKUP(G89,[1]NUTS_Europa!$A$2:$C$81,3,FALSE)</f>
        <v>218</v>
      </c>
      <c r="F89" s="71">
        <v>44</v>
      </c>
      <c r="G89" s="71">
        <v>70</v>
      </c>
      <c r="H89" s="73">
        <v>2200837.4465647996</v>
      </c>
      <c r="I89" s="73">
        <v>643309.24134809233</v>
      </c>
      <c r="J89" s="73">
        <f>I89/14</f>
        <v>45950.660096292311</v>
      </c>
      <c r="K89" s="74">
        <v>120437.35243536306</v>
      </c>
      <c r="L89" s="75">
        <v>19.283571428571431</v>
      </c>
      <c r="M89" s="75">
        <v>9.1877940805951432</v>
      </c>
      <c r="N89" s="75">
        <v>23.969327662730084</v>
      </c>
      <c r="O89" s="74">
        <v>5443.4838411041892</v>
      </c>
      <c r="P89" s="75">
        <f>N89*(R89/O89)</f>
        <v>6.864754799862915</v>
      </c>
      <c r="Q89" s="75">
        <f>L89+M89+P89</f>
        <v>35.336120309029489</v>
      </c>
      <c r="R89" s="71">
        <v>1559</v>
      </c>
      <c r="S89" s="73">
        <f>H89*(R89/O89)</f>
        <v>630314.27654583368</v>
      </c>
      <c r="T89" s="73">
        <f>J89*2</f>
        <v>91901.320192584622</v>
      </c>
      <c r="U89" s="73">
        <f>T89+S89</f>
        <v>722215.59673841833</v>
      </c>
      <c r="V89" s="71" t="str">
        <f>VLOOKUP(B89,NUTS_Europa!$B$2:$F$41,5,FALSE)</f>
        <v>Bremen</v>
      </c>
      <c r="W89" s="71" t="str">
        <f>VLOOKUP(C89,Puertos!$N$3:$O$27,2,FALSE)</f>
        <v>Hamburgo</v>
      </c>
      <c r="X89" s="71" t="str">
        <f>VLOOKUP(D89,NUTS_Europa!$B$2:$F$41,5,FALSE)</f>
        <v>Groningen</v>
      </c>
      <c r="Y89" s="71" t="str">
        <f>VLOOKUP(E89,Puertos!$N$3:$O$27,2,FALSE)</f>
        <v>Amsterdam</v>
      </c>
      <c r="Z89" s="71">
        <f>Q89/24</f>
        <v>1.4723383462095621</v>
      </c>
      <c r="AA89" s="71">
        <f>(168/2)-Q89</f>
        <v>48.663879690970511</v>
      </c>
    </row>
    <row r="90" spans="2:27" s="71" customFormat="1" x14ac:dyDescent="0.25">
      <c r="B90" s="71" t="str">
        <f>VLOOKUP(G90,[1]NUTS_Europa!$A$2:$C$81,2,FALSE)</f>
        <v>NL11</v>
      </c>
      <c r="C90" s="71">
        <f>VLOOKUP(G90,[1]NUTS_Europa!$A$2:$C$81,3,FALSE)</f>
        <v>218</v>
      </c>
      <c r="D90" s="71" t="str">
        <f>VLOOKUP(F90,[1]NUTS_Europa!$A$2:$C$81,2,FALSE)</f>
        <v>BE23</v>
      </c>
      <c r="E90" s="71">
        <f>VLOOKUP(F90,[1]NUTS_Europa!$A$2:$C$81,3,FALSE)</f>
        <v>220</v>
      </c>
      <c r="F90" s="71">
        <v>42</v>
      </c>
      <c r="G90" s="71">
        <v>70</v>
      </c>
      <c r="H90" s="73">
        <v>1939166.0287241349</v>
      </c>
      <c r="I90" s="73">
        <v>520174.39031351125</v>
      </c>
      <c r="J90" s="73">
        <f>I90/14</f>
        <v>37155.313593822233</v>
      </c>
      <c r="K90" s="74">
        <v>117061.71481038857</v>
      </c>
      <c r="L90" s="75">
        <v>8.9285714285714288</v>
      </c>
      <c r="M90" s="75">
        <v>8.8972599873531788</v>
      </c>
      <c r="N90" s="75">
        <v>25.544581557199372</v>
      </c>
      <c r="O90" s="74">
        <v>5443.4838411041892</v>
      </c>
      <c r="P90" s="75">
        <f>N90*(R90/O90)</f>
        <v>7.3159035298239594</v>
      </c>
      <c r="Q90" s="75">
        <f>L90+M90+P90</f>
        <v>25.141734945748567</v>
      </c>
      <c r="R90" s="71">
        <v>1559</v>
      </c>
      <c r="S90" s="73">
        <f>H90*(R90/O90)</f>
        <v>555372.24450870976</v>
      </c>
      <c r="T90" s="73">
        <f>J90*2</f>
        <v>74310.627187644466</v>
      </c>
      <c r="U90" s="73">
        <f>T90+S90</f>
        <v>629682.87169635424</v>
      </c>
      <c r="V90" s="71" t="str">
        <f>VLOOKUP(B90,NUTS_Europa!$B$2:$F$41,5,FALSE)</f>
        <v>Groningen</v>
      </c>
      <c r="W90" s="71" t="str">
        <f>VLOOKUP(C90,Puertos!$N$3:$O$27,2,FALSE)</f>
        <v>Amsterdam</v>
      </c>
      <c r="X90" s="71" t="str">
        <f>VLOOKUP(D90,NUTS_Europa!$B$2:$F$41,5,FALSE)</f>
        <v>Prov. Oost-Vlaanderen</v>
      </c>
      <c r="Y90" s="71" t="str">
        <f>VLOOKUP(E90,Puertos!$N$3:$O$27,2,FALSE)</f>
        <v>Zeebrugge</v>
      </c>
      <c r="Z90" s="71">
        <f>Q90/24</f>
        <v>1.0475722894061903</v>
      </c>
      <c r="AA90" s="71">
        <f>(168/2)-Q90</f>
        <v>58.858265054251433</v>
      </c>
    </row>
    <row r="91" spans="2:27" s="71" customFormat="1" x14ac:dyDescent="0.25">
      <c r="B91" s="71" t="str">
        <f>VLOOKUP(F91,[1]NUTS_Europa!$A$2:$C$81,2,FALSE)</f>
        <v>BE23</v>
      </c>
      <c r="C91" s="71">
        <f>VLOOKUP(F91,[1]NUTS_Europa!$A$2:$C$81,3,FALSE)</f>
        <v>220</v>
      </c>
      <c r="D91" s="71" t="str">
        <f>VLOOKUP(G91,[1]NUTS_Europa!$A$2:$C$81,2,FALSE)</f>
        <v>ES12</v>
      </c>
      <c r="E91" s="71">
        <f>VLOOKUP(G91,[1]NUTS_Europa!$A$2:$C$81,3,FALSE)</f>
        <v>163</v>
      </c>
      <c r="F91" s="71">
        <v>42</v>
      </c>
      <c r="G91" s="71">
        <v>52</v>
      </c>
      <c r="H91" s="73">
        <v>1553350.2235938688</v>
      </c>
      <c r="I91" s="73">
        <v>791622.96681149653</v>
      </c>
      <c r="J91" s="73">
        <f>I91/14</f>
        <v>56544.497629392608</v>
      </c>
      <c r="K91" s="74">
        <v>137713.62258431225</v>
      </c>
      <c r="L91" s="75">
        <v>52.142857142857146</v>
      </c>
      <c r="M91" s="75">
        <v>8.9390624899347468</v>
      </c>
      <c r="N91" s="75">
        <v>18.047467953805491</v>
      </c>
      <c r="O91" s="74">
        <v>3085.040429338103</v>
      </c>
      <c r="P91" s="75">
        <f>N91*(R91/O91)</f>
        <v>9.1201406219559189</v>
      </c>
      <c r="Q91" s="75">
        <f>L91+M91+P91</f>
        <v>70.202060254747806</v>
      </c>
      <c r="R91" s="71">
        <v>1559</v>
      </c>
      <c r="S91" s="73">
        <f>H91*(R91/O91)</f>
        <v>784972.85661258339</v>
      </c>
      <c r="T91" s="73">
        <f>J91*2</f>
        <v>113088.99525878522</v>
      </c>
      <c r="U91" s="73">
        <f>T91+S91</f>
        <v>898061.85187136859</v>
      </c>
      <c r="V91" s="71" t="str">
        <f>VLOOKUP(B91,NUTS_Europa!$B$2:$F$41,5,FALSE)</f>
        <v>Prov. Oost-Vlaanderen</v>
      </c>
      <c r="W91" s="71" t="str">
        <f>VLOOKUP(C91,Puertos!$N$3:$O$27,2,FALSE)</f>
        <v>Zeebrugge</v>
      </c>
      <c r="X91" s="71" t="str">
        <f>VLOOKUP(D91,NUTS_Europa!$B$2:$F$41,5,FALSE)</f>
        <v>Principado de Asturias</v>
      </c>
      <c r="Y91" s="71" t="str">
        <f>VLOOKUP(E91,Puertos!$N$3:$O$27,2,FALSE)</f>
        <v>Bilbao</v>
      </c>
      <c r="Z91" s="71">
        <f>Q91/24</f>
        <v>2.9250858439478251</v>
      </c>
      <c r="AA91" s="71">
        <f>(168/2)-Q91</f>
        <v>13.797939745252194</v>
      </c>
    </row>
    <row r="92" spans="2:27" s="71" customFormat="1" x14ac:dyDescent="0.25">
      <c r="B92" s="71" t="str">
        <f>VLOOKUP(G92,[1]NUTS_Europa!$A$2:$C$81,2,FALSE)</f>
        <v>ES12</v>
      </c>
      <c r="C92" s="71">
        <f>VLOOKUP(G92,[1]NUTS_Europa!$A$2:$C$81,3,FALSE)</f>
        <v>163</v>
      </c>
      <c r="D92" s="71" t="str">
        <f>VLOOKUP(F92,[1]NUTS_Europa!$A$2:$C$81,2,FALSE)</f>
        <v>DE50</v>
      </c>
      <c r="E92" s="71">
        <f>VLOOKUP(F92,[1]NUTS_Europa!$A$2:$C$81,3,FALSE)</f>
        <v>1069</v>
      </c>
      <c r="F92" s="71">
        <v>44</v>
      </c>
      <c r="G92" s="71">
        <v>52</v>
      </c>
      <c r="H92" s="73">
        <v>1700119.6342874623</v>
      </c>
      <c r="I92" s="73">
        <v>1021019.4141458258</v>
      </c>
      <c r="J92" s="73">
        <f>I92/14</f>
        <v>72929.95815327327</v>
      </c>
      <c r="K92" s="74">
        <v>120125.80522925351</v>
      </c>
      <c r="L92" s="75">
        <v>74.86071428571428</v>
      </c>
      <c r="M92" s="75">
        <v>9.2295965831767113</v>
      </c>
      <c r="N92" s="75">
        <v>17.154708446701989</v>
      </c>
      <c r="O92" s="74">
        <v>3085.040429338103</v>
      </c>
      <c r="P92" s="75">
        <f>N92*(R92/O92)</f>
        <v>8.6689918919948745</v>
      </c>
      <c r="Q92" s="75">
        <f>L92+M92+P92</f>
        <v>92.759302760885873</v>
      </c>
      <c r="R92" s="71">
        <v>1559</v>
      </c>
      <c r="S92" s="73">
        <f>H92*(R92/O92)</f>
        <v>859141.58033346001</v>
      </c>
      <c r="T92" s="73">
        <f>J92*2</f>
        <v>145859.91630654654</v>
      </c>
      <c r="U92" s="73">
        <f>T92+S92</f>
        <v>1005001.4966400065</v>
      </c>
      <c r="V92" s="71" t="str">
        <f>VLOOKUP(B92,NUTS_Europa!$B$2:$F$41,5,FALSE)</f>
        <v>Principado de Asturias</v>
      </c>
      <c r="W92" s="71" t="str">
        <f>VLOOKUP(C92,Puertos!$N$3:$O$27,2,FALSE)</f>
        <v>Bilbao</v>
      </c>
      <c r="X92" s="71" t="str">
        <f>VLOOKUP(D92,NUTS_Europa!$B$2:$F$41,5,FALSE)</f>
        <v>Bremen</v>
      </c>
      <c r="Y92" s="71" t="str">
        <f>VLOOKUP(E92,Puertos!$N$3:$O$27,2,FALSE)</f>
        <v>Hamburgo</v>
      </c>
      <c r="Z92" s="71">
        <f>Q92/24</f>
        <v>3.8649709483702446</v>
      </c>
      <c r="AA92" s="71">
        <f>(168/2)-Q92</f>
        <v>-8.7593027608858733</v>
      </c>
    </row>
    <row r="93" spans="2:27" s="71" customFormat="1" x14ac:dyDescent="0.25">
      <c r="Q93" s="75">
        <f>SUM(Q89:Q92)</f>
        <v>223.43921827041174</v>
      </c>
      <c r="R93" s="71">
        <f>Q93/24</f>
        <v>9.309967427933822</v>
      </c>
      <c r="S93" s="71">
        <f>R93/7</f>
        <v>1.3299953468476888</v>
      </c>
      <c r="AA93" s="71">
        <f>AVERAGE(AA89:AA92)</f>
        <v>28.140195432397064</v>
      </c>
    </row>
    <row r="94" spans="2:27" s="71" customFormat="1" x14ac:dyDescent="0.25"/>
    <row r="95" spans="2:27" s="71" customFormat="1" x14ac:dyDescent="0.25">
      <c r="B95" s="71" t="s">
        <v>138</v>
      </c>
    </row>
    <row r="96" spans="2:27" s="71" customFormat="1" x14ac:dyDescent="0.25">
      <c r="B96" s="71" t="str">
        <f t="shared" ref="B96:Y96" si="0">B88</f>
        <v>nodo inicial</v>
      </c>
      <c r="C96" s="71" t="str">
        <f t="shared" si="0"/>
        <v>puerto O</v>
      </c>
      <c r="D96" s="71" t="str">
        <f t="shared" si="0"/>
        <v>nodo final</v>
      </c>
      <c r="E96" s="71" t="str">
        <f t="shared" si="0"/>
        <v>puerto D</v>
      </c>
      <c r="F96" s="71" t="str">
        <f t="shared" si="0"/>
        <v>Var1</v>
      </c>
      <c r="G96" s="71" t="str">
        <f t="shared" si="0"/>
        <v>Var2</v>
      </c>
      <c r="H96" s="71" t="str">
        <f t="shared" si="0"/>
        <v>Coste variable</v>
      </c>
      <c r="I96" s="71" t="str">
        <f t="shared" si="0"/>
        <v>Coste fijo</v>
      </c>
      <c r="J96" s="71" t="str">
        <f t="shared" si="0"/>
        <v>Coste fijo/buque</v>
      </c>
      <c r="K96" s="71" t="str">
        <f t="shared" si="0"/>
        <v>flow</v>
      </c>
      <c r="L96" s="71" t="str">
        <f t="shared" si="0"/>
        <v>TiempoNav</v>
      </c>
      <c r="M96" s="71" t="str">
        <f t="shared" si="0"/>
        <v>TiempoPort</v>
      </c>
      <c r="N96" s="71" t="str">
        <f t="shared" si="0"/>
        <v>TiempoCD</v>
      </c>
      <c r="O96" s="71" t="str">
        <f t="shared" si="0"/>
        <v>offer</v>
      </c>
      <c r="P96" s="71" t="str">
        <f t="shared" si="0"/>
        <v>Tiempo C/D</v>
      </c>
      <c r="Q96" s="71" t="str">
        <f t="shared" si="0"/>
        <v>Tiempo total</v>
      </c>
      <c r="R96" s="71" t="str">
        <f t="shared" si="0"/>
        <v>TEUs/buque</v>
      </c>
      <c r="S96" s="71" t="str">
        <f t="shared" si="0"/>
        <v>Coste variable</v>
      </c>
      <c r="T96" s="71" t="str">
        <f t="shared" si="0"/>
        <v>Coste fijo</v>
      </c>
      <c r="U96" s="71" t="str">
        <f t="shared" si="0"/>
        <v>Coste Total</v>
      </c>
      <c r="V96" s="71" t="str">
        <f t="shared" si="0"/>
        <v>Nodo inicial</v>
      </c>
      <c r="W96" s="71" t="str">
        <f t="shared" si="0"/>
        <v>Puerto O</v>
      </c>
      <c r="X96" s="71" t="str">
        <f t="shared" si="0"/>
        <v>Nodo final</v>
      </c>
      <c r="Y96" s="71" t="str">
        <f t="shared" si="0"/>
        <v>Puerto D</v>
      </c>
    </row>
    <row r="97" spans="2:15" s="71" customFormat="1" x14ac:dyDescent="0.25">
      <c r="B97" s="71" t="str">
        <f>VLOOKUP(G97,[1]NUTS_Europa!$A$2:$C$81,2,FALSE)</f>
        <v>BE25</v>
      </c>
      <c r="C97" s="71">
        <f>VLOOKUP(G97,[1]NUTS_Europa!$A$2:$C$81,3,FALSE)</f>
        <v>235</v>
      </c>
      <c r="D97" s="71" t="str">
        <f>VLOOKUP(F97,[1]NUTS_Europa!$A$2:$C$81,2,FALSE)</f>
        <v>BE21</v>
      </c>
      <c r="E97" s="71">
        <f>VLOOKUP(F97,[1]NUTS_Europa!$A$2:$C$81,3,FALSE)</f>
        <v>253</v>
      </c>
      <c r="F97" s="71">
        <v>1</v>
      </c>
      <c r="G97" s="71">
        <v>3</v>
      </c>
      <c r="H97" s="72">
        <v>286657.42126054224</v>
      </c>
      <c r="I97" s="72">
        <v>486338.31962185231</v>
      </c>
      <c r="K97" s="71">
        <v>135416.16142478216</v>
      </c>
      <c r="L97" s="71">
        <v>8.9857142857142858</v>
      </c>
      <c r="M97" s="71">
        <v>14.933765277661841</v>
      </c>
      <c r="N97" s="71">
        <v>8.4795381465049093</v>
      </c>
      <c r="O97" s="71">
        <v>1522.6567936191168</v>
      </c>
    </row>
    <row r="98" spans="2:15" s="71" customFormat="1" x14ac:dyDescent="0.25">
      <c r="B98" s="71" t="str">
        <f>VLOOKUP(F98,[1]NUTS_Europa!$A$2:$C$81,2,FALSE)</f>
        <v>BE21</v>
      </c>
      <c r="C98" s="71">
        <f>VLOOKUP(F98,[1]NUTS_Europa!$A$2:$C$81,3,FALSE)</f>
        <v>253</v>
      </c>
      <c r="D98" s="71" t="str">
        <f>VLOOKUP(G98,[1]NUTS_Europa!$A$2:$C$81,2,FALSE)</f>
        <v>NL12</v>
      </c>
      <c r="E98" s="71">
        <f>VLOOKUP(G98,[1]NUTS_Europa!$A$2:$C$81,3,FALSE)</f>
        <v>218</v>
      </c>
      <c r="F98" s="71">
        <v>1</v>
      </c>
      <c r="G98" s="71">
        <v>31</v>
      </c>
      <c r="H98" s="71">
        <v>1331261.1704182203</v>
      </c>
      <c r="I98" s="71">
        <v>641997.35762596503</v>
      </c>
      <c r="K98" s="71">
        <v>114203.52260471623</v>
      </c>
      <c r="L98" s="71">
        <v>12.785</v>
      </c>
      <c r="M98" s="71">
        <v>13.909540797229681</v>
      </c>
      <c r="N98" s="71">
        <v>28.627748090021338</v>
      </c>
      <c r="O98" s="71">
        <v>5443.4838411041892</v>
      </c>
    </row>
    <row r="99" spans="2:15" s="71" customFormat="1" x14ac:dyDescent="0.25">
      <c r="B99" s="71" t="str">
        <f>VLOOKUP(G99,[1]NUTS_Europa!$A$2:$C$81,2,FALSE)</f>
        <v>NL12</v>
      </c>
      <c r="C99" s="71">
        <f>VLOOKUP(G99,[1]NUTS_Europa!$A$2:$C$81,3,FALSE)</f>
        <v>218</v>
      </c>
      <c r="D99" s="71" t="str">
        <f>VLOOKUP(F99,[1]NUTS_Europa!$A$2:$C$81,2,FALSE)</f>
        <v>DE93</v>
      </c>
      <c r="E99" s="71">
        <f>VLOOKUP(F99,[1]NUTS_Europa!$A$2:$C$81,3,FALSE)</f>
        <v>1069</v>
      </c>
      <c r="F99" s="71">
        <v>7</v>
      </c>
      <c r="G99" s="71">
        <v>31</v>
      </c>
      <c r="H99" s="71">
        <v>1453945.1939526554</v>
      </c>
      <c r="I99" s="71">
        <v>643309.24134809233</v>
      </c>
      <c r="K99" s="71">
        <v>163171.48832599766</v>
      </c>
      <c r="L99" s="71">
        <v>19.283571428571431</v>
      </c>
      <c r="M99" s="71">
        <v>9.1877940805951432</v>
      </c>
      <c r="N99" s="71">
        <v>23.969327662730084</v>
      </c>
      <c r="O99" s="71">
        <v>5443.4838411041892</v>
      </c>
    </row>
    <row r="100" spans="2:15" s="71" customFormat="1" x14ac:dyDescent="0.25">
      <c r="B100" s="71" t="str">
        <f>VLOOKUP(F100,[1]NUTS_Europa!$A$2:$C$81,2,FALSE)</f>
        <v>DE93</v>
      </c>
      <c r="C100" s="71">
        <f>VLOOKUP(F100,[1]NUTS_Europa!$A$2:$C$81,3,FALSE)</f>
        <v>1069</v>
      </c>
      <c r="D100" s="71" t="str">
        <f>VLOOKUP(G100,[1]NUTS_Europa!$A$2:$C$81,2,FALSE)</f>
        <v>NL32</v>
      </c>
      <c r="E100" s="71">
        <f>VLOOKUP(G100,[1]NUTS_Europa!$A$2:$C$81,3,FALSE)</f>
        <v>218</v>
      </c>
      <c r="F100" s="71">
        <v>7</v>
      </c>
      <c r="G100" s="71">
        <v>32</v>
      </c>
      <c r="H100" s="71">
        <v>612708.65680003003</v>
      </c>
      <c r="I100" s="71">
        <v>643309.24134809233</v>
      </c>
      <c r="K100" s="71">
        <v>199058.85825050285</v>
      </c>
      <c r="L100" s="71">
        <v>19.283571428571431</v>
      </c>
      <c r="M100" s="71">
        <v>9.1877940805951432</v>
      </c>
      <c r="N100" s="71">
        <v>23.969327662730084</v>
      </c>
      <c r="O100" s="71">
        <v>5443.4838411041892</v>
      </c>
    </row>
    <row r="101" spans="2:15" s="71" customFormat="1" x14ac:dyDescent="0.25">
      <c r="B101" s="71" t="str">
        <f>VLOOKUP(G101,[1]NUTS_Europa!$A$2:$C$81,2,FALSE)</f>
        <v>NL32</v>
      </c>
      <c r="C101" s="71">
        <f>VLOOKUP(G101,[1]NUTS_Europa!$A$2:$C$81,3,FALSE)</f>
        <v>218</v>
      </c>
      <c r="D101" s="71" t="str">
        <f>VLOOKUP(F101,[1]NUTS_Europa!$A$2:$C$81,2,FALSE)</f>
        <v>DE60</v>
      </c>
      <c r="E101" s="71">
        <f>VLOOKUP(F101,[1]NUTS_Europa!$A$2:$C$81,3,FALSE)</f>
        <v>1069</v>
      </c>
      <c r="F101" s="71">
        <v>5</v>
      </c>
      <c r="G101" s="71">
        <v>32</v>
      </c>
      <c r="H101" s="71">
        <v>330390.53260692285</v>
      </c>
      <c r="I101" s="71">
        <v>643309.24134809233</v>
      </c>
      <c r="K101" s="71">
        <v>119215.96904421839</v>
      </c>
      <c r="L101" s="71">
        <v>19.283571428571431</v>
      </c>
      <c r="M101" s="71">
        <v>9.1877940805951432</v>
      </c>
      <c r="N101" s="71">
        <v>23.969327662730084</v>
      </c>
      <c r="O101" s="71">
        <v>5443.4838411041892</v>
      </c>
    </row>
    <row r="102" spans="2:15" s="71" customFormat="1" x14ac:dyDescent="0.25">
      <c r="B102" s="71" t="str">
        <f>VLOOKUP(F102,[1]NUTS_Europa!$A$2:$C$81,2,FALSE)</f>
        <v>DE60</v>
      </c>
      <c r="C102" s="71">
        <f>VLOOKUP(F102,[1]NUTS_Europa!$A$2:$C$81,3,FALSE)</f>
        <v>1069</v>
      </c>
      <c r="D102" s="71" t="str">
        <f>VLOOKUP(G102,[1]NUTS_Europa!$A$2:$C$81,2,FALSE)</f>
        <v>PT18</v>
      </c>
      <c r="E102" s="71">
        <f>VLOOKUP(G102,[1]NUTS_Europa!$A$2:$C$81,3,FALSE)</f>
        <v>61</v>
      </c>
      <c r="F102" s="71">
        <v>5</v>
      </c>
      <c r="G102" s="71">
        <v>80</v>
      </c>
      <c r="H102" s="71">
        <v>11581775.422901699</v>
      </c>
      <c r="I102" s="71">
        <v>1364981.2834943873</v>
      </c>
      <c r="K102" s="71">
        <v>118487.95435333898</v>
      </c>
      <c r="L102" s="71">
        <v>119.48428571428572</v>
      </c>
      <c r="M102" s="71">
        <v>8.9694603288775365</v>
      </c>
      <c r="N102" s="71">
        <v>81.181340591868462</v>
      </c>
      <c r="O102" s="71">
        <v>18537.263556443555</v>
      </c>
    </row>
    <row r="103" spans="2:15" s="71" customFormat="1" x14ac:dyDescent="0.25">
      <c r="B103" s="71" t="str">
        <f>VLOOKUP(G103,[1]NUTS_Europa!$A$2:$C$81,2,FALSE)</f>
        <v>PT18</v>
      </c>
      <c r="C103" s="71">
        <f>VLOOKUP(G103,[1]NUTS_Europa!$A$2:$C$81,3,FALSE)</f>
        <v>61</v>
      </c>
      <c r="D103" s="71" t="str">
        <f>VLOOKUP(F103,[1]NUTS_Europa!$A$2:$C$81,2,FALSE)</f>
        <v>BE25</v>
      </c>
      <c r="E103" s="71">
        <f>VLOOKUP(F103,[1]NUTS_Europa!$A$2:$C$81,3,FALSE)</f>
        <v>220</v>
      </c>
      <c r="F103" s="71">
        <v>43</v>
      </c>
      <c r="G103" s="71">
        <v>80</v>
      </c>
      <c r="H103" s="71">
        <v>12471856.746368283</v>
      </c>
      <c r="I103" s="71">
        <v>1134823.0246945161</v>
      </c>
      <c r="K103" s="71">
        <v>117768.50934211678</v>
      </c>
      <c r="L103" s="71">
        <v>96.690714285714293</v>
      </c>
      <c r="M103" s="71">
        <v>8.6789262356355721</v>
      </c>
      <c r="N103" s="71">
        <v>86.545717057835546</v>
      </c>
      <c r="O103" s="71">
        <v>18537.263556443555</v>
      </c>
    </row>
    <row r="104" spans="2:15" s="71" customFormat="1" x14ac:dyDescent="0.25">
      <c r="B104" s="71" t="str">
        <f>VLOOKUP(F104,[1]NUTS_Europa!$A$2:$C$81,2,FALSE)</f>
        <v>BE25</v>
      </c>
      <c r="C104" s="71">
        <f>VLOOKUP(F104,[1]NUTS_Europa!$A$2:$C$81,3,FALSE)</f>
        <v>220</v>
      </c>
      <c r="D104" s="71" t="str">
        <f>VLOOKUP(G104,[1]NUTS_Europa!$A$2:$C$81,2,FALSE)</f>
        <v>FRD1</v>
      </c>
      <c r="E104" s="71">
        <f>VLOOKUP(G104,[1]NUTS_Europa!$A$2:$C$81,3,FALSE)</f>
        <v>269</v>
      </c>
      <c r="F104" s="71">
        <v>43</v>
      </c>
      <c r="G104" s="71">
        <v>59</v>
      </c>
      <c r="H104" s="71">
        <v>3527364.5656928718</v>
      </c>
      <c r="I104" s="71">
        <v>534487.62041329429</v>
      </c>
      <c r="K104" s="71">
        <v>199058.85825050285</v>
      </c>
      <c r="L104" s="71">
        <v>12.927857142857144</v>
      </c>
      <c r="M104" s="71">
        <v>9.8645991222313842</v>
      </c>
      <c r="N104" s="71">
        <v>80.319684850859261</v>
      </c>
      <c r="O104" s="71">
        <v>13729.874776386405</v>
      </c>
    </row>
    <row r="105" spans="2:15" s="71" customFormat="1" x14ac:dyDescent="0.25">
      <c r="B105" s="71" t="s">
        <v>87</v>
      </c>
      <c r="C105" s="71">
        <v>269</v>
      </c>
      <c r="D105" s="71" t="s">
        <v>105</v>
      </c>
      <c r="E105" s="71">
        <v>163</v>
      </c>
      <c r="F105" s="71">
        <v>59</v>
      </c>
      <c r="G105" s="71">
        <v>68</v>
      </c>
      <c r="H105" s="71">
        <v>2809942.48947111</v>
      </c>
      <c r="I105" s="71">
        <v>836032.14075109141</v>
      </c>
      <c r="K105" s="71">
        <v>145277.79316174539</v>
      </c>
      <c r="L105" s="71">
        <v>43.427857142857142</v>
      </c>
      <c r="M105" s="71">
        <v>11.239458179966176</v>
      </c>
      <c r="N105" s="71">
        <v>19.79482197960683</v>
      </c>
      <c r="O105" s="71">
        <v>3085.040429338103</v>
      </c>
    </row>
    <row r="106" spans="2:15" s="71" customFormat="1" x14ac:dyDescent="0.25">
      <c r="B106" s="71" t="s">
        <v>105</v>
      </c>
      <c r="C106" s="71">
        <v>163</v>
      </c>
      <c r="D106" s="71" t="s">
        <v>101</v>
      </c>
      <c r="E106" s="71">
        <v>1064</v>
      </c>
      <c r="F106" s="71">
        <v>66</v>
      </c>
      <c r="G106" s="71">
        <v>68</v>
      </c>
      <c r="H106" s="71">
        <v>3703382.2214772352</v>
      </c>
      <c r="I106" s="71">
        <v>1122203.9636527435</v>
      </c>
      <c r="K106" s="71">
        <v>163171.48832599766</v>
      </c>
      <c r="L106" s="71">
        <v>89</v>
      </c>
      <c r="M106" s="71">
        <v>9.4246163390520259</v>
      </c>
      <c r="N106" s="71">
        <v>17.154708446701989</v>
      </c>
      <c r="O106" s="71">
        <v>3085.040429338103</v>
      </c>
    </row>
    <row r="107" spans="2:15" s="71" customFormat="1" x14ac:dyDescent="0.25">
      <c r="B107" s="71" t="s">
        <v>101</v>
      </c>
      <c r="C107" s="71">
        <v>1064</v>
      </c>
      <c r="D107" s="71" t="s">
        <v>121</v>
      </c>
      <c r="E107" s="71">
        <v>288</v>
      </c>
      <c r="F107" s="71">
        <v>66</v>
      </c>
      <c r="G107" s="71">
        <v>76</v>
      </c>
      <c r="H107" s="71">
        <v>807990.87382197916</v>
      </c>
      <c r="I107" s="71">
        <v>973248.16402506118</v>
      </c>
      <c r="K107" s="71">
        <v>123614.25510828695</v>
      </c>
      <c r="L107" s="71">
        <v>65.142857142857139</v>
      </c>
      <c r="M107" s="71">
        <v>10.882711636332967</v>
      </c>
      <c r="N107" s="71">
        <v>4.5189062009214327</v>
      </c>
      <c r="O107" s="71">
        <v>960.4820809003329</v>
      </c>
    </row>
    <row r="108" spans="2:15" s="71" customFormat="1" x14ac:dyDescent="0.25">
      <c r="B108" s="71" t="s">
        <v>121</v>
      </c>
      <c r="C108" s="71">
        <v>288</v>
      </c>
      <c r="D108" s="71" t="s">
        <v>111</v>
      </c>
      <c r="E108" s="71">
        <v>250</v>
      </c>
      <c r="F108" s="71">
        <v>71</v>
      </c>
      <c r="G108" s="71">
        <v>76</v>
      </c>
      <c r="H108" s="71">
        <v>703958.80993704603</v>
      </c>
      <c r="I108" s="71">
        <v>1186922.6119317156</v>
      </c>
      <c r="K108" s="71">
        <v>142841.86171918266</v>
      </c>
      <c r="L108" s="71">
        <v>64.987142857142857</v>
      </c>
      <c r="M108" s="71">
        <v>14.370615494360854</v>
      </c>
      <c r="N108" s="71">
        <v>5.3408668195839333</v>
      </c>
      <c r="O108" s="71">
        <v>960.4820809003329</v>
      </c>
    </row>
    <row r="109" spans="2:15" s="71" customFormat="1" x14ac:dyDescent="0.25">
      <c r="B109" s="71" t="s">
        <v>111</v>
      </c>
      <c r="C109" s="71">
        <v>250</v>
      </c>
      <c r="D109" s="71" t="s">
        <v>125</v>
      </c>
      <c r="E109" s="71">
        <v>294</v>
      </c>
      <c r="F109" s="71">
        <v>71</v>
      </c>
      <c r="G109" s="71">
        <v>78</v>
      </c>
      <c r="H109" s="71">
        <v>2281594.6620497401</v>
      </c>
      <c r="I109" s="71">
        <v>1184113.5153427226</v>
      </c>
      <c r="K109" s="71">
        <v>135416.16142478216</v>
      </c>
      <c r="L109" s="71">
        <v>79.83642857142857</v>
      </c>
      <c r="M109" s="71">
        <v>10.348299084965138</v>
      </c>
      <c r="N109" s="71">
        <v>15.710205544269522</v>
      </c>
      <c r="O109" s="71">
        <v>2825.2662764782135</v>
      </c>
    </row>
    <row r="110" spans="2:15" s="71" customFormat="1" x14ac:dyDescent="0.25">
      <c r="B110" s="71" t="s">
        <v>125</v>
      </c>
      <c r="C110" s="71">
        <v>294</v>
      </c>
      <c r="D110" s="71" t="s">
        <v>123</v>
      </c>
      <c r="E110" s="71">
        <v>61</v>
      </c>
      <c r="F110" s="71">
        <v>77</v>
      </c>
      <c r="G110" s="71">
        <v>78</v>
      </c>
      <c r="H110" s="71">
        <v>2371896.3776358208</v>
      </c>
      <c r="I110" s="71">
        <v>498602.11576627055</v>
      </c>
      <c r="K110" s="71">
        <v>127001.21695280854</v>
      </c>
      <c r="L110" s="71">
        <v>21.978571428571428</v>
      </c>
      <c r="M110" s="71">
        <v>7.4895641812555915</v>
      </c>
      <c r="N110" s="71">
        <v>12.372856606107471</v>
      </c>
      <c r="O110" s="71">
        <v>2825.2662764782135</v>
      </c>
    </row>
    <row r="111" spans="2:15" s="71" customFormat="1" x14ac:dyDescent="0.25">
      <c r="B111" s="71" t="s">
        <v>123</v>
      </c>
      <c r="C111" s="71">
        <v>61</v>
      </c>
      <c r="D111" s="71" t="s">
        <v>127</v>
      </c>
      <c r="E111" s="71">
        <v>297</v>
      </c>
      <c r="F111" s="71">
        <v>77</v>
      </c>
      <c r="G111" s="71">
        <v>79</v>
      </c>
      <c r="H111" s="71">
        <v>768916.21823423519</v>
      </c>
      <c r="I111" s="71">
        <v>338055.49477871205</v>
      </c>
      <c r="K111" s="71">
        <v>113696.3812050019</v>
      </c>
      <c r="L111" s="71">
        <v>5.3571428571428568</v>
      </c>
      <c r="M111" s="71">
        <v>9.2386726305940492</v>
      </c>
      <c r="N111" s="71">
        <v>3.9497515922975746</v>
      </c>
      <c r="O111" s="71">
        <v>901.90166502666227</v>
      </c>
    </row>
    <row r="112" spans="2:15" s="71" customFormat="1" x14ac:dyDescent="0.25">
      <c r="B112" s="71" t="str">
        <f>VLOOKUP(G112,[1]NUTS_Europa!$A$2:$C$81,2,FALSE)</f>
        <v>PT17</v>
      </c>
      <c r="C112" s="71">
        <f>VLOOKUP(G112,[1]NUTS_Europa!$A$2:$C$81,3,FALSE)</f>
        <v>297</v>
      </c>
      <c r="D112" s="71" t="str">
        <f>VLOOKUP(F112,[1]NUTS_Europa!$A$2:$C$81,2,FALSE)</f>
        <v>DEF0</v>
      </c>
      <c r="E112" s="71">
        <f>VLOOKUP(F112,[1]NUTS_Europa!$A$2:$C$81,3,FALSE)</f>
        <v>245</v>
      </c>
      <c r="F112" s="71">
        <v>50</v>
      </c>
      <c r="G112" s="71">
        <v>79</v>
      </c>
      <c r="H112" s="71">
        <v>3318255.0002872054</v>
      </c>
      <c r="I112" s="71">
        <v>6387562.7306849053</v>
      </c>
      <c r="K112" s="71">
        <v>144185.26102544673</v>
      </c>
      <c r="L112" s="71">
        <v>111.61642857142859</v>
      </c>
      <c r="M112" s="71">
        <v>9.3688708310407236</v>
      </c>
      <c r="N112" s="71">
        <v>5.0151239393796105</v>
      </c>
      <c r="O112" s="71">
        <v>901.90166502666227</v>
      </c>
    </row>
    <row r="113" spans="2:27" s="71" customFormat="1" x14ac:dyDescent="0.25">
      <c r="B113" s="71" t="str">
        <f>VLOOKUP(F113,[1]NUTS_Europa!$A$2:$C$81,2,FALSE)</f>
        <v>DEF0</v>
      </c>
      <c r="C113" s="71">
        <f>VLOOKUP(F113,[1]NUTS_Europa!$A$2:$C$81,3,FALSE)</f>
        <v>245</v>
      </c>
      <c r="D113" s="71" t="str">
        <f>VLOOKUP(G113,[1]NUTS_Europa!$A$2:$C$81,2,FALSE)</f>
        <v>ES61</v>
      </c>
      <c r="E113" s="71">
        <f>VLOOKUP(G113,[1]NUTS_Europa!$A$2:$C$81,3,FALSE)</f>
        <v>297</v>
      </c>
      <c r="F113" s="71">
        <v>50</v>
      </c>
      <c r="G113" s="71">
        <v>57</v>
      </c>
      <c r="H113" s="71">
        <v>3234177.0213684249</v>
      </c>
      <c r="I113" s="71">
        <v>6387562.7306849053</v>
      </c>
      <c r="K113" s="71">
        <v>137713.62258431225</v>
      </c>
      <c r="L113" s="71">
        <v>111.61642857142859</v>
      </c>
      <c r="M113" s="71">
        <v>9.3688708310407236</v>
      </c>
      <c r="N113" s="71">
        <v>5.0151239393796105</v>
      </c>
      <c r="O113" s="71">
        <v>901.90166502666227</v>
      </c>
    </row>
    <row r="114" spans="2:27" s="71" customFormat="1" x14ac:dyDescent="0.25">
      <c r="B114" s="71" t="str">
        <f>VLOOKUP(G114,[1]NUTS_Europa!$A$2:$C$81,2,FALSE)</f>
        <v>ES61</v>
      </c>
      <c r="C114" s="71">
        <f>VLOOKUP(G114,[1]NUTS_Europa!$A$2:$C$81,3,FALSE)</f>
        <v>297</v>
      </c>
      <c r="D114" s="71" t="str">
        <f>VLOOKUP(F114,[1]NUTS_Europa!$A$2:$C$81,2,FALSE)</f>
        <v>DE60</v>
      </c>
      <c r="E114" s="71">
        <f>VLOOKUP(F114,[1]NUTS_Europa!$A$2:$C$81,3,FALSE)</f>
        <v>245</v>
      </c>
      <c r="F114" s="71">
        <v>45</v>
      </c>
      <c r="G114" s="71">
        <v>57</v>
      </c>
      <c r="H114" s="71">
        <v>3280360.6999294455</v>
      </c>
      <c r="I114" s="71">
        <v>6387562.7306849053</v>
      </c>
      <c r="K114" s="71">
        <v>159445.52860932166</v>
      </c>
      <c r="L114" s="71">
        <v>111.61642857142859</v>
      </c>
      <c r="M114" s="71">
        <v>9.3688708310407236</v>
      </c>
      <c r="N114" s="71">
        <v>5.0151239393796105</v>
      </c>
      <c r="O114" s="71">
        <v>901.90166502666227</v>
      </c>
    </row>
    <row r="115" spans="2:27" s="71" customFormat="1" x14ac:dyDescent="0.25">
      <c r="B115" s="71" t="str">
        <f>VLOOKUP(F115,[1]NUTS_Europa!$A$2:$C$81,2,FALSE)</f>
        <v>DE60</v>
      </c>
      <c r="C115" s="71">
        <f>VLOOKUP(F115,[1]NUTS_Europa!$A$2:$C$81,3,FALSE)</f>
        <v>245</v>
      </c>
      <c r="D115" s="71" t="str">
        <f>VLOOKUP(G115,[1]NUTS_Europa!$A$2:$C$81,2,FALSE)</f>
        <v>FRD2</v>
      </c>
      <c r="E115" s="71">
        <f>VLOOKUP(G115,[1]NUTS_Europa!$A$2:$C$81,3,FALSE)</f>
        <v>271</v>
      </c>
      <c r="F115" s="71">
        <v>45</v>
      </c>
      <c r="G115" s="71">
        <v>60</v>
      </c>
      <c r="H115" s="71">
        <v>1136987.8727499039</v>
      </c>
      <c r="I115" s="71">
        <v>9259917.4761609323</v>
      </c>
      <c r="K115" s="71">
        <v>141734.02658349604</v>
      </c>
      <c r="L115" s="71">
        <v>199.78571428571428</v>
      </c>
      <c r="M115" s="71">
        <v>13.139090102189435</v>
      </c>
      <c r="N115" s="71">
        <v>1.9223056220865846</v>
      </c>
      <c r="O115" s="71">
        <v>299.59302325581393</v>
      </c>
    </row>
    <row r="116" spans="2:27" s="71" customFormat="1" x14ac:dyDescent="0.25">
      <c r="B116" s="71" t="str">
        <f>VLOOKUP(G116,[1]NUTS_Europa!$A$2:$C$81,2,FALSE)</f>
        <v>FRD2</v>
      </c>
      <c r="C116" s="71">
        <f>VLOOKUP(G116,[1]NUTS_Europa!$A$2:$C$81,3,FALSE)</f>
        <v>271</v>
      </c>
      <c r="D116" s="71" t="str">
        <f>VLOOKUP(F116,[1]NUTS_Europa!$A$2:$C$81,2,FALSE)</f>
        <v>ES21</v>
      </c>
      <c r="E116" s="71">
        <f>VLOOKUP(F116,[1]NUTS_Europa!$A$2:$C$81,3,FALSE)</f>
        <v>1063</v>
      </c>
      <c r="F116" s="71">
        <v>54</v>
      </c>
      <c r="G116" s="71">
        <v>60</v>
      </c>
      <c r="H116" s="71">
        <v>261624.72277969259</v>
      </c>
      <c r="I116" s="71">
        <v>5342286.3659891132</v>
      </c>
      <c r="K116" s="71">
        <v>159445.52860932166</v>
      </c>
      <c r="L116" s="71">
        <v>119.21428571428571</v>
      </c>
      <c r="M116" s="71">
        <v>13.963619522518282</v>
      </c>
      <c r="N116" s="71">
        <v>1.6659201343828627</v>
      </c>
      <c r="O116" s="71">
        <v>299.59302325581393</v>
      </c>
    </row>
    <row r="117" spans="2:27" s="71" customFormat="1" x14ac:dyDescent="0.25">
      <c r="B117" s="71" t="str">
        <f>VLOOKUP(F117,[1]NUTS_Europa!$A$2:$C$81,2,FALSE)</f>
        <v>ES21</v>
      </c>
      <c r="C117" s="71">
        <f>VLOOKUP(F117,[1]NUTS_Europa!$A$2:$C$81,3,FALSE)</f>
        <v>1063</v>
      </c>
      <c r="D117" s="71" t="str">
        <f>VLOOKUP(G117,[1]NUTS_Europa!$A$2:$C$81,2,FALSE)</f>
        <v>FRI3</v>
      </c>
      <c r="E117" s="71">
        <f>VLOOKUP(G117,[1]NUTS_Europa!$A$2:$C$81,3,FALSE)</f>
        <v>282</v>
      </c>
      <c r="F117" s="71">
        <v>54</v>
      </c>
      <c r="G117" s="71">
        <v>65</v>
      </c>
      <c r="H117" s="71">
        <v>868336.35209317086</v>
      </c>
      <c r="I117" s="71">
        <v>5241603.2711278889</v>
      </c>
      <c r="K117" s="71">
        <v>117923.68175590989</v>
      </c>
      <c r="L117" s="71">
        <v>105</v>
      </c>
      <c r="M117" s="71">
        <v>15.703253226301928</v>
      </c>
      <c r="N117" s="71">
        <v>3.9140879229523233</v>
      </c>
      <c r="O117" s="71">
        <v>703.89534883720933</v>
      </c>
    </row>
    <row r="118" spans="2:27" s="71" customFormat="1" x14ac:dyDescent="0.25">
      <c r="B118" s="71" t="str">
        <f>VLOOKUP(G118,[1]NUTS_Europa!$A$2:$C$81,2,FALSE)</f>
        <v>FRI3</v>
      </c>
      <c r="C118" s="71">
        <f>VLOOKUP(G118,[1]NUTS_Europa!$A$2:$C$81,3,FALSE)</f>
        <v>282</v>
      </c>
      <c r="D118" s="71" t="str">
        <f>VLOOKUP(F118,[1]NUTS_Europa!$A$2:$C$81,2,FALSE)</f>
        <v>ES52</v>
      </c>
      <c r="E118" s="71">
        <f>VLOOKUP(F118,[1]NUTS_Europa!$A$2:$C$81,3,FALSE)</f>
        <v>1063</v>
      </c>
      <c r="F118" s="71">
        <v>56</v>
      </c>
      <c r="G118" s="71">
        <v>65</v>
      </c>
      <c r="H118" s="71">
        <v>642827.99139549641</v>
      </c>
      <c r="I118" s="71">
        <v>5241603.2711278889</v>
      </c>
      <c r="K118" s="71">
        <v>122072.63094995193</v>
      </c>
      <c r="L118" s="71">
        <v>105</v>
      </c>
      <c r="M118" s="71">
        <v>15.703253226301928</v>
      </c>
      <c r="N118" s="71">
        <v>3.9140879229523233</v>
      </c>
      <c r="O118" s="71">
        <v>703.89534883720933</v>
      </c>
    </row>
    <row r="119" spans="2:27" s="71" customFormat="1" x14ac:dyDescent="0.25">
      <c r="B119" s="71" t="str">
        <f>VLOOKUP(F119,[1]NUTS_Europa!$A$2:$C$81,2,FALSE)</f>
        <v>ES52</v>
      </c>
      <c r="C119" s="71">
        <f>VLOOKUP(F119,[1]NUTS_Europa!$A$2:$C$81,3,FALSE)</f>
        <v>1063</v>
      </c>
      <c r="D119" s="71" t="str">
        <f>VLOOKUP(G119,[1]NUTS_Europa!$A$2:$C$81,2,FALSE)</f>
        <v>ES62</v>
      </c>
      <c r="E119" s="71">
        <f>VLOOKUP(G119,[1]NUTS_Europa!$A$2:$C$81,3,FALSE)</f>
        <v>462</v>
      </c>
      <c r="F119" s="71">
        <v>56</v>
      </c>
      <c r="G119" s="71">
        <v>58</v>
      </c>
      <c r="H119" s="73">
        <v>1070616.0969089533</v>
      </c>
      <c r="I119" s="73">
        <v>4569518.2495470066</v>
      </c>
      <c r="J119" s="73">
        <f t="shared" ref="J119:J126" si="1">I119/14</f>
        <v>326394.16068192903</v>
      </c>
      <c r="K119" s="74">
        <v>163171.48832599766</v>
      </c>
      <c r="L119" s="75">
        <v>32.857142857142854</v>
      </c>
      <c r="M119" s="75">
        <v>11.221513056019733</v>
      </c>
      <c r="N119" s="75">
        <v>4.5878681908245769</v>
      </c>
      <c r="O119" s="74">
        <v>975.13977739150903</v>
      </c>
      <c r="P119" s="75">
        <f>N119</f>
        <v>4.5878681908245769</v>
      </c>
      <c r="Q119" s="75">
        <f t="shared" ref="Q119:Q126" si="2">L119+M119+N119</f>
        <v>48.666524103987165</v>
      </c>
      <c r="R119" s="74">
        <f>O119</f>
        <v>975.13977739150903</v>
      </c>
      <c r="S119" s="73">
        <f>H119</f>
        <v>1070616.0969089533</v>
      </c>
      <c r="T119" s="73">
        <f t="shared" ref="T119:T126" si="3">J119*3</f>
        <v>979182.48204578715</v>
      </c>
      <c r="U119" s="73">
        <f t="shared" ref="U119:U126" si="4">T119+S119</f>
        <v>2049798.5789547404</v>
      </c>
      <c r="V119" s="71" t="str">
        <f>VLOOKUP(B119,NUTS_Europa!$B$2:$F$41,5,FALSE)</f>
        <v xml:space="preserve">Comunitat Valenciana </v>
      </c>
      <c r="W119" s="71" t="str">
        <f>VLOOKUP(C119,Puertos!$N$3:$O$27,2,FALSE)</f>
        <v>Barcelona</v>
      </c>
      <c r="X119" s="71" t="str">
        <f>VLOOKUP(D119,NUTS_Europa!$B$2:$F$41,5,FALSE)</f>
        <v>Región de Murcia</v>
      </c>
      <c r="Y119" s="71" t="str">
        <f>VLOOKUP(E119,Puertos!$N$3:$O$27,2,FALSE)</f>
        <v>Málaga</v>
      </c>
      <c r="Z119" s="71">
        <f t="shared" ref="Z119:Z126" si="5">Q119/24</f>
        <v>2.027771837666132</v>
      </c>
      <c r="AA119" s="71">
        <f t="shared" ref="AA119:AA126" si="6">(168/2)-Q119</f>
        <v>35.333475896012835</v>
      </c>
    </row>
    <row r="120" spans="2:27" s="71" customFormat="1" x14ac:dyDescent="0.25">
      <c r="B120" s="71" t="str">
        <f>VLOOKUP(G120,[1]NUTS_Europa!$A$2:$C$81,2,FALSE)</f>
        <v>ES62</v>
      </c>
      <c r="C120" s="71">
        <f>VLOOKUP(G120,[1]NUTS_Europa!$A$2:$C$81,3,FALSE)</f>
        <v>462</v>
      </c>
      <c r="D120" s="71" t="str">
        <f>VLOOKUP(F120,[1]NUTS_Europa!$A$2:$C$81,2,FALSE)</f>
        <v>ES51</v>
      </c>
      <c r="E120" s="71">
        <f>VLOOKUP(F120,[1]NUTS_Europa!$A$2:$C$81,3,FALSE)</f>
        <v>1064</v>
      </c>
      <c r="F120" s="71">
        <v>55</v>
      </c>
      <c r="G120" s="71">
        <v>58</v>
      </c>
      <c r="H120" s="73">
        <v>1052995.6815304749</v>
      </c>
      <c r="I120" s="73">
        <v>545206.23434717138</v>
      </c>
      <c r="J120" s="73">
        <f t="shared" si="1"/>
        <v>38943.302453369382</v>
      </c>
      <c r="K120" s="74">
        <v>114203.52260471623</v>
      </c>
      <c r="L120" s="75">
        <v>23.785714285714285</v>
      </c>
      <c r="M120" s="75">
        <v>9.6376164809258711</v>
      </c>
      <c r="N120" s="75">
        <v>4.5878681908245769</v>
      </c>
      <c r="O120" s="74">
        <v>975.13977739150903</v>
      </c>
      <c r="P120" s="75">
        <f>N120</f>
        <v>4.5878681908245769</v>
      </c>
      <c r="Q120" s="75">
        <f t="shared" si="2"/>
        <v>38.011198957464735</v>
      </c>
      <c r="R120" s="74">
        <f>O120</f>
        <v>975.13977739150903</v>
      </c>
      <c r="S120" s="73">
        <f>H120</f>
        <v>1052995.6815304749</v>
      </c>
      <c r="T120" s="73">
        <f t="shared" si="3"/>
        <v>116829.90736010815</v>
      </c>
      <c r="U120" s="73">
        <f t="shared" si="4"/>
        <v>1169825.588890583</v>
      </c>
      <c r="V120" s="71" t="str">
        <f>VLOOKUP(B120,NUTS_Europa!$B$2:$F$41,5,FALSE)</f>
        <v>Región de Murcia</v>
      </c>
      <c r="W120" s="71" t="str">
        <f>VLOOKUP(C120,Puertos!$N$3:$O$27,2,FALSE)</f>
        <v>Málaga</v>
      </c>
      <c r="X120" s="71" t="str">
        <f>VLOOKUP(D120,NUTS_Europa!$B$2:$F$41,5,FALSE)</f>
        <v>Cataluña</v>
      </c>
      <c r="Y120" s="71" t="str">
        <f>VLOOKUP(E120,Puertos!$N$3:$O$27,2,FALSE)</f>
        <v>Valencia</v>
      </c>
      <c r="Z120" s="71">
        <f t="shared" si="5"/>
        <v>1.5837999565610306</v>
      </c>
      <c r="AA120" s="71">
        <f t="shared" si="6"/>
        <v>45.988801042535265</v>
      </c>
    </row>
    <row r="121" spans="2:27" s="71" customFormat="1" x14ac:dyDescent="0.25">
      <c r="B121" s="71" t="str">
        <f>VLOOKUP(F121,[1]NUTS_Europa!$A$2:$C$81,2,FALSE)</f>
        <v>ES51</v>
      </c>
      <c r="C121" s="71">
        <f>VLOOKUP(F121,[1]NUTS_Europa!$A$2:$C$81,3,FALSE)</f>
        <v>1064</v>
      </c>
      <c r="D121" s="71" t="str">
        <f>VLOOKUP(G121,[1]NUTS_Europa!$A$2:$C$81,2,FALSE)</f>
        <v>FRH0</v>
      </c>
      <c r="E121" s="71">
        <f>VLOOKUP(G121,[1]NUTS_Europa!$A$2:$C$81,3,FALSE)</f>
        <v>282</v>
      </c>
      <c r="F121" s="71">
        <v>55</v>
      </c>
      <c r="G121" s="71">
        <v>63</v>
      </c>
      <c r="H121" s="73">
        <v>498235.41145325464</v>
      </c>
      <c r="I121" s="73">
        <v>1155459.4509477154</v>
      </c>
      <c r="J121" s="73">
        <f t="shared" si="1"/>
        <v>82532.817924836811</v>
      </c>
      <c r="K121" s="74">
        <v>127001.21695280854</v>
      </c>
      <c r="L121" s="75">
        <v>89.787071428571423</v>
      </c>
      <c r="M121" s="75">
        <v>14.119356651208065</v>
      </c>
      <c r="N121" s="75">
        <v>3.9140879229523233</v>
      </c>
      <c r="O121" s="74">
        <v>703.89534883720933</v>
      </c>
      <c r="P121" s="75">
        <f>N121</f>
        <v>3.9140879229523233</v>
      </c>
      <c r="Q121" s="75">
        <f t="shared" si="2"/>
        <v>107.82051600273181</v>
      </c>
      <c r="R121" s="74">
        <f>O121</f>
        <v>703.89534883720933</v>
      </c>
      <c r="S121" s="73">
        <f>H121</f>
        <v>498235.41145325464</v>
      </c>
      <c r="T121" s="73">
        <f t="shared" si="3"/>
        <v>247598.45377451042</v>
      </c>
      <c r="U121" s="73">
        <f t="shared" si="4"/>
        <v>745833.86522776505</v>
      </c>
      <c r="V121" s="71" t="str">
        <f>VLOOKUP(B121,NUTS_Europa!$B$2:$F$41,5,FALSE)</f>
        <v>Cataluña</v>
      </c>
      <c r="W121" s="71" t="str">
        <f>VLOOKUP(C121,Puertos!$N$3:$O$27,2,FALSE)</f>
        <v>Valencia</v>
      </c>
      <c r="X121" s="71" t="str">
        <f>VLOOKUP(D121,NUTS_Europa!$B$2:$F$41,5,FALSE)</f>
        <v>Bretagne</v>
      </c>
      <c r="Y121" s="71" t="str">
        <f>VLOOKUP(E121,Puertos!$N$3:$O$27,2,FALSE)</f>
        <v>Saint Nazaire</v>
      </c>
      <c r="Z121" s="71">
        <f t="shared" si="5"/>
        <v>4.492521500113825</v>
      </c>
      <c r="AA121" s="71">
        <f t="shared" si="6"/>
        <v>-23.820516002731807</v>
      </c>
    </row>
    <row r="122" spans="2:27" s="71" customFormat="1" x14ac:dyDescent="0.25">
      <c r="B122" s="71" t="str">
        <f>VLOOKUP(G122,[1]NUTS_Europa!$A$2:$C$81,2,FALSE)</f>
        <v>FRH0</v>
      </c>
      <c r="C122" s="71">
        <f>VLOOKUP(G122,[1]NUTS_Europa!$A$2:$C$81,3,FALSE)</f>
        <v>282</v>
      </c>
      <c r="D122" s="71" t="str">
        <f>VLOOKUP(F122,[1]NUTS_Europa!$A$2:$C$81,2,FALSE)</f>
        <v>FRI2</v>
      </c>
      <c r="E122" s="71">
        <f>VLOOKUP(F122,[1]NUTS_Europa!$A$2:$C$81,3,FALSE)</f>
        <v>269</v>
      </c>
      <c r="F122" s="71">
        <v>29</v>
      </c>
      <c r="G122" s="71">
        <v>63</v>
      </c>
      <c r="H122" s="73">
        <v>366653.90907184919</v>
      </c>
      <c r="I122" s="73">
        <v>733527.07336782699</v>
      </c>
      <c r="J122" s="73">
        <f t="shared" si="1"/>
        <v>52394.790954844786</v>
      </c>
      <c r="K122" s="74">
        <v>127001.21695280854</v>
      </c>
      <c r="L122" s="75">
        <v>28.428571428571427</v>
      </c>
      <c r="M122" s="75">
        <v>15.934198492122217</v>
      </c>
      <c r="N122" s="75">
        <v>4.5164669448092924</v>
      </c>
      <c r="O122" s="74">
        <v>703.89534883720933</v>
      </c>
      <c r="P122" s="75">
        <f>N122</f>
        <v>4.5164669448092924</v>
      </c>
      <c r="Q122" s="75">
        <f t="shared" si="2"/>
        <v>48.879236865502939</v>
      </c>
      <c r="R122" s="74">
        <f>O122</f>
        <v>703.89534883720933</v>
      </c>
      <c r="S122" s="73">
        <f>H122</f>
        <v>366653.90907184919</v>
      </c>
      <c r="T122" s="73">
        <f t="shared" si="3"/>
        <v>157184.37286453435</v>
      </c>
      <c r="U122" s="73">
        <f t="shared" si="4"/>
        <v>523838.28193638357</v>
      </c>
      <c r="V122" s="71" t="str">
        <f>VLOOKUP(B122,NUTS_Europa!$B$2:$F$41,5,FALSE)</f>
        <v>Bretagne</v>
      </c>
      <c r="W122" s="71" t="str">
        <f>VLOOKUP(C122,Puertos!$N$3:$O$27,2,FALSE)</f>
        <v>Saint Nazaire</v>
      </c>
      <c r="X122" s="71" t="str">
        <f>VLOOKUP(D122,NUTS_Europa!$B$2:$F$41,5,FALSE)</f>
        <v>Limousin</v>
      </c>
      <c r="Y122" s="71" t="str">
        <f>VLOOKUP(E122,Puertos!$N$3:$O$27,2,FALSE)</f>
        <v>Le Havre</v>
      </c>
      <c r="Z122" s="71">
        <f t="shared" si="5"/>
        <v>2.0366348693959559</v>
      </c>
      <c r="AA122" s="71">
        <f t="shared" si="6"/>
        <v>35.120763134497061</v>
      </c>
    </row>
    <row r="123" spans="2:27" s="71" customFormat="1" x14ac:dyDescent="0.25">
      <c r="B123" s="71" t="str">
        <f>VLOOKUP(F123,[1]NUTS_Europa!$A$2:$C$81,2,FALSE)</f>
        <v>FRI2</v>
      </c>
      <c r="C123" s="71">
        <f>VLOOKUP(F123,[1]NUTS_Europa!$A$2:$C$81,3,FALSE)</f>
        <v>269</v>
      </c>
      <c r="D123" s="71" t="str">
        <f>VLOOKUP(G123,[1]NUTS_Europa!$A$2:$C$81,2,FALSE)</f>
        <v>FRG0</v>
      </c>
      <c r="E123" s="71">
        <f>VLOOKUP(G123,[1]NUTS_Europa!$A$2:$C$81,3,FALSE)</f>
        <v>283</v>
      </c>
      <c r="F123" s="71">
        <v>29</v>
      </c>
      <c r="G123" s="71">
        <v>62</v>
      </c>
      <c r="H123" s="73">
        <v>1176758.0652086679</v>
      </c>
      <c r="I123" s="73">
        <v>701660.68044172216</v>
      </c>
      <c r="J123" s="73">
        <f t="shared" si="1"/>
        <v>50118.620031551582</v>
      </c>
      <c r="K123" s="74">
        <v>118487.95435333898</v>
      </c>
      <c r="L123" s="75">
        <v>33.071428571428569</v>
      </c>
      <c r="M123" s="75">
        <v>10.276457353774529</v>
      </c>
      <c r="N123" s="75">
        <v>11.226911756455761</v>
      </c>
      <c r="O123" s="74">
        <v>1954.024298469388</v>
      </c>
      <c r="P123" s="75">
        <f>N123*(R123/O123)</f>
        <v>8.9572864789985776</v>
      </c>
      <c r="Q123" s="75">
        <f t="shared" si="2"/>
        <v>54.574797681658865</v>
      </c>
      <c r="R123" s="74">
        <f>R92</f>
        <v>1559</v>
      </c>
      <c r="S123" s="73">
        <f>H123*(R123/O123)</f>
        <v>938865.40975839039</v>
      </c>
      <c r="T123" s="73">
        <f t="shared" si="3"/>
        <v>150355.86009465475</v>
      </c>
      <c r="U123" s="73">
        <f t="shared" si="4"/>
        <v>1089221.2698530452</v>
      </c>
      <c r="V123" s="71" t="str">
        <f>VLOOKUP(B123,NUTS_Europa!$B$2:$F$41,5,FALSE)</f>
        <v>Limousin</v>
      </c>
      <c r="W123" s="71" t="str">
        <f>VLOOKUP(C123,Puertos!$N$3:$O$27,2,FALSE)</f>
        <v>Le Havre</v>
      </c>
      <c r="X123" s="71" t="str">
        <f>VLOOKUP(D123,NUTS_Europa!$B$2:$F$41,5,FALSE)</f>
        <v>Pays de la Loire</v>
      </c>
      <c r="Y123" s="71" t="str">
        <f>VLOOKUP(E123,Puertos!$N$3:$O$27,2,FALSE)</f>
        <v>La Rochelle</v>
      </c>
      <c r="Z123" s="71">
        <f t="shared" si="5"/>
        <v>2.2739499034024528</v>
      </c>
      <c r="AA123" s="71">
        <f t="shared" si="6"/>
        <v>29.425202318341135</v>
      </c>
    </row>
    <row r="124" spans="2:27" s="71" customFormat="1" x14ac:dyDescent="0.25">
      <c r="B124" s="71" t="str">
        <f>VLOOKUP(G124,[1]NUTS_Europa!$A$2:$C$81,2,FALSE)</f>
        <v>FRG0</v>
      </c>
      <c r="C124" s="71">
        <f>VLOOKUP(G124,[1]NUTS_Europa!$A$2:$C$81,3,FALSE)</f>
        <v>283</v>
      </c>
      <c r="D124" s="71" t="str">
        <f>VLOOKUP(F124,[1]NUTS_Europa!$A$2:$C$81,2,FALSE)</f>
        <v>FRF2</v>
      </c>
      <c r="E124" s="71">
        <f>VLOOKUP(F124,[1]NUTS_Europa!$A$2:$C$81,3,FALSE)</f>
        <v>269</v>
      </c>
      <c r="F124" s="71">
        <v>27</v>
      </c>
      <c r="G124" s="71">
        <v>62</v>
      </c>
      <c r="H124" s="73">
        <v>1166495.5295931066</v>
      </c>
      <c r="I124" s="73">
        <v>701660.68044172216</v>
      </c>
      <c r="J124" s="73">
        <f t="shared" si="1"/>
        <v>50118.620031551582</v>
      </c>
      <c r="K124" s="74">
        <v>141512.315270936</v>
      </c>
      <c r="L124" s="75">
        <v>33.071428571428569</v>
      </c>
      <c r="M124" s="75">
        <v>10.276457353774529</v>
      </c>
      <c r="N124" s="75">
        <v>11.226911756455761</v>
      </c>
      <c r="O124" s="74">
        <v>1954.024298469388</v>
      </c>
      <c r="P124" s="75">
        <f>N124*(R124/O124)</f>
        <v>5.3490728263084535E-2</v>
      </c>
      <c r="Q124" s="75">
        <f t="shared" si="2"/>
        <v>54.574797681658865</v>
      </c>
      <c r="R124" s="74">
        <f>R93</f>
        <v>9.309967427933822</v>
      </c>
      <c r="S124" s="73">
        <f>H124*(R124/O124)</f>
        <v>5557.7790889545431</v>
      </c>
      <c r="T124" s="73">
        <f t="shared" si="3"/>
        <v>150355.86009465475</v>
      </c>
      <c r="U124" s="73">
        <f t="shared" si="4"/>
        <v>155913.63918360928</v>
      </c>
      <c r="V124" s="71" t="str">
        <f>VLOOKUP(B124,NUTS_Europa!$B$2:$F$41,5,FALSE)</f>
        <v>Pays de la Loire</v>
      </c>
      <c r="W124" s="71" t="str">
        <f>VLOOKUP(C124,Puertos!$N$3:$O$27,2,FALSE)</f>
        <v>La Rochelle</v>
      </c>
      <c r="X124" s="71" t="str">
        <f>VLOOKUP(D124,NUTS_Europa!$B$2:$F$41,5,FALSE)</f>
        <v>Champagne-Ardenne</v>
      </c>
      <c r="Y124" s="71" t="str">
        <f>VLOOKUP(E124,Puertos!$N$3:$O$27,2,FALSE)</f>
        <v>Le Havre</v>
      </c>
      <c r="Z124" s="71">
        <f t="shared" si="5"/>
        <v>2.2739499034024528</v>
      </c>
      <c r="AA124" s="71">
        <f t="shared" si="6"/>
        <v>29.425202318341135</v>
      </c>
    </row>
    <row r="125" spans="2:27" s="71" customFormat="1" x14ac:dyDescent="0.25">
      <c r="B125" s="71" t="str">
        <f>VLOOKUP(F125,[1]NUTS_Europa!$A$2:$C$81,2,FALSE)</f>
        <v>FRF2</v>
      </c>
      <c r="C125" s="71">
        <f>VLOOKUP(F125,[1]NUTS_Europa!$A$2:$C$81,3,FALSE)</f>
        <v>269</v>
      </c>
      <c r="D125" s="71" t="str">
        <f>VLOOKUP(G125,[1]NUTS_Europa!$A$2:$C$81,2,FALSE)</f>
        <v>FRJ2</v>
      </c>
      <c r="E125" s="71">
        <f>VLOOKUP(G125,[1]NUTS_Europa!$A$2:$C$81,3,FALSE)</f>
        <v>283</v>
      </c>
      <c r="F125" s="71">
        <v>27</v>
      </c>
      <c r="G125" s="71">
        <v>28</v>
      </c>
      <c r="H125" s="73">
        <v>1623178.3644855812</v>
      </c>
      <c r="I125" s="73">
        <v>701660.68044172216</v>
      </c>
      <c r="J125" s="73">
        <f t="shared" si="1"/>
        <v>50118.620031551582</v>
      </c>
      <c r="K125" s="74">
        <v>176841.96373917855</v>
      </c>
      <c r="L125" s="75">
        <v>33.071428571428569</v>
      </c>
      <c r="M125" s="75">
        <v>10.276457353774529</v>
      </c>
      <c r="N125" s="75">
        <v>11.226911756455761</v>
      </c>
      <c r="O125" s="74">
        <v>1954.024298469388</v>
      </c>
      <c r="P125" s="75">
        <f>N125*(R125/O125)</f>
        <v>0</v>
      </c>
      <c r="Q125" s="75">
        <f t="shared" si="2"/>
        <v>54.574797681658865</v>
      </c>
      <c r="R125" s="74">
        <f>R94</f>
        <v>0</v>
      </c>
      <c r="S125" s="73">
        <f>H125*(R125/O125)</f>
        <v>0</v>
      </c>
      <c r="T125" s="73">
        <f t="shared" si="3"/>
        <v>150355.86009465475</v>
      </c>
      <c r="U125" s="73">
        <f t="shared" si="4"/>
        <v>150355.86009465475</v>
      </c>
      <c r="V125" s="71" t="str">
        <f>VLOOKUP(B125,NUTS_Europa!$B$2:$F$41,5,FALSE)</f>
        <v>Champagne-Ardenne</v>
      </c>
      <c r="W125" s="71" t="str">
        <f>VLOOKUP(C125,Puertos!$N$3:$O$27,2,FALSE)</f>
        <v>Le Havre</v>
      </c>
      <c r="X125" s="71" t="str">
        <f>VLOOKUP(D125,NUTS_Europa!$B$2:$F$41,5,FALSE)</f>
        <v>Midi-Pyrénées</v>
      </c>
      <c r="Y125" s="71" t="str">
        <f>VLOOKUP(E125,Puertos!$N$3:$O$27,2,FALSE)</f>
        <v>La Rochelle</v>
      </c>
      <c r="Z125" s="71">
        <f t="shared" si="5"/>
        <v>2.2739499034024528</v>
      </c>
      <c r="AA125" s="71">
        <f t="shared" si="6"/>
        <v>29.425202318341135</v>
      </c>
    </row>
    <row r="126" spans="2:27" s="71" customFormat="1" x14ac:dyDescent="0.25">
      <c r="B126" s="71" t="str">
        <f>VLOOKUP(G126,[1]NUTS_Europa!$A$2:$C$81,2,FALSE)</f>
        <v>FRJ2</v>
      </c>
      <c r="C126" s="71">
        <f>VLOOKUP(G126,[1]NUTS_Europa!$A$2:$C$81,3,FALSE)</f>
        <v>283</v>
      </c>
      <c r="D126" s="71" t="str">
        <f>VLOOKUP(F126,[1]NUTS_Europa!$A$2:$C$81,2,FALSE)</f>
        <v>FRJ1</v>
      </c>
      <c r="E126" s="71">
        <f>VLOOKUP(F126,[1]NUTS_Europa!$A$2:$C$81,3,FALSE)</f>
        <v>1063</v>
      </c>
      <c r="F126" s="71">
        <v>26</v>
      </c>
      <c r="G126" s="71">
        <v>28</v>
      </c>
      <c r="H126" s="73">
        <v>1994146.9191059193</v>
      </c>
      <c r="I126" s="73">
        <v>5199815.5421438655</v>
      </c>
      <c r="J126" s="73">
        <f t="shared" si="1"/>
        <v>371415.39586741896</v>
      </c>
      <c r="K126" s="74">
        <v>142841.86171918266</v>
      </c>
      <c r="L126" s="75">
        <v>110.26692857142858</v>
      </c>
      <c r="M126" s="75">
        <v>10.04551208795424</v>
      </c>
      <c r="N126" s="75">
        <v>9.5546983407240393</v>
      </c>
      <c r="O126" s="74">
        <v>1954.024298469388</v>
      </c>
      <c r="P126" s="75">
        <f>N126*(R126/O126)</f>
        <v>7.6231266544928973</v>
      </c>
      <c r="Q126" s="75">
        <f t="shared" si="2"/>
        <v>129.86713900010685</v>
      </c>
      <c r="R126" s="74">
        <f>R123</f>
        <v>1559</v>
      </c>
      <c r="S126" s="73">
        <f>H126*(R126/O126)</f>
        <v>1591011.4573914711</v>
      </c>
      <c r="T126" s="73">
        <f t="shared" si="3"/>
        <v>1114246.1876022569</v>
      </c>
      <c r="U126" s="73">
        <f t="shared" si="4"/>
        <v>2705257.644993728</v>
      </c>
      <c r="V126" s="71" t="str">
        <f>VLOOKUP(B126,NUTS_Europa!$B$2:$F$41,5,FALSE)</f>
        <v>Midi-Pyrénées</v>
      </c>
      <c r="W126" s="71" t="str">
        <f>VLOOKUP(C126,Puertos!$N$3:$O$27,2,FALSE)</f>
        <v>La Rochelle</v>
      </c>
      <c r="X126" s="71" t="str">
        <f>VLOOKUP(D126,NUTS_Europa!$B$2:$F$41,5,FALSE)</f>
        <v>Languedoc-Roussillon</v>
      </c>
      <c r="Y126" s="71" t="str">
        <f>VLOOKUP(E126,Puertos!$N$3:$O$27,2,FALSE)</f>
        <v>Barcelona</v>
      </c>
      <c r="Z126" s="71">
        <f t="shared" si="5"/>
        <v>5.4111307916711189</v>
      </c>
      <c r="AA126" s="71">
        <f t="shared" si="6"/>
        <v>-45.867139000106846</v>
      </c>
    </row>
    <row r="127" spans="2:27" s="71" customFormat="1" x14ac:dyDescent="0.25">
      <c r="B127" s="71" t="str">
        <f>VLOOKUP(F127,[1]NUTS_Europa!$A$2:$C$81,2,FALSE)</f>
        <v>FRJ1</v>
      </c>
      <c r="C127" s="71">
        <f>VLOOKUP(F127,[1]NUTS_Europa!$A$2:$C$81,3,FALSE)</f>
        <v>1063</v>
      </c>
      <c r="D127" s="71" t="str">
        <f>VLOOKUP(G127,[1]NUTS_Europa!$A$2:$C$81,2,FALSE)</f>
        <v>PT17</v>
      </c>
      <c r="E127" s="71">
        <f>VLOOKUP(G127,[1]NUTS_Europa!$A$2:$C$81,3,FALSE)</f>
        <v>294</v>
      </c>
      <c r="F127" s="71">
        <v>26</v>
      </c>
      <c r="G127" s="71">
        <v>39</v>
      </c>
      <c r="H127" s="71">
        <v>1491107.6623920791</v>
      </c>
      <c r="I127" s="71">
        <v>4758760.8863474885</v>
      </c>
      <c r="K127" s="71">
        <v>137713.62258431225</v>
      </c>
      <c r="L127" s="71">
        <v>58.142857142857146</v>
      </c>
      <c r="M127" s="71">
        <v>8.4442918020311133</v>
      </c>
      <c r="N127" s="71">
        <v>13.292401336695443</v>
      </c>
      <c r="O127" s="71">
        <v>2825.2662764782135</v>
      </c>
      <c r="Q127" s="75">
        <f>Q119+Q120+Q121+Q122+Q123+Q126</f>
        <v>427.81941261145232</v>
      </c>
    </row>
    <row r="128" spans="2:27" s="71" customFormat="1" x14ac:dyDescent="0.25">
      <c r="B128" s="71" t="str">
        <f>VLOOKUP(G128,[1]NUTS_Europa!$A$2:$C$81,2,FALSE)</f>
        <v>PT17</v>
      </c>
      <c r="C128" s="71">
        <f>VLOOKUP(G128,[1]NUTS_Europa!$A$2:$C$81,3,FALSE)</f>
        <v>294</v>
      </c>
      <c r="D128" s="71" t="str">
        <f>VLOOKUP(F128,[1]NUTS_Europa!$A$2:$C$81,2,FALSE)</f>
        <v>ES62</v>
      </c>
      <c r="E128" s="71">
        <f>VLOOKUP(F128,[1]NUTS_Europa!$A$2:$C$81,3,FALSE)</f>
        <v>1064</v>
      </c>
      <c r="F128" s="71">
        <v>18</v>
      </c>
      <c r="G128" s="71">
        <v>39</v>
      </c>
      <c r="H128" s="71">
        <v>1124742.302171458</v>
      </c>
      <c r="I128" s="71">
        <v>703130.25048976485</v>
      </c>
      <c r="K128" s="71">
        <v>191087.21980936834</v>
      </c>
      <c r="L128" s="71">
        <v>44.237857142857145</v>
      </c>
      <c r="M128" s="71">
        <v>6.8603952269372517</v>
      </c>
      <c r="N128" s="71">
        <v>13.292401336695443</v>
      </c>
      <c r="O128" s="71">
        <v>2825.2662764782135</v>
      </c>
      <c r="Q128" s="71">
        <f>Q127/24</f>
        <v>17.825808858810515</v>
      </c>
    </row>
    <row r="129" spans="2:27" s="71" customFormat="1" x14ac:dyDescent="0.25">
      <c r="B129" s="71" t="str">
        <f>VLOOKUP(F129,[1]NUTS_Europa!$A$2:$C$81,2,FALSE)</f>
        <v>ES62</v>
      </c>
      <c r="C129" s="71">
        <f>VLOOKUP(F129,[1]NUTS_Europa!$A$2:$C$81,3,FALSE)</f>
        <v>1064</v>
      </c>
      <c r="D129" s="71" t="str">
        <f>VLOOKUP(G129,[1]NUTS_Europa!$A$2:$C$81,2,FALSE)</f>
        <v>FRG0</v>
      </c>
      <c r="E129" s="71">
        <f>VLOOKUP(G129,[1]NUTS_Europa!$A$2:$C$81,3,FALSE)</f>
        <v>282</v>
      </c>
      <c r="F129" s="71">
        <v>18</v>
      </c>
      <c r="G129" s="71">
        <v>22</v>
      </c>
      <c r="H129" s="71">
        <v>442782.53587185929</v>
      </c>
      <c r="I129" s="71">
        <v>1155459.4509477154</v>
      </c>
      <c r="K129" s="71">
        <v>135416.16142478216</v>
      </c>
      <c r="L129" s="71">
        <v>89.787071428571423</v>
      </c>
      <c r="M129" s="71">
        <v>14.119356651208065</v>
      </c>
      <c r="N129" s="71">
        <v>3.9140879229523233</v>
      </c>
      <c r="O129" s="71">
        <v>703.89534883720933</v>
      </c>
      <c r="Q129" s="71">
        <f>Q128/7</f>
        <v>2.5465441226872163</v>
      </c>
    </row>
    <row r="130" spans="2:27" s="71" customFormat="1" x14ac:dyDescent="0.25">
      <c r="B130" s="71" t="str">
        <f>VLOOKUP(G130,[1]NUTS_Europa!$A$2:$C$81,2,FALSE)</f>
        <v>FRG0</v>
      </c>
      <c r="C130" s="71">
        <f>VLOOKUP(G130,[1]NUTS_Europa!$A$2:$C$81,3,FALSE)</f>
        <v>282</v>
      </c>
      <c r="D130" s="71" t="str">
        <f>VLOOKUP(F130,[1]NUTS_Europa!$A$2:$C$81,2,FALSE)</f>
        <v>ES61</v>
      </c>
      <c r="E130" s="71">
        <f>VLOOKUP(F130,[1]NUTS_Europa!$A$2:$C$81,3,FALSE)</f>
        <v>61</v>
      </c>
      <c r="F130" s="71">
        <v>17</v>
      </c>
      <c r="G130" s="71">
        <v>22</v>
      </c>
      <c r="H130" s="71">
        <v>461853.19441267959</v>
      </c>
      <c r="I130" s="71">
        <v>1015498.5032520832</v>
      </c>
      <c r="K130" s="71">
        <v>115262.59218235347</v>
      </c>
      <c r="L130" s="71">
        <v>75.131142857142862</v>
      </c>
      <c r="M130" s="71">
        <v>14.748525605526405</v>
      </c>
      <c r="N130" s="71">
        <v>3.6849897794260169</v>
      </c>
      <c r="O130" s="71">
        <v>703.89534883720933</v>
      </c>
    </row>
    <row r="131" spans="2:27" s="71" customFormat="1" x14ac:dyDescent="0.25">
      <c r="B131" s="71" t="str">
        <f>VLOOKUP(F131,[1]NUTS_Europa!$A$2:$C$81,2,FALSE)</f>
        <v>ES61</v>
      </c>
      <c r="C131" s="71">
        <f>VLOOKUP(F131,[1]NUTS_Europa!$A$2:$C$81,3,FALSE)</f>
        <v>61</v>
      </c>
      <c r="D131" s="71" t="str">
        <f>VLOOKUP(G131,[1]NUTS_Europa!$A$2:$C$81,2,FALSE)</f>
        <v>FRH0</v>
      </c>
      <c r="E131" s="71">
        <f>VLOOKUP(G131,[1]NUTS_Europa!$A$2:$C$81,3,FALSE)</f>
        <v>283</v>
      </c>
      <c r="F131" s="71">
        <v>17</v>
      </c>
      <c r="G131" s="71">
        <v>23</v>
      </c>
      <c r="H131" s="71">
        <v>1444170.8012856515</v>
      </c>
      <c r="I131" s="71">
        <v>928160.7660955505</v>
      </c>
      <c r="K131" s="71">
        <v>191087.21980936834</v>
      </c>
      <c r="L131" s="71">
        <v>73.28</v>
      </c>
      <c r="M131" s="71">
        <v>9.0907844671787181</v>
      </c>
      <c r="N131" s="71">
        <v>8.9187183759123076</v>
      </c>
      <c r="O131" s="71">
        <v>1954.024298469388</v>
      </c>
    </row>
    <row r="132" spans="2:27" s="71" customFormat="1" x14ac:dyDescent="0.25">
      <c r="B132" s="71" t="str">
        <f>VLOOKUP(G132,[1]NUTS_Europa!$A$2:$C$81,2,FALSE)</f>
        <v>FRH0</v>
      </c>
      <c r="C132" s="71">
        <f>VLOOKUP(G132,[1]NUTS_Europa!$A$2:$C$81,3,FALSE)</f>
        <v>283</v>
      </c>
      <c r="D132" s="71" t="str">
        <f>VLOOKUP(F132,[1]NUTS_Europa!$A$2:$C$81,2,FALSE)</f>
        <v>FRD2</v>
      </c>
      <c r="E132" s="71">
        <f>VLOOKUP(F132,[1]NUTS_Europa!$A$2:$C$81,3,FALSE)</f>
        <v>269</v>
      </c>
      <c r="F132" s="71">
        <v>20</v>
      </c>
      <c r="G132" s="71">
        <v>23</v>
      </c>
      <c r="H132" s="71">
        <v>940206.6192699814</v>
      </c>
      <c r="I132" s="71">
        <v>701660.68044172216</v>
      </c>
      <c r="K132" s="71">
        <v>159445.52860932166</v>
      </c>
      <c r="L132" s="71">
        <v>33.071428571428569</v>
      </c>
      <c r="M132" s="71">
        <v>10.276457353774529</v>
      </c>
      <c r="N132" s="71">
        <v>11.226911756455761</v>
      </c>
      <c r="O132" s="71">
        <v>1954.024298469388</v>
      </c>
    </row>
    <row r="133" spans="2:27" s="71" customFormat="1" x14ac:dyDescent="0.25">
      <c r="B133" s="71" t="str">
        <f>VLOOKUP(F133,[1]NUTS_Europa!$A$2:$C$81,2,FALSE)</f>
        <v>FRD2</v>
      </c>
      <c r="C133" s="71">
        <f>VLOOKUP(F133,[1]NUTS_Europa!$A$2:$C$81,3,FALSE)</f>
        <v>269</v>
      </c>
      <c r="D133" s="71" t="str">
        <f>VLOOKUP(G133,[1]NUTS_Europa!$A$2:$C$81,2,FALSE)</f>
        <v>FRI3</v>
      </c>
      <c r="E133" s="71">
        <f>VLOOKUP(G133,[1]NUTS_Europa!$A$2:$C$81,3,FALSE)</f>
        <v>283</v>
      </c>
      <c r="F133" s="71">
        <v>20</v>
      </c>
      <c r="G133" s="71">
        <v>25</v>
      </c>
      <c r="H133" s="71">
        <v>466847.16400221997</v>
      </c>
      <c r="I133" s="71">
        <v>701660.68044172216</v>
      </c>
      <c r="K133" s="71">
        <v>141512.315270936</v>
      </c>
      <c r="L133" s="71">
        <v>33.071428571428569</v>
      </c>
      <c r="M133" s="71">
        <v>10.276457353774529</v>
      </c>
      <c r="N133" s="71">
        <v>11.226911756455761</v>
      </c>
      <c r="O133" s="71">
        <v>1954.024298469388</v>
      </c>
    </row>
    <row r="134" spans="2:27" s="71" customFormat="1" x14ac:dyDescent="0.25">
      <c r="B134" s="71" t="str">
        <f>VLOOKUP(G134,[1]NUTS_Europa!$A$2:$C$81,2,FALSE)</f>
        <v>FRI3</v>
      </c>
      <c r="C134" s="71">
        <f>VLOOKUP(G134,[1]NUTS_Europa!$A$2:$C$81,3,FALSE)</f>
        <v>283</v>
      </c>
      <c r="D134" s="71" t="str">
        <f>VLOOKUP(F134,[1]NUTS_Europa!$A$2:$C$81,2,FALSE)</f>
        <v>FRE1</v>
      </c>
      <c r="E134" s="71">
        <f>VLOOKUP(F134,[1]NUTS_Europa!$A$2:$C$81,3,FALSE)</f>
        <v>220</v>
      </c>
      <c r="F134" s="71">
        <v>21</v>
      </c>
      <c r="G134" s="71">
        <v>25</v>
      </c>
      <c r="H134" s="71">
        <v>582178.52886967442</v>
      </c>
      <c r="I134" s="71">
        <v>666971.86494409561</v>
      </c>
      <c r="K134" s="71">
        <v>117061.71481038857</v>
      </c>
      <c r="L134" s="71">
        <v>42.999285714285712</v>
      </c>
      <c r="M134" s="71">
        <v>7.9760616637430992</v>
      </c>
      <c r="N134" s="71">
        <v>10.120160547630702</v>
      </c>
      <c r="O134" s="71">
        <v>1954.024298469388</v>
      </c>
    </row>
    <row r="135" spans="2:27" s="71" customFormat="1" x14ac:dyDescent="0.25">
      <c r="B135" s="71" t="str">
        <f>VLOOKUP(F135,[1]NUTS_Europa!$A$2:$C$81,2,FALSE)</f>
        <v>FRE1</v>
      </c>
      <c r="C135" s="71">
        <f>VLOOKUP(F135,[1]NUTS_Europa!$A$2:$C$81,3,FALSE)</f>
        <v>220</v>
      </c>
      <c r="D135" s="71" t="str">
        <f>VLOOKUP(G135,[1]NUTS_Europa!$A$2:$C$81,2,FALSE)</f>
        <v>FRI1</v>
      </c>
      <c r="E135" s="71">
        <f>VLOOKUP(G135,[1]NUTS_Europa!$A$2:$C$81,3,FALSE)</f>
        <v>283</v>
      </c>
      <c r="F135" s="71">
        <v>21</v>
      </c>
      <c r="G135" s="71">
        <v>24</v>
      </c>
      <c r="H135" s="71">
        <v>891337.41428845644</v>
      </c>
      <c r="I135" s="71">
        <v>666971.86494409561</v>
      </c>
      <c r="K135" s="71">
        <v>123840.01515725654</v>
      </c>
      <c r="L135" s="71">
        <v>42.999285714285712</v>
      </c>
      <c r="M135" s="71">
        <v>7.9760616637430992</v>
      </c>
      <c r="N135" s="71">
        <v>10.120160547630702</v>
      </c>
      <c r="O135" s="71">
        <v>1954.024298469388</v>
      </c>
    </row>
    <row r="136" spans="2:27" s="71" customFormat="1" x14ac:dyDescent="0.25">
      <c r="B136" s="71" t="str">
        <f>VLOOKUP(G136,[1]NUTS_Europa!$A$2:$C$81,2,FALSE)</f>
        <v>FRI1</v>
      </c>
      <c r="C136" s="71">
        <f>VLOOKUP(G136,[1]NUTS_Europa!$A$2:$C$81,3,FALSE)</f>
        <v>283</v>
      </c>
      <c r="D136" s="71" t="str">
        <f>VLOOKUP(F136,[1]NUTS_Europa!$A$2:$C$81,2,FALSE)</f>
        <v>DEA1</v>
      </c>
      <c r="E136" s="71">
        <f>VLOOKUP(F136,[1]NUTS_Europa!$A$2:$C$81,3,FALSE)</f>
        <v>253</v>
      </c>
      <c r="F136" s="71">
        <v>9</v>
      </c>
      <c r="G136" s="71">
        <v>24</v>
      </c>
      <c r="H136" s="71">
        <v>1225137.9921742163</v>
      </c>
      <c r="I136" s="71">
        <v>810279.32801855914</v>
      </c>
      <c r="K136" s="71">
        <v>118487.95435333898</v>
      </c>
      <c r="L136" s="71">
        <v>49.328571428571429</v>
      </c>
      <c r="M136" s="71">
        <v>12.9883424736196</v>
      </c>
      <c r="N136" s="71">
        <v>11.226911756455761</v>
      </c>
      <c r="O136" s="71">
        <v>1954.024298469388</v>
      </c>
    </row>
    <row r="137" spans="2:27" s="71" customFormat="1" x14ac:dyDescent="0.25">
      <c r="B137" s="71" t="str">
        <f>VLOOKUP(F137,[1]NUTS_Europa!$A$2:$C$81,2,FALSE)</f>
        <v>DEA1</v>
      </c>
      <c r="C137" s="71">
        <f>VLOOKUP(F137,[1]NUTS_Europa!$A$2:$C$81,3,FALSE)</f>
        <v>253</v>
      </c>
      <c r="D137" s="71" t="str">
        <f>VLOOKUP(G137,[1]NUTS_Europa!$A$2:$C$81,2,FALSE)</f>
        <v>ES11</v>
      </c>
      <c r="E137" s="71">
        <f>VLOOKUP(G137,[1]NUTS_Europa!$A$2:$C$81,3,FALSE)</f>
        <v>288</v>
      </c>
      <c r="F137" s="71">
        <v>9</v>
      </c>
      <c r="G137" s="71">
        <v>11</v>
      </c>
      <c r="H137" s="71">
        <v>538562.41891311097</v>
      </c>
      <c r="I137" s="71">
        <v>1047478.5285216311</v>
      </c>
      <c r="K137" s="71">
        <v>142392.8717171422</v>
      </c>
      <c r="L137" s="71">
        <v>63.36785714285714</v>
      </c>
      <c r="M137" s="71">
        <v>15.409438597092191</v>
      </c>
      <c r="N137" s="71">
        <v>5.3408668195839333</v>
      </c>
      <c r="O137" s="71">
        <v>960.4820809003329</v>
      </c>
    </row>
    <row r="138" spans="2:27" s="71" customFormat="1" x14ac:dyDescent="0.25">
      <c r="B138" s="71" t="str">
        <f>VLOOKUP(G138,[1]NUTS_Europa!$A$2:$C$81,2,FALSE)</f>
        <v>ES11</v>
      </c>
      <c r="C138" s="71">
        <f>VLOOKUP(G138,[1]NUTS_Europa!$A$2:$C$81,3,FALSE)</f>
        <v>288</v>
      </c>
      <c r="D138" s="71" t="str">
        <f>VLOOKUP(F138,[1]NUTS_Europa!$A$2:$C$81,2,FALSE)</f>
        <v>DE80</v>
      </c>
      <c r="E138" s="71">
        <f>VLOOKUP(F138,[1]NUTS_Europa!$A$2:$C$81,3,FALSE)</f>
        <v>1069</v>
      </c>
      <c r="F138" s="71">
        <v>6</v>
      </c>
      <c r="G138" s="71">
        <v>11</v>
      </c>
      <c r="H138" s="71">
        <v>517213.26083615399</v>
      </c>
      <c r="I138" s="71">
        <v>1144592.6592526953</v>
      </c>
      <c r="K138" s="71">
        <v>142841.86171918266</v>
      </c>
      <c r="L138" s="71">
        <v>82.767857142857139</v>
      </c>
      <c r="M138" s="71">
        <v>10.687691880457653</v>
      </c>
      <c r="N138" s="71">
        <v>4.5189062009214327</v>
      </c>
      <c r="O138" s="71">
        <v>960.4820809003329</v>
      </c>
    </row>
    <row r="139" spans="2:27" s="71" customFormat="1" x14ac:dyDescent="0.25">
      <c r="B139" s="71" t="str">
        <f>VLOOKUP(F139,[1]NUTS_Europa!$A$2:$C$81,2,FALSE)</f>
        <v>DE80</v>
      </c>
      <c r="C139" s="71">
        <f>VLOOKUP(F139,[1]NUTS_Europa!$A$2:$C$81,3,FALSE)</f>
        <v>1069</v>
      </c>
      <c r="D139" s="71" t="str">
        <f>VLOOKUP(G139,[1]NUTS_Europa!$A$2:$C$81,2,FALSE)</f>
        <v>ES21</v>
      </c>
      <c r="E139" s="71">
        <f>VLOOKUP(G139,[1]NUTS_Europa!$A$2:$C$81,3,FALSE)</f>
        <v>163</v>
      </c>
      <c r="F139" s="71">
        <v>6</v>
      </c>
      <c r="G139" s="71">
        <v>14</v>
      </c>
      <c r="H139" s="71">
        <v>1465991.5970483928</v>
      </c>
      <c r="I139" s="71">
        <v>1021019.4141458258</v>
      </c>
      <c r="K139" s="71">
        <v>154854.30087154222</v>
      </c>
      <c r="L139" s="71">
        <v>74.86071428571428</v>
      </c>
      <c r="M139" s="71">
        <v>9.2295965831767113</v>
      </c>
      <c r="N139" s="71">
        <v>17.154708446701989</v>
      </c>
      <c r="O139" s="71">
        <v>3085.040429338103</v>
      </c>
    </row>
    <row r="140" spans="2:27" s="71" customFormat="1" x14ac:dyDescent="0.25">
      <c r="B140" s="71" t="str">
        <f>VLOOKUP(G140,[1]NUTS_Europa!$A$2:$C$81,2,FALSE)</f>
        <v>ES21</v>
      </c>
      <c r="C140" s="71">
        <f>VLOOKUP(G140,[1]NUTS_Europa!$A$2:$C$81,3,FALSE)</f>
        <v>163</v>
      </c>
      <c r="D140" s="71" t="str">
        <f>VLOOKUP(F140,[1]NUTS_Europa!$A$2:$C$81,2,FALSE)</f>
        <v>DEF0</v>
      </c>
      <c r="E140" s="71">
        <f>VLOOKUP(F140,[1]NUTS_Europa!$A$2:$C$81,3,FALSE)</f>
        <v>1069</v>
      </c>
      <c r="F140" s="71">
        <v>10</v>
      </c>
      <c r="G140" s="71">
        <v>14</v>
      </c>
      <c r="H140" s="71">
        <v>898494.39951909042</v>
      </c>
      <c r="I140" s="71">
        <v>1021019.4141458258</v>
      </c>
      <c r="K140" s="71">
        <v>199058.85825050285</v>
      </c>
      <c r="L140" s="71">
        <v>74.86071428571428</v>
      </c>
      <c r="M140" s="71">
        <v>9.2295965831767113</v>
      </c>
      <c r="N140" s="71">
        <v>17.154708446701989</v>
      </c>
      <c r="O140" s="71">
        <v>3085.040429338103</v>
      </c>
    </row>
    <row r="141" spans="2:27" s="71" customFormat="1" x14ac:dyDescent="0.25">
      <c r="B141" s="71" t="str">
        <f>VLOOKUP(F141,[1]NUTS_Europa!$A$2:$C$81,2,FALSE)</f>
        <v>DEF0</v>
      </c>
      <c r="C141" s="71">
        <f>VLOOKUP(F141,[1]NUTS_Europa!$A$2:$C$81,3,FALSE)</f>
        <v>1069</v>
      </c>
      <c r="D141" s="71" t="str">
        <f>VLOOKUP(G141,[1]NUTS_Europa!$A$2:$C$81,2,FALSE)</f>
        <v>ES13</v>
      </c>
      <c r="E141" s="71">
        <f>VLOOKUP(G141,[1]NUTS_Europa!$A$2:$C$81,3,FALSE)</f>
        <v>163</v>
      </c>
      <c r="F141" s="71">
        <v>10</v>
      </c>
      <c r="G141" s="71">
        <v>13</v>
      </c>
      <c r="H141" s="71">
        <v>1079963.8816697879</v>
      </c>
      <c r="I141" s="71">
        <v>1021019.4141458258</v>
      </c>
      <c r="K141" s="71">
        <v>163171.48832599766</v>
      </c>
      <c r="L141" s="71">
        <v>74.86071428571428</v>
      </c>
      <c r="M141" s="71">
        <v>9.2295965831767113</v>
      </c>
      <c r="N141" s="71">
        <v>17.154708446701989</v>
      </c>
      <c r="O141" s="71">
        <v>3085.040429338103</v>
      </c>
    </row>
    <row r="142" spans="2:27" s="71" customFormat="1" x14ac:dyDescent="0.25">
      <c r="B142" s="71" t="str">
        <f>VLOOKUP(G142,[1]NUTS_Europa!$A$2:$C$81,2,FALSE)</f>
        <v>ES13</v>
      </c>
      <c r="C142" s="71">
        <f>VLOOKUP(G142,[1]NUTS_Europa!$A$2:$C$81,3,FALSE)</f>
        <v>163</v>
      </c>
      <c r="D142" s="71" t="str">
        <f>VLOOKUP(F142,[1]NUTS_Europa!$A$2:$C$81,2,FALSE)</f>
        <v>BE23</v>
      </c>
      <c r="E142" s="71">
        <f>VLOOKUP(F142,[1]NUTS_Europa!$A$2:$C$81,3,FALSE)</f>
        <v>253</v>
      </c>
      <c r="F142" s="71">
        <v>2</v>
      </c>
      <c r="G142" s="71">
        <v>13</v>
      </c>
      <c r="H142" s="71">
        <v>949031.24189557706</v>
      </c>
      <c r="I142" s="71">
        <v>908278.88324064726</v>
      </c>
      <c r="K142" s="71">
        <v>117923.68175590989</v>
      </c>
      <c r="L142" s="71">
        <v>55.422142857142852</v>
      </c>
      <c r="M142" s="71">
        <v>13.951343299811249</v>
      </c>
      <c r="N142" s="71">
        <v>19.79482197960683</v>
      </c>
      <c r="O142" s="71">
        <v>3085.040429338103</v>
      </c>
    </row>
    <row r="143" spans="2:27" s="71" customFormat="1" x14ac:dyDescent="0.25">
      <c r="B143" s="71" t="str">
        <f>VLOOKUP(F143,[1]NUTS_Europa!$A$2:$C$81,2,FALSE)</f>
        <v>BE23</v>
      </c>
      <c r="C143" s="71">
        <f>VLOOKUP(F143,[1]NUTS_Europa!$A$2:$C$81,3,FALSE)</f>
        <v>253</v>
      </c>
      <c r="D143" s="71" t="str">
        <f>VLOOKUP(G143,[1]NUTS_Europa!$A$2:$C$81,2,FALSE)</f>
        <v>BE25</v>
      </c>
      <c r="E143" s="71">
        <f>VLOOKUP(G143,[1]NUTS_Europa!$A$2:$C$81,3,FALSE)</f>
        <v>235</v>
      </c>
      <c r="F143" s="71">
        <v>2</v>
      </c>
      <c r="G143" s="71">
        <v>3</v>
      </c>
      <c r="H143" s="71">
        <v>354631.86584128684</v>
      </c>
      <c r="I143" s="71">
        <v>486338.31962185231</v>
      </c>
      <c r="K143" s="71">
        <v>135416.16142478216</v>
      </c>
      <c r="L143" s="71">
        <v>8.9857142857142858</v>
      </c>
      <c r="M143" s="71">
        <v>14.933765277661841</v>
      </c>
      <c r="N143" s="71">
        <v>8.4795381465049093</v>
      </c>
      <c r="O143" s="71">
        <v>1522.6567936191168</v>
      </c>
    </row>
    <row r="144" spans="2:27" s="71" customFormat="1" x14ac:dyDescent="0.25">
      <c r="AA144" s="71">
        <f>(AA119+AA120+AA121+AA122+AA123+AA126)/6</f>
        <v>12.69676456475794</v>
      </c>
    </row>
    <row r="145" s="71" customFormat="1" x14ac:dyDescent="0.25"/>
    <row r="146" s="71" customFormat="1" x14ac:dyDescent="0.25"/>
    <row r="147" s="71" customFormat="1" x14ac:dyDescent="0.25"/>
  </sheetData>
  <autoFilter ref="B3:I83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F3C9-193B-4DFE-A74C-276060185243}">
  <dimension ref="B1:AB156"/>
  <sheetViews>
    <sheetView topLeftCell="A103" workbookViewId="0">
      <selection activeCell="Q119" sqref="Q119:Q120"/>
    </sheetView>
  </sheetViews>
  <sheetFormatPr baseColWidth="10" defaultColWidth="9.140625" defaultRowHeight="15" x14ac:dyDescent="0.25"/>
  <cols>
    <col min="6" max="7" width="5" bestFit="1" customWidth="1"/>
    <col min="8" max="8" width="14.7109375" bestFit="1" customWidth="1"/>
    <col min="9" max="9" width="15.7109375" bestFit="1" customWidth="1"/>
    <col min="10" max="10" width="13.140625" customWidth="1"/>
    <col min="11" max="12" width="11.7109375" bestFit="1" customWidth="1"/>
    <col min="13" max="13" width="13.7109375" bestFit="1" customWidth="1"/>
    <col min="14" max="14" width="11.7109375" bestFit="1" customWidth="1"/>
    <col min="16" max="16" width="12.140625" customWidth="1"/>
    <col min="17" max="17" width="12.42578125" customWidth="1"/>
    <col min="19" max="20" width="13.85546875" bestFit="1" customWidth="1"/>
    <col min="21" max="21" width="15.5703125" customWidth="1"/>
  </cols>
  <sheetData>
    <row r="1" spans="2:14" x14ac:dyDescent="0.25">
      <c r="I1" t="s">
        <v>145</v>
      </c>
    </row>
    <row r="3" spans="2:14" x14ac:dyDescent="0.25">
      <c r="B3" t="s">
        <v>134</v>
      </c>
      <c r="C3" t="s">
        <v>135</v>
      </c>
      <c r="D3" t="s">
        <v>131</v>
      </c>
      <c r="E3" t="s">
        <v>136</v>
      </c>
      <c r="F3" t="s">
        <v>39</v>
      </c>
      <c r="G3" t="s">
        <v>40</v>
      </c>
      <c r="H3" t="s">
        <v>137</v>
      </c>
      <c r="I3" t="s">
        <v>133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71" customFormat="1" x14ac:dyDescent="0.25">
      <c r="B4" s="71" t="str">
        <f>VLOOKUP(F4,[1]NUTS_Europa!$A$2:$C$81,2,FALSE)</f>
        <v>BE21</v>
      </c>
      <c r="C4" s="71">
        <f>VLOOKUP(F4,[1]NUTS_Europa!$A$2:$C$81,3,FALSE)</f>
        <v>253</v>
      </c>
      <c r="D4" s="71" t="str">
        <f>VLOOKUP(G4,[1]NUTS_Europa!$A$2:$C$81,2,FALSE)</f>
        <v>BE25</v>
      </c>
      <c r="E4" s="71">
        <f>VLOOKUP(G4,[1]NUTS_Europa!$A$2:$C$81,3,FALSE)</f>
        <v>235</v>
      </c>
      <c r="F4" s="71">
        <v>1</v>
      </c>
      <c r="G4" s="71">
        <v>3</v>
      </c>
      <c r="H4" s="72">
        <v>321056.31181180733</v>
      </c>
      <c r="I4" s="72">
        <v>1008012.4575401059</v>
      </c>
      <c r="J4" s="71">
        <v>135416.16142478216</v>
      </c>
      <c r="K4" s="71">
        <v>5.8785046728971961</v>
      </c>
      <c r="L4" s="71">
        <v>12.59650186102178</v>
      </c>
      <c r="M4" s="71">
        <v>9.497082724085498</v>
      </c>
      <c r="N4" s="71">
        <v>1705.3756088534108</v>
      </c>
    </row>
    <row r="5" spans="2:14" s="71" customFormat="1" x14ac:dyDescent="0.25">
      <c r="B5" s="71" t="str">
        <f>VLOOKUP(F5,[1]NUTS_Europa!$A$2:$C$81,2,FALSE)</f>
        <v>BE21</v>
      </c>
      <c r="C5" s="71">
        <f>VLOOKUP(F5,[1]NUTS_Europa!$A$2:$C$81,3,FALSE)</f>
        <v>253</v>
      </c>
      <c r="D5" s="71" t="str">
        <f>VLOOKUP(G5,[1]NUTS_Europa!$A$2:$C$81,2,FALSE)</f>
        <v>ES21</v>
      </c>
      <c r="E5" s="71">
        <f>VLOOKUP(G5,[1]NUTS_Europa!$A$2:$C$81,3,FALSE)</f>
        <v>163</v>
      </c>
      <c r="F5" s="71">
        <v>1</v>
      </c>
      <c r="G5" s="71">
        <v>14</v>
      </c>
      <c r="H5" s="71">
        <v>688886.82723258995</v>
      </c>
      <c r="I5" s="71">
        <v>1530086.3432757668</v>
      </c>
      <c r="J5" s="71">
        <v>145277.79316174539</v>
      </c>
      <c r="K5" s="71">
        <v>36.257476635514017</v>
      </c>
      <c r="L5" s="71">
        <v>14.127966628026204</v>
      </c>
      <c r="M5" s="71">
        <v>21.650586540194972</v>
      </c>
      <c r="N5" s="71">
        <v>3374.2629695885503</v>
      </c>
    </row>
    <row r="6" spans="2:14" s="71" customFormat="1" x14ac:dyDescent="0.25">
      <c r="B6" s="71" t="str">
        <f>VLOOKUP(F6,[1]NUTS_Europa!$A$2:$C$81,2,FALSE)</f>
        <v>BE23</v>
      </c>
      <c r="C6" s="71">
        <f>VLOOKUP(F6,[1]NUTS_Europa!$A$2:$C$81,3,FALSE)</f>
        <v>253</v>
      </c>
      <c r="D6" s="71" t="str">
        <f>VLOOKUP(G6,[1]NUTS_Europa!$A$2:$C$81,2,FALSE)</f>
        <v>BE25</v>
      </c>
      <c r="E6" s="71">
        <f>VLOOKUP(G6,[1]NUTS_Europa!$A$2:$C$81,3,FALSE)</f>
        <v>235</v>
      </c>
      <c r="F6" s="71">
        <v>2</v>
      </c>
      <c r="G6" s="71">
        <v>3</v>
      </c>
      <c r="H6" s="71">
        <v>397187.68974224129</v>
      </c>
      <c r="I6" s="71">
        <v>1008012.4575401059</v>
      </c>
      <c r="J6" s="71">
        <v>135416.16142478216</v>
      </c>
      <c r="K6" s="71">
        <v>5.8785046728971961</v>
      </c>
      <c r="L6" s="71">
        <v>12.59650186102178</v>
      </c>
      <c r="M6" s="71">
        <v>9.497082724085498</v>
      </c>
      <c r="N6" s="71">
        <v>1705.3756088534108</v>
      </c>
    </row>
    <row r="7" spans="2:14" s="71" customFormat="1" x14ac:dyDescent="0.25">
      <c r="B7" s="71" t="str">
        <f>VLOOKUP(F7,[1]NUTS_Europa!$A$2:$C$81,2,FALSE)</f>
        <v>BE23</v>
      </c>
      <c r="C7" s="71">
        <f>VLOOKUP(F7,[1]NUTS_Europa!$A$2:$C$81,3,FALSE)</f>
        <v>253</v>
      </c>
      <c r="D7" s="71" t="str">
        <f>VLOOKUP(G7,[1]NUTS_Europa!$A$2:$C$81,2,FALSE)</f>
        <v>ES13</v>
      </c>
      <c r="E7" s="71">
        <f>VLOOKUP(G7,[1]NUTS_Europa!$A$2:$C$81,3,FALSE)</f>
        <v>163</v>
      </c>
      <c r="F7" s="71">
        <v>2</v>
      </c>
      <c r="G7" s="71">
        <v>13</v>
      </c>
      <c r="H7" s="71">
        <v>1038002.9208232875</v>
      </c>
      <c r="I7" s="71">
        <v>1530086.3432757668</v>
      </c>
      <c r="J7" s="71">
        <v>117923.68175590989</v>
      </c>
      <c r="K7" s="71">
        <v>36.257476635514017</v>
      </c>
      <c r="L7" s="71">
        <v>14.127966628026204</v>
      </c>
      <c r="M7" s="71">
        <v>21.650586540194972</v>
      </c>
      <c r="N7" s="71">
        <v>3374.2629695885503</v>
      </c>
    </row>
    <row r="8" spans="2:14" s="71" customFormat="1" x14ac:dyDescent="0.25">
      <c r="B8" s="71" t="str">
        <f>VLOOKUP(F8,[1]NUTS_Europa!$A$2:$C$81,2,FALSE)</f>
        <v>DE50</v>
      </c>
      <c r="C8" s="71">
        <f>VLOOKUP(F8,[1]NUTS_Europa!$A$2:$C$81,3,FALSE)</f>
        <v>245</v>
      </c>
      <c r="D8" s="71" t="str">
        <f>VLOOKUP(G8,[1]NUTS_Europa!$A$2:$C$81,2,FALSE)</f>
        <v>ES12</v>
      </c>
      <c r="E8" s="71">
        <f>VLOOKUP(G8,[1]NUTS_Europa!$A$2:$C$81,3,FALSE)</f>
        <v>285</v>
      </c>
      <c r="F8" s="71">
        <v>4</v>
      </c>
      <c r="G8" s="71">
        <v>12</v>
      </c>
      <c r="H8" s="71">
        <v>55467.590571060922</v>
      </c>
      <c r="I8" s="71">
        <v>9657494.4773496315</v>
      </c>
      <c r="J8" s="71">
        <v>114346.85142443764</v>
      </c>
      <c r="K8" s="71">
        <v>47.006542056074771</v>
      </c>
      <c r="L8" s="71">
        <v>14.686536090780193</v>
      </c>
      <c r="M8" s="71">
        <v>8.6798247044985843E-2</v>
      </c>
      <c r="N8" s="71">
        <v>15.60948133635801</v>
      </c>
    </row>
    <row r="9" spans="2:14" s="71" customFormat="1" x14ac:dyDescent="0.25">
      <c r="B9" s="71" t="str">
        <f>VLOOKUP(F9,[1]NUTS_Europa!$A$2:$C$81,2,FALSE)</f>
        <v>DE50</v>
      </c>
      <c r="C9" s="71">
        <f>VLOOKUP(F9,[1]NUTS_Europa!$A$2:$C$81,3,FALSE)</f>
        <v>245</v>
      </c>
      <c r="D9" s="71" t="str">
        <f>VLOOKUP(G9,[1]NUTS_Europa!$A$2:$C$81,2,FALSE)</f>
        <v>FRD1</v>
      </c>
      <c r="E9" s="71">
        <f>VLOOKUP(G9,[1]NUTS_Europa!$A$2:$C$81,3,FALSE)</f>
        <v>268</v>
      </c>
      <c r="F9" s="71">
        <v>4</v>
      </c>
      <c r="G9" s="71">
        <v>19</v>
      </c>
      <c r="H9" s="71">
        <v>398125.93221467815</v>
      </c>
      <c r="I9" s="71">
        <v>9563857.8408051655</v>
      </c>
      <c r="J9" s="71">
        <v>163171.48832599766</v>
      </c>
      <c r="K9" s="71">
        <v>27.240186915887854</v>
      </c>
      <c r="L9" s="71">
        <v>14.915617477014187</v>
      </c>
      <c r="M9" s="71">
        <v>0.64278681477167154</v>
      </c>
      <c r="N9" s="71">
        <v>100.1788908765653</v>
      </c>
    </row>
    <row r="10" spans="2:14" s="71" customFormat="1" x14ac:dyDescent="0.25">
      <c r="B10" s="71" t="str">
        <f>VLOOKUP(F10,[1]NUTS_Europa!$A$2:$C$81,2,FALSE)</f>
        <v>DE60</v>
      </c>
      <c r="C10" s="71">
        <f>VLOOKUP(F10,[1]NUTS_Europa!$A$2:$C$81,3,FALSE)</f>
        <v>1069</v>
      </c>
      <c r="D10" s="71" t="str">
        <f>VLOOKUP(G10,[1]NUTS_Europa!$A$2:$C$81,2,FALSE)</f>
        <v>NL32</v>
      </c>
      <c r="E10" s="71">
        <f>VLOOKUP(G10,[1]NUTS_Europa!$A$2:$C$81,3,FALSE)</f>
        <v>218</v>
      </c>
      <c r="F10" s="71">
        <v>5</v>
      </c>
      <c r="G10" s="71">
        <v>32</v>
      </c>
      <c r="H10" s="71">
        <v>301238.42678866506</v>
      </c>
      <c r="I10" s="71">
        <v>1178914.0554693798</v>
      </c>
      <c r="J10" s="71">
        <v>119215.96904421839</v>
      </c>
      <c r="K10" s="71">
        <v>12.615420560747665</v>
      </c>
      <c r="L10" s="71">
        <v>7.539722996971344</v>
      </c>
      <c r="M10" s="71">
        <v>21.854386986606851</v>
      </c>
      <c r="N10" s="71">
        <v>4963.1764433597036</v>
      </c>
    </row>
    <row r="11" spans="2:14" s="71" customFormat="1" x14ac:dyDescent="0.25">
      <c r="B11" s="71" t="str">
        <f>VLOOKUP(F11,[1]NUTS_Europa!$A$2:$C$81,2,FALSE)</f>
        <v>DE60</v>
      </c>
      <c r="C11" s="71">
        <f>VLOOKUP(F11,[1]NUTS_Europa!$A$2:$C$81,3,FALSE)</f>
        <v>1069</v>
      </c>
      <c r="D11" s="71" t="str">
        <f>VLOOKUP(G11,[1]NUTS_Europa!$A$2:$C$81,2,FALSE)</f>
        <v>PT18</v>
      </c>
      <c r="E11" s="71">
        <f>VLOOKUP(G11,[1]NUTS_Europa!$A$2:$C$81,3,FALSE)</f>
        <v>61</v>
      </c>
      <c r="F11" s="71">
        <v>5</v>
      </c>
      <c r="G11" s="71">
        <v>80</v>
      </c>
      <c r="H11" s="71">
        <v>12667566.868798733</v>
      </c>
      <c r="I11" s="71">
        <v>2077204.3830544683</v>
      </c>
      <c r="J11" s="71">
        <v>118487.95435333898</v>
      </c>
      <c r="K11" s="71">
        <v>78.167289719626169</v>
      </c>
      <c r="L11" s="71">
        <v>6.7749381115010037</v>
      </c>
      <c r="M11" s="71">
        <v>88.792091272356132</v>
      </c>
      <c r="N11" s="71">
        <v>20275.132014860137</v>
      </c>
    </row>
    <row r="12" spans="2:14" s="71" customFormat="1" x14ac:dyDescent="0.25">
      <c r="B12" s="71" t="str">
        <f>VLOOKUP(F12,[1]NUTS_Europa!$A$2:$C$81,2,FALSE)</f>
        <v>DE80</v>
      </c>
      <c r="C12" s="71">
        <f>VLOOKUP(F12,[1]NUTS_Europa!$A$2:$C$81,3,FALSE)</f>
        <v>1069</v>
      </c>
      <c r="D12" s="71" t="str">
        <f>VLOOKUP(G12,[1]NUTS_Europa!$A$2:$C$81,2,FALSE)</f>
        <v>ES11</v>
      </c>
      <c r="E12" s="71">
        <f>VLOOKUP(G12,[1]NUTS_Europa!$A$2:$C$81,3,FALSE)</f>
        <v>288</v>
      </c>
      <c r="F12" s="71">
        <v>6</v>
      </c>
      <c r="G12" s="71">
        <v>11</v>
      </c>
      <c r="H12" s="71">
        <v>565702.00403954345</v>
      </c>
      <c r="I12" s="71">
        <v>1791134.3608040616</v>
      </c>
      <c r="J12" s="71">
        <v>142841.86171918266</v>
      </c>
      <c r="K12" s="71">
        <v>54.147196261682247</v>
      </c>
      <c r="L12" s="71">
        <v>8.9203162423260345</v>
      </c>
      <c r="M12" s="71">
        <v>4.9425536572578173</v>
      </c>
      <c r="N12" s="71">
        <v>1050.5272759847392</v>
      </c>
    </row>
    <row r="13" spans="2:14" s="71" customFormat="1" x14ac:dyDescent="0.25">
      <c r="B13" s="71" t="str">
        <f>VLOOKUP(F13,[1]NUTS_Europa!$A$2:$C$81,2,FALSE)</f>
        <v>DE80</v>
      </c>
      <c r="C13" s="71">
        <f>VLOOKUP(F13,[1]NUTS_Europa!$A$2:$C$81,3,FALSE)</f>
        <v>1069</v>
      </c>
      <c r="D13" s="71" t="str">
        <f>VLOOKUP(G13,[1]NUTS_Europa!$A$2:$C$81,2,FALSE)</f>
        <v>FRI1</v>
      </c>
      <c r="E13" s="71">
        <f>VLOOKUP(G13,[1]NUTS_Europa!$A$2:$C$81,3,FALSE)</f>
        <v>283</v>
      </c>
      <c r="F13" s="71">
        <v>6</v>
      </c>
      <c r="G13" s="71">
        <v>24</v>
      </c>
      <c r="H13" s="71">
        <v>1329166.5552283137</v>
      </c>
      <c r="I13" s="71">
        <v>1557140.2879166086</v>
      </c>
      <c r="J13" s="71">
        <v>145277.79316174539</v>
      </c>
      <c r="K13" s="71">
        <v>44.760747663551406</v>
      </c>
      <c r="L13" s="71">
        <v>8.1363671046144965</v>
      </c>
      <c r="M13" s="71">
        <v>10.701262141610925</v>
      </c>
      <c r="N13" s="71">
        <v>2188.5072142857148</v>
      </c>
    </row>
    <row r="14" spans="2:14" s="71" customFormat="1" x14ac:dyDescent="0.25">
      <c r="B14" s="71" t="str">
        <f>VLOOKUP(F14,[1]NUTS_Europa!$A$2:$C$81,2,FALSE)</f>
        <v>DE93</v>
      </c>
      <c r="C14" s="71">
        <f>VLOOKUP(F14,[1]NUTS_Europa!$A$2:$C$81,3,FALSE)</f>
        <v>1069</v>
      </c>
      <c r="D14" s="71" t="str">
        <f>VLOOKUP(G14,[1]NUTS_Europa!$A$2:$C$81,2,FALSE)</f>
        <v>NL12</v>
      </c>
      <c r="E14" s="71">
        <f>VLOOKUP(G14,[1]NUTS_Europa!$A$2:$C$81,3,FALSE)</f>
        <v>218</v>
      </c>
      <c r="F14" s="71">
        <v>7</v>
      </c>
      <c r="G14" s="71">
        <v>31</v>
      </c>
      <c r="H14" s="71">
        <v>1325655.9121333039</v>
      </c>
      <c r="I14" s="71">
        <v>1178914.0554693798</v>
      </c>
      <c r="J14" s="71">
        <v>163171.48832599766</v>
      </c>
      <c r="K14" s="71">
        <v>12.615420560747665</v>
      </c>
      <c r="L14" s="71">
        <v>7.539722996971344</v>
      </c>
      <c r="M14" s="71">
        <v>21.854386986606851</v>
      </c>
      <c r="N14" s="71">
        <v>4963.1764433597036</v>
      </c>
    </row>
    <row r="15" spans="2:14" s="71" customFormat="1" x14ac:dyDescent="0.25">
      <c r="B15" s="71" t="str">
        <f>VLOOKUP(F15,[1]NUTS_Europa!$A$2:$C$81,2,FALSE)</f>
        <v>DE93</v>
      </c>
      <c r="C15" s="71">
        <f>VLOOKUP(F15,[1]NUTS_Europa!$A$2:$C$81,3,FALSE)</f>
        <v>1069</v>
      </c>
      <c r="D15" s="71" t="str">
        <f>VLOOKUP(G15,[1]NUTS_Europa!$A$2:$C$81,2,FALSE)</f>
        <v>NL32</v>
      </c>
      <c r="E15" s="71">
        <f>VLOOKUP(G15,[1]NUTS_Europa!$A$2:$C$81,3,FALSE)</f>
        <v>218</v>
      </c>
      <c r="F15" s="71">
        <v>7</v>
      </c>
      <c r="G15" s="71">
        <v>32</v>
      </c>
      <c r="H15" s="71">
        <v>558646.12825885101</v>
      </c>
      <c r="I15" s="71">
        <v>1178914.0554693798</v>
      </c>
      <c r="J15" s="71">
        <v>199058.85825050285</v>
      </c>
      <c r="K15" s="71">
        <v>12.615420560747665</v>
      </c>
      <c r="L15" s="71">
        <v>7.539722996971344</v>
      </c>
      <c r="M15" s="71">
        <v>21.854386986606851</v>
      </c>
      <c r="N15" s="71">
        <v>4963.1764433597036</v>
      </c>
    </row>
    <row r="16" spans="2:14" s="71" customFormat="1" x14ac:dyDescent="0.25">
      <c r="B16" s="71" t="str">
        <f>VLOOKUP(F16,[1]NUTS_Europa!$A$2:$C$81,2,FALSE)</f>
        <v>DE94</v>
      </c>
      <c r="C16" s="71">
        <f>VLOOKUP(F16,[1]NUTS_Europa!$A$2:$C$81,3,FALSE)</f>
        <v>245</v>
      </c>
      <c r="D16" s="71" t="str">
        <f>VLOOKUP(G16,[1]NUTS_Europa!$A$2:$C$81,2,FALSE)</f>
        <v>ES12</v>
      </c>
      <c r="E16" s="71">
        <f>VLOOKUP(G16,[1]NUTS_Europa!$A$2:$C$81,3,FALSE)</f>
        <v>285</v>
      </c>
      <c r="F16" s="71">
        <v>8</v>
      </c>
      <c r="G16" s="71">
        <v>12</v>
      </c>
      <c r="H16" s="71">
        <v>55750.425007186932</v>
      </c>
      <c r="I16" s="71">
        <v>9657494.4773496315</v>
      </c>
      <c r="J16" s="71">
        <v>117061.71481038857</v>
      </c>
      <c r="K16" s="71">
        <v>47.006542056074771</v>
      </c>
      <c r="L16" s="71">
        <v>14.686536090780193</v>
      </c>
      <c r="M16" s="71">
        <v>8.6798247044985843E-2</v>
      </c>
      <c r="N16" s="71">
        <v>15.60948133635801</v>
      </c>
    </row>
    <row r="17" spans="2:14" s="71" customFormat="1" x14ac:dyDescent="0.25">
      <c r="B17" s="71" t="str">
        <f>VLOOKUP(F17,[1]NUTS_Europa!$A$2:$C$81,2,FALSE)</f>
        <v>DE94</v>
      </c>
      <c r="C17" s="71">
        <f>VLOOKUP(F17,[1]NUTS_Europa!$A$2:$C$81,3,FALSE)</f>
        <v>245</v>
      </c>
      <c r="D17" s="71" t="str">
        <f>VLOOKUP(G17,[1]NUTS_Europa!$A$2:$C$81,2,FALSE)</f>
        <v>FRD1</v>
      </c>
      <c r="E17" s="71">
        <f>VLOOKUP(G17,[1]NUTS_Europa!$A$2:$C$81,3,FALSE)</f>
        <v>268</v>
      </c>
      <c r="F17" s="71">
        <v>8</v>
      </c>
      <c r="G17" s="71">
        <v>19</v>
      </c>
      <c r="H17" s="71">
        <v>399941.11361002701</v>
      </c>
      <c r="I17" s="71">
        <v>9563857.8408051655</v>
      </c>
      <c r="J17" s="71">
        <v>113696.3812050019</v>
      </c>
      <c r="K17" s="71">
        <v>27.240186915887854</v>
      </c>
      <c r="L17" s="71">
        <v>14.915617477014187</v>
      </c>
      <c r="M17" s="71">
        <v>0.64278681477167154</v>
      </c>
      <c r="N17" s="71">
        <v>100.1788908765653</v>
      </c>
    </row>
    <row r="18" spans="2:14" s="71" customFormat="1" x14ac:dyDescent="0.25">
      <c r="B18" s="71" t="str">
        <f>VLOOKUP(F18,[1]NUTS_Europa!$A$2:$C$81,2,FALSE)</f>
        <v>DEA1</v>
      </c>
      <c r="C18" s="71">
        <f>VLOOKUP(F18,[1]NUTS_Europa!$A$2:$C$81,3,FALSE)</f>
        <v>253</v>
      </c>
      <c r="D18" s="71" t="str">
        <f>VLOOKUP(G18,[1]NUTS_Europa!$A$2:$C$81,2,FALSE)</f>
        <v>ES11</v>
      </c>
      <c r="E18" s="71">
        <f>VLOOKUP(G18,[1]NUTS_Europa!$A$2:$C$81,3,FALSE)</f>
        <v>288</v>
      </c>
      <c r="F18" s="71">
        <v>9</v>
      </c>
      <c r="G18" s="71">
        <v>11</v>
      </c>
      <c r="H18" s="71">
        <v>589052.64568621514</v>
      </c>
      <c r="I18" s="71">
        <v>1639510.9875461981</v>
      </c>
      <c r="J18" s="71">
        <v>142392.8717171422</v>
      </c>
      <c r="K18" s="71">
        <v>41.455607476635514</v>
      </c>
      <c r="L18" s="71">
        <v>11.526163426416618</v>
      </c>
      <c r="M18" s="71">
        <v>5.8415730839199274</v>
      </c>
      <c r="N18" s="71">
        <v>1050.5272759847392</v>
      </c>
    </row>
    <row r="19" spans="2:14" s="71" customFormat="1" x14ac:dyDescent="0.25">
      <c r="B19" s="71" t="str">
        <f>VLOOKUP(F19,[1]NUTS_Europa!$A$2:$C$81,2,FALSE)</f>
        <v>DEA1</v>
      </c>
      <c r="C19" s="71">
        <f>VLOOKUP(F19,[1]NUTS_Europa!$A$2:$C$81,3,FALSE)</f>
        <v>253</v>
      </c>
      <c r="D19" s="71" t="str">
        <f>VLOOKUP(G19,[1]NUTS_Europa!$A$2:$C$81,2,FALSE)</f>
        <v>FRI3</v>
      </c>
      <c r="E19" s="71">
        <f>VLOOKUP(G19,[1]NUTS_Europa!$A$2:$C$81,3,FALSE)</f>
        <v>283</v>
      </c>
      <c r="F19" s="71">
        <v>9</v>
      </c>
      <c r="G19" s="71">
        <v>25</v>
      </c>
      <c r="H19" s="71">
        <v>1025896.5995660863</v>
      </c>
      <c r="I19" s="71">
        <v>1400421.9320588754</v>
      </c>
      <c r="J19" s="71">
        <v>127001.21695280854</v>
      </c>
      <c r="K19" s="71">
        <v>32.271028037383182</v>
      </c>
      <c r="L19" s="71">
        <v>10.742214288705078</v>
      </c>
      <c r="M19" s="71">
        <v>12.574141167230453</v>
      </c>
      <c r="N19" s="71">
        <v>2188.5072142857148</v>
      </c>
    </row>
    <row r="20" spans="2:14" s="71" customFormat="1" x14ac:dyDescent="0.25">
      <c r="B20" s="71" t="str">
        <f>VLOOKUP(F20,[1]NUTS_Europa!$A$2:$C$81,2,FALSE)</f>
        <v>DEF0</v>
      </c>
      <c r="C20" s="71">
        <f>VLOOKUP(F20,[1]NUTS_Europa!$A$2:$C$81,3,FALSE)</f>
        <v>1069</v>
      </c>
      <c r="D20" s="71" t="str">
        <f>VLOOKUP(G20,[1]NUTS_Europa!$A$2:$C$81,2,FALSE)</f>
        <v>ES13</v>
      </c>
      <c r="E20" s="71">
        <f>VLOOKUP(G20,[1]NUTS_Europa!$A$2:$C$81,3,FALSE)</f>
        <v>163</v>
      </c>
      <c r="F20" s="71">
        <v>10</v>
      </c>
      <c r="G20" s="71">
        <v>13</v>
      </c>
      <c r="H20" s="71">
        <v>1181210.4955763307</v>
      </c>
      <c r="I20" s="71">
        <v>1689515.9285574164</v>
      </c>
      <c r="J20" s="71">
        <v>163171.48832599766</v>
      </c>
      <c r="K20" s="71">
        <v>48.97429906542056</v>
      </c>
      <c r="L20" s="71">
        <v>11.522119443935621</v>
      </c>
      <c r="M20" s="71">
        <v>18.762962363580304</v>
      </c>
      <c r="N20" s="71">
        <v>3374.2629695885503</v>
      </c>
    </row>
    <row r="21" spans="2:14" s="71" customFormat="1" x14ac:dyDescent="0.25">
      <c r="B21" s="71" t="str">
        <f>VLOOKUP(F21,[1]NUTS_Europa!$A$2:$C$81,2,FALSE)</f>
        <v>DEF0</v>
      </c>
      <c r="C21" s="71">
        <f>VLOOKUP(F21,[1]NUTS_Europa!$A$2:$C$81,3,FALSE)</f>
        <v>1069</v>
      </c>
      <c r="D21" s="71" t="str">
        <f>VLOOKUP(G21,[1]NUTS_Europa!$A$2:$C$81,2,FALSE)</f>
        <v>ES21</v>
      </c>
      <c r="E21" s="71">
        <f>VLOOKUP(G21,[1]NUTS_Europa!$A$2:$C$81,3,FALSE)</f>
        <v>163</v>
      </c>
      <c r="F21" s="71">
        <v>10</v>
      </c>
      <c r="G21" s="71">
        <v>14</v>
      </c>
      <c r="H21" s="71">
        <v>982728.24947400531</v>
      </c>
      <c r="I21" s="71">
        <v>1689515.9285574164</v>
      </c>
      <c r="J21" s="71">
        <v>199058.85825050285</v>
      </c>
      <c r="K21" s="71">
        <v>48.97429906542056</v>
      </c>
      <c r="L21" s="71">
        <v>11.522119443935621</v>
      </c>
      <c r="M21" s="71">
        <v>18.762962363580304</v>
      </c>
      <c r="N21" s="71">
        <v>3374.2629695885503</v>
      </c>
    </row>
    <row r="22" spans="2:14" s="71" customFormat="1" x14ac:dyDescent="0.25">
      <c r="B22" s="71" t="str">
        <f>VLOOKUP(F22,[1]NUTS_Europa!$A$2:$C$81,2,FALSE)</f>
        <v>ES51</v>
      </c>
      <c r="C22" s="71">
        <f>VLOOKUP(F22,[1]NUTS_Europa!$A$2:$C$81,3,FALSE)</f>
        <v>1063</v>
      </c>
      <c r="D22" s="71" t="str">
        <f>VLOOKUP(G22,[1]NUTS_Europa!$A$2:$C$81,2,FALSE)</f>
        <v>ES52</v>
      </c>
      <c r="E22" s="71">
        <f>VLOOKUP(G22,[1]NUTS_Europa!$A$2:$C$81,3,FALSE)</f>
        <v>1064</v>
      </c>
      <c r="F22" s="71">
        <v>15</v>
      </c>
      <c r="G22" s="71">
        <v>16</v>
      </c>
      <c r="H22" s="71">
        <v>3223049.8550334461</v>
      </c>
      <c r="I22" s="71">
        <v>4911079.7250226075</v>
      </c>
      <c r="J22" s="71">
        <v>135416.16142478216</v>
      </c>
      <c r="K22" s="71">
        <v>7.5700934579439254</v>
      </c>
      <c r="L22" s="71">
        <v>9.8929885291763586</v>
      </c>
      <c r="M22" s="71">
        <v>58.678476884415012</v>
      </c>
      <c r="N22" s="71">
        <v>12471.961814678283</v>
      </c>
    </row>
    <row r="23" spans="2:14" s="71" customFormat="1" x14ac:dyDescent="0.25">
      <c r="B23" s="71" t="str">
        <f>VLOOKUP(F23,[1]NUTS_Europa!$A$2:$C$81,2,FALSE)</f>
        <v>ES51</v>
      </c>
      <c r="C23" s="71">
        <f>VLOOKUP(F23,[1]NUTS_Europa!$A$2:$C$81,3,FALSE)</f>
        <v>1063</v>
      </c>
      <c r="D23" s="71" t="str">
        <f>VLOOKUP(G23,[1]NUTS_Europa!$A$2:$C$81,2,FALSE)</f>
        <v>PT15</v>
      </c>
      <c r="E23" s="71">
        <f>VLOOKUP(G23,[1]NUTS_Europa!$A$2:$C$81,3,FALSE)</f>
        <v>1065</v>
      </c>
      <c r="F23" s="71">
        <v>15</v>
      </c>
      <c r="G23" s="71">
        <v>37</v>
      </c>
      <c r="H23" s="71">
        <v>3121664.2523196125</v>
      </c>
      <c r="I23" s="71">
        <v>5457240.5847079167</v>
      </c>
      <c r="J23" s="71">
        <v>123614.25510828695</v>
      </c>
      <c r="K23" s="71">
        <v>37.336448598130843</v>
      </c>
      <c r="L23" s="71">
        <v>12.923727625042943</v>
      </c>
      <c r="M23" s="71">
        <v>34.436560679728125</v>
      </c>
      <c r="N23" s="71">
        <v>7319.4038535191366</v>
      </c>
    </row>
    <row r="24" spans="2:14" s="71" customFormat="1" x14ac:dyDescent="0.25">
      <c r="B24" s="71" t="str">
        <f>VLOOKUP(F24,[1]NUTS_Europa!$A$2:$C$81,2,FALSE)</f>
        <v>ES52</v>
      </c>
      <c r="C24" s="71">
        <f>VLOOKUP(F24,[1]NUTS_Europa!$A$2:$C$81,3,FALSE)</f>
        <v>1064</v>
      </c>
      <c r="D24" s="71" t="str">
        <f>VLOOKUP(G24,[1]NUTS_Europa!$A$2:$C$81,2,FALSE)</f>
        <v>PT18</v>
      </c>
      <c r="E24" s="71">
        <f>VLOOKUP(G24,[1]NUTS_Europa!$A$2:$C$81,3,FALSE)</f>
        <v>1065</v>
      </c>
      <c r="F24" s="71">
        <v>16</v>
      </c>
      <c r="G24" s="71">
        <v>40</v>
      </c>
      <c r="H24" s="71">
        <v>2222497.2245213278</v>
      </c>
      <c r="I24" s="71">
        <v>1325791.0382116765</v>
      </c>
      <c r="J24" s="71">
        <v>117923.68175590989</v>
      </c>
      <c r="K24" s="71">
        <v>26.92196261682243</v>
      </c>
      <c r="L24" s="71">
        <v>10.115750723732958</v>
      </c>
      <c r="M24" s="71">
        <v>34.436560679728125</v>
      </c>
      <c r="N24" s="71">
        <v>7319.4038535191366</v>
      </c>
    </row>
    <row r="25" spans="2:14" s="71" customFormat="1" x14ac:dyDescent="0.25">
      <c r="B25" s="71" t="str">
        <f>VLOOKUP(F25,[1]NUTS_Europa!$A$2:$C$81,2,FALSE)</f>
        <v>ES61</v>
      </c>
      <c r="C25" s="71">
        <f>VLOOKUP(F25,[1]NUTS_Europa!$A$2:$C$81,3,FALSE)</f>
        <v>61</v>
      </c>
      <c r="D25" s="71" t="str">
        <f>VLOOKUP(G25,[1]NUTS_Europa!$A$2:$C$81,2,FALSE)</f>
        <v>FRG0</v>
      </c>
      <c r="E25" s="71">
        <f>VLOOKUP(G25,[1]NUTS_Europa!$A$2:$C$81,3,FALSE)</f>
        <v>282</v>
      </c>
      <c r="F25" s="71">
        <v>17</v>
      </c>
      <c r="G25" s="71">
        <v>22</v>
      </c>
      <c r="H25" s="71">
        <v>517275.57774220122</v>
      </c>
      <c r="I25" s="71">
        <v>1605815.1206395342</v>
      </c>
      <c r="J25" s="71">
        <v>115262.59218235347</v>
      </c>
      <c r="K25" s="71">
        <v>49.15121495327103</v>
      </c>
      <c r="L25" s="71">
        <v>7.5082816059433428</v>
      </c>
      <c r="M25" s="71">
        <v>4.127188552957139</v>
      </c>
      <c r="N25" s="71">
        <v>788.36279069767454</v>
      </c>
    </row>
    <row r="26" spans="2:14" s="71" customFormat="1" x14ac:dyDescent="0.25">
      <c r="B26" s="71" t="str">
        <f>VLOOKUP(F26,[1]NUTS_Europa!$A$2:$C$81,2,FALSE)</f>
        <v>ES61</v>
      </c>
      <c r="C26" s="71">
        <f>VLOOKUP(F26,[1]NUTS_Europa!$A$2:$C$81,3,FALSE)</f>
        <v>61</v>
      </c>
      <c r="D26" s="71" t="str">
        <f>VLOOKUP(G26,[1]NUTS_Europa!$A$2:$C$81,2,FALSE)</f>
        <v>PT11</v>
      </c>
      <c r="E26" s="71">
        <f>VLOOKUP(G26,[1]NUTS_Europa!$A$2:$C$81,3,FALSE)</f>
        <v>111</v>
      </c>
      <c r="F26" s="71">
        <v>17</v>
      </c>
      <c r="G26" s="71">
        <v>36</v>
      </c>
      <c r="H26" s="71">
        <v>1710349.8089015279</v>
      </c>
      <c r="I26" s="71">
        <v>1070146.3777705687</v>
      </c>
      <c r="J26" s="71">
        <v>507158.32774652442</v>
      </c>
      <c r="K26" s="71">
        <v>14.962149532710281</v>
      </c>
      <c r="L26" s="71">
        <v>7.2806202717677273</v>
      </c>
      <c r="M26" s="71">
        <v>12.785285159644387</v>
      </c>
      <c r="N26" s="71">
        <v>2919.4418190274873</v>
      </c>
    </row>
    <row r="27" spans="2:14" s="71" customFormat="1" x14ac:dyDescent="0.25">
      <c r="B27" s="71" t="str">
        <f>VLOOKUP(F27,[1]NUTS_Europa!$A$2:$C$81,2,FALSE)</f>
        <v>ES62</v>
      </c>
      <c r="C27" s="71">
        <f>VLOOKUP(F27,[1]NUTS_Europa!$A$2:$C$81,3,FALSE)</f>
        <v>1064</v>
      </c>
      <c r="D27" s="71" t="str">
        <f>VLOOKUP(G27,[1]NUTS_Europa!$A$2:$C$81,2,FALSE)</f>
        <v>FRG0</v>
      </c>
      <c r="E27" s="71">
        <f>VLOOKUP(G27,[1]NUTS_Europa!$A$2:$C$81,3,FALSE)</f>
        <v>282</v>
      </c>
      <c r="F27" s="71">
        <v>18</v>
      </c>
      <c r="G27" s="71">
        <v>22</v>
      </c>
      <c r="H27" s="71">
        <v>495916.44017648249</v>
      </c>
      <c r="I27" s="71">
        <v>1778114.5850286868</v>
      </c>
      <c r="J27" s="71">
        <v>135416.16142478216</v>
      </c>
      <c r="K27" s="71">
        <v>58.739205607476642</v>
      </c>
      <c r="L27" s="71">
        <v>8.2348442856334003</v>
      </c>
      <c r="M27" s="71">
        <v>4.3837784737066023</v>
      </c>
      <c r="N27" s="71">
        <v>788.36279069767454</v>
      </c>
    </row>
    <row r="28" spans="2:14" s="71" customFormat="1" x14ac:dyDescent="0.25">
      <c r="B28" s="71" t="str">
        <f>VLOOKUP(F28,[1]NUTS_Europa!$A$2:$C$81,2,FALSE)</f>
        <v>ES62</v>
      </c>
      <c r="C28" s="71">
        <f>VLOOKUP(F28,[1]NUTS_Europa!$A$2:$C$81,3,FALSE)</f>
        <v>1064</v>
      </c>
      <c r="D28" s="71" t="str">
        <f>VLOOKUP(G28,[1]NUTS_Europa!$A$2:$C$81,2,FALSE)</f>
        <v>PT17</v>
      </c>
      <c r="E28" s="71">
        <f>VLOOKUP(G28,[1]NUTS_Europa!$A$2:$C$81,3,FALSE)</f>
        <v>294</v>
      </c>
      <c r="F28" s="71">
        <v>18</v>
      </c>
      <c r="G28" s="71">
        <v>39</v>
      </c>
      <c r="H28" s="71">
        <v>1274707.9424609854</v>
      </c>
      <c r="I28" s="71">
        <v>1305269.7542708158</v>
      </c>
      <c r="J28" s="71">
        <v>191087.21980936834</v>
      </c>
      <c r="K28" s="71">
        <v>28.94065420560748</v>
      </c>
      <c r="L28" s="71">
        <v>7.2837555111210346</v>
      </c>
      <c r="M28" s="71">
        <v>15.0647215149215</v>
      </c>
      <c r="N28" s="71">
        <v>3201.9684466753083</v>
      </c>
    </row>
    <row r="29" spans="2:14" s="71" customFormat="1" x14ac:dyDescent="0.25">
      <c r="B29" s="71" t="str">
        <f>VLOOKUP(F29,[1]NUTS_Europa!$A$2:$C$81,2,FALSE)</f>
        <v>FRD2</v>
      </c>
      <c r="C29" s="71">
        <f>VLOOKUP(F29,[1]NUTS_Europa!$A$2:$C$81,3,FALSE)</f>
        <v>269</v>
      </c>
      <c r="D29" s="71" t="str">
        <f>VLOOKUP(G29,[1]NUTS_Europa!$A$2:$C$81,2,FALSE)</f>
        <v>FRH0</v>
      </c>
      <c r="E29" s="71">
        <f>VLOOKUP(G29,[1]NUTS_Europa!$A$2:$C$81,3,FALSE)</f>
        <v>283</v>
      </c>
      <c r="F29" s="71">
        <v>20</v>
      </c>
      <c r="G29" s="71">
        <v>23</v>
      </c>
      <c r="H29" s="71">
        <v>1053031.4135823792</v>
      </c>
      <c r="I29" s="71">
        <v>1254059.0990755495</v>
      </c>
      <c r="J29" s="71">
        <v>159445.52860932166</v>
      </c>
      <c r="K29" s="71">
        <v>21.635514018691591</v>
      </c>
      <c r="L29" s="71">
        <v>7.3044607751724691</v>
      </c>
      <c r="M29" s="71">
        <v>12.574141167230453</v>
      </c>
      <c r="N29" s="71">
        <v>2188.5072142857148</v>
      </c>
    </row>
    <row r="30" spans="2:14" s="71" customFormat="1" x14ac:dyDescent="0.25">
      <c r="B30" s="71" t="str">
        <f>VLOOKUP(F30,[1]NUTS_Europa!$A$2:$C$81,2,FALSE)</f>
        <v>FRD2</v>
      </c>
      <c r="C30" s="71">
        <f>VLOOKUP(F30,[1]NUTS_Europa!$A$2:$C$81,3,FALSE)</f>
        <v>269</v>
      </c>
      <c r="D30" s="71" t="str">
        <f>VLOOKUP(G30,[1]NUTS_Europa!$A$2:$C$81,2,FALSE)</f>
        <v>FRI3</v>
      </c>
      <c r="E30" s="71">
        <f>VLOOKUP(G30,[1]NUTS_Europa!$A$2:$C$81,3,FALSE)</f>
        <v>283</v>
      </c>
      <c r="F30" s="71">
        <v>20</v>
      </c>
      <c r="G30" s="71">
        <v>25</v>
      </c>
      <c r="H30" s="71">
        <v>522868.82368248637</v>
      </c>
      <c r="I30" s="71">
        <v>1254059.0990755495</v>
      </c>
      <c r="J30" s="71">
        <v>141512.315270936</v>
      </c>
      <c r="K30" s="71">
        <v>21.635514018691591</v>
      </c>
      <c r="L30" s="71">
        <v>7.3044607751724691</v>
      </c>
      <c r="M30" s="71">
        <v>12.574141167230453</v>
      </c>
      <c r="N30" s="71">
        <v>2188.5072142857148</v>
      </c>
    </row>
    <row r="31" spans="2:14" s="71" customFormat="1" x14ac:dyDescent="0.25">
      <c r="B31" s="71" t="str">
        <f>VLOOKUP(F31,[1]NUTS_Europa!$A$2:$C$81,2,FALSE)</f>
        <v>FRE1</v>
      </c>
      <c r="C31" s="71">
        <f>VLOOKUP(F31,[1]NUTS_Europa!$A$2:$C$81,3,FALSE)</f>
        <v>220</v>
      </c>
      <c r="D31" s="71" t="str">
        <f>VLOOKUP(G31,[1]NUTS_Europa!$A$2:$C$81,2,FALSE)</f>
        <v>FRH0</v>
      </c>
      <c r="E31" s="71">
        <f>VLOOKUP(G31,[1]NUTS_Europa!$A$2:$C$81,3,FALSE)</f>
        <v>283</v>
      </c>
      <c r="F31" s="71">
        <v>21</v>
      </c>
      <c r="G31" s="71">
        <v>23</v>
      </c>
      <c r="H31" s="71">
        <v>1182202.5422339283</v>
      </c>
      <c r="I31" s="71">
        <v>1274048.3300166922</v>
      </c>
      <c r="J31" s="71">
        <v>156784.57749147405</v>
      </c>
      <c r="K31" s="71">
        <v>28.130373831775703</v>
      </c>
      <c r="L31" s="71">
        <v>9.2935537141066575</v>
      </c>
      <c r="M31" s="71">
        <v>11.334579813346387</v>
      </c>
      <c r="N31" s="71">
        <v>2188.5072142857148</v>
      </c>
    </row>
    <row r="32" spans="2:14" s="71" customFormat="1" x14ac:dyDescent="0.25">
      <c r="B32" s="71" t="str">
        <f>VLOOKUP(F32,[1]NUTS_Europa!$A$2:$C$81,2,FALSE)</f>
        <v>FRE1</v>
      </c>
      <c r="C32" s="71">
        <f>VLOOKUP(F32,[1]NUTS_Europa!$A$2:$C$81,3,FALSE)</f>
        <v>220</v>
      </c>
      <c r="D32" s="71" t="str">
        <f>VLOOKUP(G32,[1]NUTS_Europa!$A$2:$C$81,2,FALSE)</f>
        <v>FRI1</v>
      </c>
      <c r="E32" s="71">
        <f>VLOOKUP(G32,[1]NUTS_Europa!$A$2:$C$81,3,FALSE)</f>
        <v>283</v>
      </c>
      <c r="F32" s="71">
        <v>21</v>
      </c>
      <c r="G32" s="71">
        <v>24</v>
      </c>
      <c r="H32" s="71">
        <v>998297.90400307125</v>
      </c>
      <c r="I32" s="71">
        <v>1274048.3300166922</v>
      </c>
      <c r="J32" s="71">
        <v>123840.01515725654</v>
      </c>
      <c r="K32" s="71">
        <v>28.130373831775703</v>
      </c>
      <c r="L32" s="71">
        <v>9.2935537141066575</v>
      </c>
      <c r="M32" s="71">
        <v>11.334579813346387</v>
      </c>
      <c r="N32" s="71">
        <v>2188.5072142857148</v>
      </c>
    </row>
    <row r="33" spans="2:14" s="71" customFormat="1" x14ac:dyDescent="0.25">
      <c r="B33" s="71" t="str">
        <f>VLOOKUP(F33,[1]NUTS_Europa!$A$2:$C$81,2,FALSE)</f>
        <v>FRJ1</v>
      </c>
      <c r="C33" s="71">
        <f>VLOOKUP(F33,[1]NUTS_Europa!$A$2:$C$81,3,FALSE)</f>
        <v>1063</v>
      </c>
      <c r="D33" s="71" t="str">
        <f>VLOOKUP(G33,[1]NUTS_Europa!$A$2:$C$81,2,FALSE)</f>
        <v>FRJ2</v>
      </c>
      <c r="E33" s="71">
        <f>VLOOKUP(G33,[1]NUTS_Europa!$A$2:$C$81,3,FALSE)</f>
        <v>283</v>
      </c>
      <c r="F33" s="71">
        <v>26</v>
      </c>
      <c r="G33" s="71">
        <v>28</v>
      </c>
      <c r="H33" s="71">
        <v>2233444.5493986299</v>
      </c>
      <c r="I33" s="71">
        <v>5917193.3964281362</v>
      </c>
      <c r="J33" s="71">
        <v>142841.86171918266</v>
      </c>
      <c r="K33" s="71">
        <v>72.137242990654215</v>
      </c>
      <c r="L33" s="71">
        <v>10.527854842599794</v>
      </c>
      <c r="M33" s="71">
        <v>10.701262141610925</v>
      </c>
      <c r="N33" s="71">
        <v>2188.5072142857148</v>
      </c>
    </row>
    <row r="34" spans="2:14" s="71" customFormat="1" x14ac:dyDescent="0.25">
      <c r="B34" s="71" t="str">
        <f>VLOOKUP(F34,[1]NUTS_Europa!$A$2:$C$81,2,FALSE)</f>
        <v>FRJ1</v>
      </c>
      <c r="C34" s="71">
        <f>VLOOKUP(F34,[1]NUTS_Europa!$A$2:$C$81,3,FALSE)</f>
        <v>1063</v>
      </c>
      <c r="D34" s="71" t="str">
        <f>VLOOKUP(G34,[1]NUTS_Europa!$A$2:$C$81,2,FALSE)</f>
        <v>PT17</v>
      </c>
      <c r="E34" s="71">
        <f>VLOOKUP(G34,[1]NUTS_Europa!$A$2:$C$81,3,FALSE)</f>
        <v>294</v>
      </c>
      <c r="F34" s="71">
        <v>26</v>
      </c>
      <c r="G34" s="71">
        <v>39</v>
      </c>
      <c r="H34" s="71">
        <v>1689922.0173776895</v>
      </c>
      <c r="I34" s="71">
        <v>5400433.9142925264</v>
      </c>
      <c r="J34" s="71">
        <v>137713.62258431225</v>
      </c>
      <c r="K34" s="71">
        <v>38.037383177570099</v>
      </c>
      <c r="L34" s="71">
        <v>10.091732412431021</v>
      </c>
      <c r="M34" s="71">
        <v>15.0647215149215</v>
      </c>
      <c r="N34" s="71">
        <v>3201.9684466753083</v>
      </c>
    </row>
    <row r="35" spans="2:14" s="71" customFormat="1" x14ac:dyDescent="0.25">
      <c r="B35" s="71" t="str">
        <f>VLOOKUP(F35,[1]NUTS_Europa!$A$2:$C$81,2,FALSE)</f>
        <v>FRF2</v>
      </c>
      <c r="C35" s="71">
        <f>VLOOKUP(F35,[1]NUTS_Europa!$A$2:$C$81,3,FALSE)</f>
        <v>269</v>
      </c>
      <c r="D35" s="71" t="str">
        <f>VLOOKUP(G35,[1]NUTS_Europa!$A$2:$C$81,2,FALSE)</f>
        <v>FRJ2</v>
      </c>
      <c r="E35" s="71">
        <f>VLOOKUP(G35,[1]NUTS_Europa!$A$2:$C$81,3,FALSE)</f>
        <v>283</v>
      </c>
      <c r="F35" s="71">
        <v>27</v>
      </c>
      <c r="G35" s="71">
        <v>28</v>
      </c>
      <c r="H35" s="71">
        <v>1817959.768223851</v>
      </c>
      <c r="I35" s="71">
        <v>1254059.0990755495</v>
      </c>
      <c r="J35" s="71">
        <v>176841.96373917855</v>
      </c>
      <c r="K35" s="71">
        <v>21.635514018691591</v>
      </c>
      <c r="L35" s="71">
        <v>7.3044607751724691</v>
      </c>
      <c r="M35" s="71">
        <v>12.574141167230453</v>
      </c>
      <c r="N35" s="71">
        <v>2188.5072142857148</v>
      </c>
    </row>
    <row r="36" spans="2:14" s="71" customFormat="1" x14ac:dyDescent="0.25">
      <c r="B36" s="71" t="str">
        <f>VLOOKUP(F36,[1]NUTS_Europa!$A$2:$C$81,2,FALSE)</f>
        <v>FRF2</v>
      </c>
      <c r="C36" s="71">
        <f>VLOOKUP(F36,[1]NUTS_Europa!$A$2:$C$81,3,FALSE)</f>
        <v>269</v>
      </c>
      <c r="D36" s="71" t="str">
        <f>VLOOKUP(G36,[1]NUTS_Europa!$A$2:$C$81,2,FALSE)</f>
        <v>FRG0</v>
      </c>
      <c r="E36" s="71">
        <f>VLOOKUP(G36,[1]NUTS_Europa!$A$2:$C$81,3,FALSE)</f>
        <v>283</v>
      </c>
      <c r="F36" s="71">
        <v>27</v>
      </c>
      <c r="G36" s="71">
        <v>62</v>
      </c>
      <c r="H36" s="71">
        <v>1306474.9931442796</v>
      </c>
      <c r="I36" s="71">
        <v>1254059.0990755495</v>
      </c>
      <c r="J36" s="71">
        <v>141512.315270936</v>
      </c>
      <c r="K36" s="71">
        <v>21.635514018691591</v>
      </c>
      <c r="L36" s="71">
        <v>7.3044607751724691</v>
      </c>
      <c r="M36" s="71">
        <v>12.574141167230453</v>
      </c>
      <c r="N36" s="71">
        <v>2188.5072142857148</v>
      </c>
    </row>
    <row r="37" spans="2:14" s="71" customFormat="1" x14ac:dyDescent="0.25">
      <c r="B37" s="71" t="str">
        <f>VLOOKUP(F37,[1]NUTS_Europa!$A$2:$C$81,2,FALSE)</f>
        <v>FRI2</v>
      </c>
      <c r="C37" s="71">
        <f>VLOOKUP(F37,[1]NUTS_Europa!$A$2:$C$81,3,FALSE)</f>
        <v>269</v>
      </c>
      <c r="D37" s="71" t="str">
        <f>VLOOKUP(G37,[1]NUTS_Europa!$A$2:$C$81,2,FALSE)</f>
        <v>NL12</v>
      </c>
      <c r="E37" s="71">
        <f>VLOOKUP(G37,[1]NUTS_Europa!$A$2:$C$81,3,FALSE)</f>
        <v>218</v>
      </c>
      <c r="F37" s="71">
        <v>29</v>
      </c>
      <c r="G37" s="71">
        <v>31</v>
      </c>
      <c r="H37" s="71">
        <v>2392088.1361974189</v>
      </c>
      <c r="I37" s="71">
        <v>1244454.1589280269</v>
      </c>
      <c r="J37" s="71">
        <v>154854.30087154222</v>
      </c>
      <c r="K37" s="71">
        <v>12.850467289719626</v>
      </c>
      <c r="L37" s="71">
        <v>6.7078166675293174</v>
      </c>
      <c r="M37" s="71">
        <v>26.101770317372409</v>
      </c>
      <c r="N37" s="71">
        <v>4963.1764433597036</v>
      </c>
    </row>
    <row r="38" spans="2:14" s="71" customFormat="1" x14ac:dyDescent="0.25">
      <c r="B38" s="71" t="str">
        <f>VLOOKUP(F38,[1]NUTS_Europa!$A$2:$C$81,2,FALSE)</f>
        <v>FRI2</v>
      </c>
      <c r="C38" s="71">
        <f>VLOOKUP(F38,[1]NUTS_Europa!$A$2:$C$81,3,FALSE)</f>
        <v>269</v>
      </c>
      <c r="D38" s="71" t="str">
        <f>VLOOKUP(G38,[1]NUTS_Europa!$A$2:$C$81,2,FALSE)</f>
        <v>FRG0</v>
      </c>
      <c r="E38" s="71">
        <f>VLOOKUP(G38,[1]NUTS_Europa!$A$2:$C$81,3,FALSE)</f>
        <v>283</v>
      </c>
      <c r="F38" s="71">
        <v>29</v>
      </c>
      <c r="G38" s="71">
        <v>62</v>
      </c>
      <c r="H38" s="71">
        <v>1317969.0330337081</v>
      </c>
      <c r="I38" s="71">
        <v>1254059.0990755495</v>
      </c>
      <c r="J38" s="71">
        <v>118487.95435333898</v>
      </c>
      <c r="K38" s="71">
        <v>21.635514018691591</v>
      </c>
      <c r="L38" s="71">
        <v>7.3044607751724691</v>
      </c>
      <c r="M38" s="71">
        <v>12.574141167230453</v>
      </c>
      <c r="N38" s="71">
        <v>2188.5072142857148</v>
      </c>
    </row>
    <row r="39" spans="2:14" s="71" customFormat="1" x14ac:dyDescent="0.25">
      <c r="B39" s="71" t="str">
        <f>VLOOKUP(F39,[1]NUTS_Europa!$A$2:$C$81,2,FALSE)</f>
        <v>NL11</v>
      </c>
      <c r="C39" s="71">
        <f>VLOOKUP(F39,[1]NUTS_Europa!$A$2:$C$81,3,FALSE)</f>
        <v>245</v>
      </c>
      <c r="D39" s="71" t="str">
        <f>VLOOKUP(G39,[1]NUTS_Europa!$A$2:$C$81,2,FALSE)</f>
        <v>FRI1</v>
      </c>
      <c r="E39" s="71">
        <f>VLOOKUP(G39,[1]NUTS_Europa!$A$2:$C$81,3,FALSE)</f>
        <v>275</v>
      </c>
      <c r="F39" s="71">
        <v>30</v>
      </c>
      <c r="G39" s="71">
        <v>64</v>
      </c>
      <c r="H39" s="71">
        <v>849870.63111685263</v>
      </c>
      <c r="I39" s="71">
        <v>9122022.6613506768</v>
      </c>
      <c r="J39" s="71">
        <v>114346.85142443764</v>
      </c>
      <c r="K39" s="71">
        <v>55.607476635514026</v>
      </c>
      <c r="L39" s="71">
        <v>13.498359446227013</v>
      </c>
      <c r="M39" s="71">
        <v>1.2855736295433431</v>
      </c>
      <c r="N39" s="71">
        <v>200.35778175313061</v>
      </c>
    </row>
    <row r="40" spans="2:14" s="71" customFormat="1" x14ac:dyDescent="0.25">
      <c r="B40" s="71" t="str">
        <f>VLOOKUP(F40,[1]NUTS_Europa!$A$2:$C$81,2,FALSE)</f>
        <v>NL11</v>
      </c>
      <c r="C40" s="71">
        <f>VLOOKUP(F40,[1]NUTS_Europa!$A$2:$C$81,3,FALSE)</f>
        <v>245</v>
      </c>
      <c r="D40" s="71" t="str">
        <f>VLOOKUP(G40,[1]NUTS_Europa!$A$2:$C$81,2,FALSE)</f>
        <v>FRI2</v>
      </c>
      <c r="E40" s="71">
        <f>VLOOKUP(G40,[1]NUTS_Europa!$A$2:$C$81,3,FALSE)</f>
        <v>275</v>
      </c>
      <c r="F40" s="71">
        <v>30</v>
      </c>
      <c r="G40" s="71">
        <v>69</v>
      </c>
      <c r="H40" s="71">
        <v>815145.4218145269</v>
      </c>
      <c r="I40" s="71">
        <v>9122022.6613506768</v>
      </c>
      <c r="J40" s="71">
        <v>145277.79316174539</v>
      </c>
      <c r="K40" s="71">
        <v>55.607476635514026</v>
      </c>
      <c r="L40" s="71">
        <v>13.498359446227013</v>
      </c>
      <c r="M40" s="71">
        <v>1.2855736295433431</v>
      </c>
      <c r="N40" s="71">
        <v>200.35778175313061</v>
      </c>
    </row>
    <row r="41" spans="2:14" s="71" customFormat="1" x14ac:dyDescent="0.25">
      <c r="B41" s="71" t="str">
        <f>VLOOKUP(F41,[1]NUTS_Europa!$A$2:$C$81,2,FALSE)</f>
        <v>NL33</v>
      </c>
      <c r="C41" s="71">
        <f>VLOOKUP(F41,[1]NUTS_Europa!$A$2:$C$81,3,FALSE)</f>
        <v>250</v>
      </c>
      <c r="D41" s="71" t="str">
        <f>VLOOKUP(G41,[1]NUTS_Europa!$A$2:$C$81,2,FALSE)</f>
        <v>PT15</v>
      </c>
      <c r="E41" s="71">
        <f>VLOOKUP(G41,[1]NUTS_Europa!$A$2:$C$81,3,FALSE)</f>
        <v>1065</v>
      </c>
      <c r="F41" s="71">
        <v>33</v>
      </c>
      <c r="G41" s="71">
        <v>37</v>
      </c>
      <c r="H41" s="71">
        <v>2836134.4993031924</v>
      </c>
      <c r="I41" s="71">
        <v>2010739.7989157946</v>
      </c>
      <c r="J41" s="71">
        <v>114346.85142443764</v>
      </c>
      <c r="K41" s="71">
        <v>54.47476635514019</v>
      </c>
      <c r="L41" s="71">
        <v>15.851868880231734</v>
      </c>
      <c r="M41" s="71">
        <v>40.700354496724465</v>
      </c>
      <c r="N41" s="71">
        <v>7319.4038535191366</v>
      </c>
    </row>
    <row r="42" spans="2:14" s="71" customFormat="1" x14ac:dyDescent="0.25">
      <c r="B42" s="71" t="str">
        <f>VLOOKUP(F42,[1]NUTS_Europa!$A$2:$C$81,2,FALSE)</f>
        <v>NL33</v>
      </c>
      <c r="C42" s="71">
        <f>VLOOKUP(F42,[1]NUTS_Europa!$A$2:$C$81,3,FALSE)</f>
        <v>250</v>
      </c>
      <c r="D42" s="71" t="str">
        <f>VLOOKUP(G42,[1]NUTS_Europa!$A$2:$C$81,2,FALSE)</f>
        <v>NL11</v>
      </c>
      <c r="E42" s="71">
        <f>VLOOKUP(G42,[1]NUTS_Europa!$A$2:$C$81,3,FALSE)</f>
        <v>218</v>
      </c>
      <c r="F42" s="71">
        <v>33</v>
      </c>
      <c r="G42" s="71">
        <v>70</v>
      </c>
      <c r="H42" s="71">
        <v>1779869.6319379453</v>
      </c>
      <c r="I42" s="71">
        <v>1217472.5725670783</v>
      </c>
      <c r="J42" s="71">
        <v>135416.16142478216</v>
      </c>
      <c r="K42" s="71">
        <v>3.1775700934579443</v>
      </c>
      <c r="L42" s="71">
        <v>12.859351990145434</v>
      </c>
      <c r="M42" s="71">
        <v>26.101770317372409</v>
      </c>
      <c r="N42" s="71">
        <v>4963.1764433597036</v>
      </c>
    </row>
    <row r="43" spans="2:14" s="71" customFormat="1" x14ac:dyDescent="0.25">
      <c r="B43" s="71" t="str">
        <f>VLOOKUP(F43,[1]NUTS_Europa!$A$2:$C$81,2,FALSE)</f>
        <v>NL34</v>
      </c>
      <c r="C43" s="71">
        <f>VLOOKUP(F43,[1]NUTS_Europa!$A$2:$C$81,3,FALSE)</f>
        <v>250</v>
      </c>
      <c r="D43" s="71" t="str">
        <f>VLOOKUP(G43,[1]NUTS_Europa!$A$2:$C$81,2,FALSE)</f>
        <v>PT11</v>
      </c>
      <c r="E43" s="71">
        <f>VLOOKUP(G43,[1]NUTS_Europa!$A$2:$C$81,3,FALSE)</f>
        <v>111</v>
      </c>
      <c r="F43" s="71">
        <v>34</v>
      </c>
      <c r="G43" s="71">
        <v>36</v>
      </c>
      <c r="H43" s="71">
        <v>1276270.4571603141</v>
      </c>
      <c r="I43" s="71">
        <v>1784482.4523999153</v>
      </c>
      <c r="J43" s="71">
        <v>176841.96373917855</v>
      </c>
      <c r="K43" s="71">
        <v>45.038317757009352</v>
      </c>
      <c r="L43" s="71">
        <v>13.743301107956562</v>
      </c>
      <c r="M43" s="71">
        <v>16.233879062411841</v>
      </c>
      <c r="N43" s="71">
        <v>2919.4418190274873</v>
      </c>
    </row>
    <row r="44" spans="2:14" s="71" customFormat="1" x14ac:dyDescent="0.25">
      <c r="B44" s="71" t="str">
        <f>VLOOKUP(F44,[1]NUTS_Europa!$A$2:$C$81,2,FALSE)</f>
        <v>NL34</v>
      </c>
      <c r="C44" s="71">
        <f>VLOOKUP(F44,[1]NUTS_Europa!$A$2:$C$81,3,FALSE)</f>
        <v>250</v>
      </c>
      <c r="D44" s="71" t="str">
        <f>VLOOKUP(G44,[1]NUTS_Europa!$A$2:$C$81,2,FALSE)</f>
        <v>PT16</v>
      </c>
      <c r="E44" s="71">
        <f>VLOOKUP(G44,[1]NUTS_Europa!$A$2:$C$81,3,FALSE)</f>
        <v>111</v>
      </c>
      <c r="F44" s="71">
        <v>34</v>
      </c>
      <c r="G44" s="71">
        <v>38</v>
      </c>
      <c r="H44" s="71">
        <v>1180439.7794507367</v>
      </c>
      <c r="I44" s="71">
        <v>1784482.4523999153</v>
      </c>
      <c r="J44" s="71">
        <v>199058.85825050285</v>
      </c>
      <c r="K44" s="71">
        <v>45.038317757009352</v>
      </c>
      <c r="L44" s="71">
        <v>13.743301107956562</v>
      </c>
      <c r="M44" s="71">
        <v>16.233879062411841</v>
      </c>
      <c r="N44" s="71">
        <v>2919.4418190274873</v>
      </c>
    </row>
    <row r="45" spans="2:14" s="71" customFormat="1" x14ac:dyDescent="0.25">
      <c r="B45" s="71" t="str">
        <f>VLOOKUP(F45,[1]NUTS_Europa!$A$2:$C$81,2,FALSE)</f>
        <v>NL41</v>
      </c>
      <c r="C45" s="71">
        <f>VLOOKUP(F45,[1]NUTS_Europa!$A$2:$C$81,3,FALSE)</f>
        <v>253</v>
      </c>
      <c r="D45" s="71" t="str">
        <f>VLOOKUP(G45,[1]NUTS_Europa!$A$2:$C$81,2,FALSE)</f>
        <v>PT16</v>
      </c>
      <c r="E45" s="71">
        <f>VLOOKUP(G45,[1]NUTS_Europa!$A$2:$C$81,3,FALSE)</f>
        <v>111</v>
      </c>
      <c r="F45" s="71">
        <v>35</v>
      </c>
      <c r="G45" s="71">
        <v>38</v>
      </c>
      <c r="H45" s="71">
        <v>897351.62698545959</v>
      </c>
      <c r="I45" s="71">
        <v>1631618.5885152908</v>
      </c>
      <c r="J45" s="71">
        <v>122072.63094995193</v>
      </c>
      <c r="K45" s="71">
        <v>45.088785046728972</v>
      </c>
      <c r="L45" s="71">
        <v>11.029519298873055</v>
      </c>
      <c r="M45" s="71">
        <v>16.233879062411841</v>
      </c>
      <c r="N45" s="71">
        <v>2919.4418190274873</v>
      </c>
    </row>
    <row r="46" spans="2:14" s="71" customFormat="1" x14ac:dyDescent="0.25">
      <c r="B46" s="71" t="str">
        <f>VLOOKUP(F46,[1]NUTS_Europa!$A$2:$C$81,2,FALSE)</f>
        <v>NL41</v>
      </c>
      <c r="C46" s="71">
        <f>VLOOKUP(F46,[1]NUTS_Europa!$A$2:$C$81,3,FALSE)</f>
        <v>253</v>
      </c>
      <c r="D46" s="71" t="str">
        <f>VLOOKUP(G46,[1]NUTS_Europa!$A$2:$C$81,2,FALSE)</f>
        <v>PT18</v>
      </c>
      <c r="E46" s="71">
        <f>VLOOKUP(G46,[1]NUTS_Europa!$A$2:$C$81,3,FALSE)</f>
        <v>1065</v>
      </c>
      <c r="F46" s="71">
        <v>35</v>
      </c>
      <c r="G46" s="71">
        <v>40</v>
      </c>
      <c r="H46" s="71">
        <v>2407020.2975285887</v>
      </c>
      <c r="I46" s="71">
        <v>1834940.1730206239</v>
      </c>
      <c r="J46" s="71">
        <v>120437.35243536306</v>
      </c>
      <c r="K46" s="71">
        <v>54.475093457943935</v>
      </c>
      <c r="L46" s="71">
        <v>13.138087071148227</v>
      </c>
      <c r="M46" s="71">
        <v>40.700354496724465</v>
      </c>
      <c r="N46" s="71">
        <v>7319.4038535191366</v>
      </c>
    </row>
    <row r="47" spans="2:14" s="71" customFormat="1" x14ac:dyDescent="0.25">
      <c r="B47" s="71" t="str">
        <f>VLOOKUP(F47,[1]NUTS_Europa!$A$2:$C$81,2,FALSE)</f>
        <v>BE21</v>
      </c>
      <c r="C47" s="71">
        <f>VLOOKUP(F47,[1]NUTS_Europa!$A$2:$C$81,3,FALSE)</f>
        <v>250</v>
      </c>
      <c r="D47" s="71" t="str">
        <f>VLOOKUP(G47,[1]NUTS_Europa!$A$2:$C$81,2,FALSE)</f>
        <v>FRE1</v>
      </c>
      <c r="E47" s="71">
        <f>VLOOKUP(G47,[1]NUTS_Europa!$A$2:$C$81,3,FALSE)</f>
        <v>235</v>
      </c>
      <c r="F47" s="71">
        <v>41</v>
      </c>
      <c r="G47" s="71">
        <v>61</v>
      </c>
      <c r="H47" s="71">
        <v>614150.40564750833</v>
      </c>
      <c r="I47" s="71">
        <v>1184329.3519409746</v>
      </c>
      <c r="J47" s="71">
        <v>142392.8717171422</v>
      </c>
      <c r="K47" s="71">
        <v>6.5887850467289724</v>
      </c>
      <c r="L47" s="71">
        <v>15.310283670105287</v>
      </c>
      <c r="M47" s="71">
        <v>9.497082724085498</v>
      </c>
      <c r="N47" s="71">
        <v>1705.3756088534108</v>
      </c>
    </row>
    <row r="48" spans="2:14" s="71" customFormat="1" x14ac:dyDescent="0.25">
      <c r="B48" s="71" t="str">
        <f>VLOOKUP(F48,[1]NUTS_Europa!$A$2:$C$81,2,FALSE)</f>
        <v>BE21</v>
      </c>
      <c r="C48" s="71">
        <f>VLOOKUP(F48,[1]NUTS_Europa!$A$2:$C$81,3,FALSE)</f>
        <v>250</v>
      </c>
      <c r="D48" s="71" t="str">
        <f>VLOOKUP(G48,[1]NUTS_Europa!$A$2:$C$81,2,FALSE)</f>
        <v>FRF2</v>
      </c>
      <c r="E48" s="71">
        <f>VLOOKUP(G48,[1]NUTS_Europa!$A$2:$C$81,3,FALSE)</f>
        <v>235</v>
      </c>
      <c r="F48" s="71">
        <v>41</v>
      </c>
      <c r="G48" s="71">
        <v>67</v>
      </c>
      <c r="H48" s="71">
        <v>1170357.2961745611</v>
      </c>
      <c r="I48" s="71">
        <v>1184329.3519409746</v>
      </c>
      <c r="J48" s="71">
        <v>156784.57749147405</v>
      </c>
      <c r="K48" s="71">
        <v>6.5887850467289724</v>
      </c>
      <c r="L48" s="71">
        <v>15.310283670105287</v>
      </c>
      <c r="M48" s="71">
        <v>9.497082724085498</v>
      </c>
      <c r="N48" s="71">
        <v>1705.3756088534108</v>
      </c>
    </row>
    <row r="49" spans="2:14" s="71" customFormat="1" x14ac:dyDescent="0.25">
      <c r="B49" s="71" t="str">
        <f>VLOOKUP(F49,[1]NUTS_Europa!$A$2:$C$81,2,FALSE)</f>
        <v>BE23</v>
      </c>
      <c r="C49" s="71">
        <f>VLOOKUP(F49,[1]NUTS_Europa!$A$2:$C$81,3,FALSE)</f>
        <v>220</v>
      </c>
      <c r="D49" s="71" t="str">
        <f>VLOOKUP(G49,[1]NUTS_Europa!$A$2:$C$81,2,FALSE)</f>
        <v>ES12</v>
      </c>
      <c r="E49" s="71">
        <f>VLOOKUP(G49,[1]NUTS_Europa!$A$2:$C$81,3,FALSE)</f>
        <v>163</v>
      </c>
      <c r="F49" s="71">
        <v>42</v>
      </c>
      <c r="G49" s="71">
        <v>52</v>
      </c>
      <c r="H49" s="71">
        <v>1698976.8070557942</v>
      </c>
      <c r="I49" s="71">
        <v>1435734.00409798</v>
      </c>
      <c r="J49" s="71">
        <v>137713.62258431225</v>
      </c>
      <c r="K49" s="71">
        <v>34.112149532710283</v>
      </c>
      <c r="L49" s="71">
        <v>12.679306053427783</v>
      </c>
      <c r="M49" s="71">
        <v>19.739418074474756</v>
      </c>
      <c r="N49" s="71">
        <v>3374.2629695885503</v>
      </c>
    </row>
    <row r="50" spans="2:14" s="71" customFormat="1" x14ac:dyDescent="0.25">
      <c r="B50" s="71" t="str">
        <f>VLOOKUP(F50,[1]NUTS_Europa!$A$2:$C$81,2,FALSE)</f>
        <v>BE23</v>
      </c>
      <c r="C50" s="71">
        <f>VLOOKUP(F50,[1]NUTS_Europa!$A$2:$C$81,3,FALSE)</f>
        <v>220</v>
      </c>
      <c r="D50" s="71" t="str">
        <f>VLOOKUP(G50,[1]NUTS_Europa!$A$2:$C$81,2,FALSE)</f>
        <v>FRJ2</v>
      </c>
      <c r="E50" s="71">
        <f>VLOOKUP(G50,[1]NUTS_Europa!$A$2:$C$81,3,FALSE)</f>
        <v>163</v>
      </c>
      <c r="F50" s="71">
        <v>42</v>
      </c>
      <c r="G50" s="71">
        <v>68</v>
      </c>
      <c r="H50" s="71">
        <v>2819869.8486604448</v>
      </c>
      <c r="I50" s="71">
        <v>1435734.00409798</v>
      </c>
      <c r="J50" s="71">
        <v>156784.57749147405</v>
      </c>
      <c r="K50" s="71">
        <v>34.112149532710283</v>
      </c>
      <c r="L50" s="71">
        <v>12.679306053427783</v>
      </c>
      <c r="M50" s="71">
        <v>19.739418074474756</v>
      </c>
      <c r="N50" s="71">
        <v>3374.2629695885503</v>
      </c>
    </row>
    <row r="51" spans="2:14" s="71" customFormat="1" x14ac:dyDescent="0.25">
      <c r="B51" s="71" t="str">
        <f>VLOOKUP(F51,[1]NUTS_Europa!$A$2:$C$81,2,FALSE)</f>
        <v>BE25</v>
      </c>
      <c r="C51" s="71">
        <f>VLOOKUP(F51,[1]NUTS_Europa!$A$2:$C$81,3,FALSE)</f>
        <v>220</v>
      </c>
      <c r="D51" s="71" t="str">
        <f>VLOOKUP(G51,[1]NUTS_Europa!$A$2:$C$81,2,FALSE)</f>
        <v>FRD1</v>
      </c>
      <c r="E51" s="71">
        <f>VLOOKUP(G51,[1]NUTS_Europa!$A$2:$C$81,3,FALSE)</f>
        <v>269</v>
      </c>
      <c r="F51" s="71">
        <v>43</v>
      </c>
      <c r="G51" s="71">
        <v>59</v>
      </c>
      <c r="H51" s="71">
        <v>3950648.3135760175</v>
      </c>
      <c r="I51" s="71">
        <v>1063581.4467317988</v>
      </c>
      <c r="J51" s="71">
        <v>199058.85825050285</v>
      </c>
      <c r="K51" s="71">
        <v>8.4574766355140198</v>
      </c>
      <c r="L51" s="71">
        <v>8.2432702345658839</v>
      </c>
      <c r="M51" s="71">
        <v>89.958047032962384</v>
      </c>
      <c r="N51" s="71">
        <v>15377.459749552776</v>
      </c>
    </row>
    <row r="52" spans="2:14" s="71" customFormat="1" x14ac:dyDescent="0.25">
      <c r="B52" s="71" t="str">
        <f>VLOOKUP(F52,[1]NUTS_Europa!$A$2:$C$81,2,FALSE)</f>
        <v>BE25</v>
      </c>
      <c r="C52" s="71">
        <f>VLOOKUP(F52,[1]NUTS_Europa!$A$2:$C$81,3,FALSE)</f>
        <v>220</v>
      </c>
      <c r="D52" s="71" t="str">
        <f>VLOOKUP(G52,[1]NUTS_Europa!$A$2:$C$81,2,FALSE)</f>
        <v>PT18</v>
      </c>
      <c r="E52" s="71">
        <f>VLOOKUP(G52,[1]NUTS_Europa!$A$2:$C$81,3,FALSE)</f>
        <v>61</v>
      </c>
      <c r="F52" s="71">
        <v>43</v>
      </c>
      <c r="G52" s="71">
        <v>80</v>
      </c>
      <c r="H52" s="71">
        <v>13641093.316340309</v>
      </c>
      <c r="I52" s="71">
        <v>1820546.3024560201</v>
      </c>
      <c r="J52" s="71">
        <v>117768.50934211678</v>
      </c>
      <c r="K52" s="71">
        <v>63.255607476635518</v>
      </c>
      <c r="L52" s="71">
        <v>7.9321247209931656</v>
      </c>
      <c r="M52" s="71">
        <v>94.659378032007623</v>
      </c>
      <c r="N52" s="71">
        <v>20275.132014860137</v>
      </c>
    </row>
    <row r="53" spans="2:14" s="71" customFormat="1" x14ac:dyDescent="0.25">
      <c r="B53" s="71" t="str">
        <f>VLOOKUP(F53,[1]NUTS_Europa!$A$2:$C$81,2,FALSE)</f>
        <v>DE50</v>
      </c>
      <c r="C53" s="71">
        <f>VLOOKUP(F53,[1]NUTS_Europa!$A$2:$C$81,3,FALSE)</f>
        <v>1069</v>
      </c>
      <c r="D53" s="71" t="str">
        <f>VLOOKUP(G53,[1]NUTS_Europa!$A$2:$C$81,2,FALSE)</f>
        <v>ES12</v>
      </c>
      <c r="E53" s="71">
        <f>VLOOKUP(G53,[1]NUTS_Europa!$A$2:$C$81,3,FALSE)</f>
        <v>163</v>
      </c>
      <c r="F53" s="71">
        <v>44</v>
      </c>
      <c r="G53" s="71">
        <v>52</v>
      </c>
      <c r="H53" s="71">
        <v>1859505.8500019119</v>
      </c>
      <c r="I53" s="71">
        <v>1689515.9285574164</v>
      </c>
      <c r="J53" s="71">
        <v>120125.80522925351</v>
      </c>
      <c r="K53" s="71">
        <v>48.97429906542056</v>
      </c>
      <c r="L53" s="71">
        <v>11.522119443935621</v>
      </c>
      <c r="M53" s="71">
        <v>18.762962363580304</v>
      </c>
      <c r="N53" s="71">
        <v>3374.2629695885503</v>
      </c>
    </row>
    <row r="54" spans="2:14" s="71" customFormat="1" x14ac:dyDescent="0.25">
      <c r="B54" s="71" t="str">
        <f>VLOOKUP(F54,[1]NUTS_Europa!$A$2:$C$81,2,FALSE)</f>
        <v>DE50</v>
      </c>
      <c r="C54" s="71">
        <f>VLOOKUP(F54,[1]NUTS_Europa!$A$2:$C$81,3,FALSE)</f>
        <v>1069</v>
      </c>
      <c r="D54" s="71" t="str">
        <f>VLOOKUP(G54,[1]NUTS_Europa!$A$2:$C$81,2,FALSE)</f>
        <v>NL11</v>
      </c>
      <c r="E54" s="71">
        <f>VLOOKUP(G54,[1]NUTS_Europa!$A$2:$C$81,3,FALSE)</f>
        <v>218</v>
      </c>
      <c r="F54" s="71">
        <v>44</v>
      </c>
      <c r="G54" s="71">
        <v>70</v>
      </c>
      <c r="H54" s="71">
        <v>2006645.9071620239</v>
      </c>
      <c r="I54" s="71">
        <v>1178914.0554693798</v>
      </c>
      <c r="J54" s="71">
        <v>120437.35243536306</v>
      </c>
      <c r="K54" s="71">
        <v>12.615420560747665</v>
      </c>
      <c r="L54" s="71">
        <v>7.539722996971344</v>
      </c>
      <c r="M54" s="71">
        <v>21.854386986606851</v>
      </c>
      <c r="N54" s="71">
        <v>4963.1764433597036</v>
      </c>
    </row>
    <row r="55" spans="2:14" s="71" customFormat="1" x14ac:dyDescent="0.25">
      <c r="B55" s="71" t="str">
        <f>VLOOKUP(F55,[1]NUTS_Europa!$A$2:$C$81,2,FALSE)</f>
        <v>DE60</v>
      </c>
      <c r="C55" s="71">
        <f>VLOOKUP(F55,[1]NUTS_Europa!$A$2:$C$81,3,FALSE)</f>
        <v>245</v>
      </c>
      <c r="D55" s="71" t="str">
        <f>VLOOKUP(G55,[1]NUTS_Europa!$A$2:$C$81,2,FALSE)</f>
        <v>FRD2</v>
      </c>
      <c r="E55" s="71">
        <f>VLOOKUP(G55,[1]NUTS_Europa!$A$2:$C$81,3,FALSE)</f>
        <v>271</v>
      </c>
      <c r="F55" s="71">
        <v>45</v>
      </c>
      <c r="G55" s="71">
        <v>60</v>
      </c>
      <c r="H55" s="71">
        <v>1273426.4174798925</v>
      </c>
      <c r="I55" s="71">
        <v>10476734.794607785</v>
      </c>
      <c r="J55" s="71">
        <v>141734.02658349604</v>
      </c>
      <c r="K55" s="71">
        <v>130.70093457943926</v>
      </c>
      <c r="L55" s="71">
        <v>13.764506390365943</v>
      </c>
      <c r="M55" s="71">
        <v>2.1529822967369752</v>
      </c>
      <c r="N55" s="71">
        <v>335.54418604651164</v>
      </c>
    </row>
    <row r="56" spans="2:14" s="71" customFormat="1" x14ac:dyDescent="0.25">
      <c r="B56" s="71" t="str">
        <f>VLOOKUP(F56,[1]NUTS_Europa!$A$2:$C$81,2,FALSE)</f>
        <v>DE60</v>
      </c>
      <c r="C56" s="71">
        <f>VLOOKUP(F56,[1]NUTS_Europa!$A$2:$C$81,3,FALSE)</f>
        <v>245</v>
      </c>
      <c r="D56" s="71" t="str">
        <f>VLOOKUP(G56,[1]NUTS_Europa!$A$2:$C$81,2,FALSE)</f>
        <v>FRH0</v>
      </c>
      <c r="E56" s="71">
        <f>VLOOKUP(G56,[1]NUTS_Europa!$A$2:$C$81,3,FALSE)</f>
        <v>282</v>
      </c>
      <c r="F56" s="71">
        <v>45</v>
      </c>
      <c r="G56" s="71">
        <v>63</v>
      </c>
      <c r="H56" s="71">
        <v>3129999.1254842272</v>
      </c>
      <c r="I56" s="71">
        <v>8800362.9619925246</v>
      </c>
      <c r="J56" s="71">
        <v>145277.79316174539</v>
      </c>
      <c r="K56" s="71">
        <v>41.405140186915894</v>
      </c>
      <c r="L56" s="71">
        <v>13.290365762324075</v>
      </c>
      <c r="M56" s="71">
        <v>5.0584429781864078</v>
      </c>
      <c r="N56" s="71">
        <v>788.36279069767454</v>
      </c>
    </row>
    <row r="57" spans="2:14" s="71" customFormat="1" x14ac:dyDescent="0.25">
      <c r="B57" s="71" t="str">
        <f>VLOOKUP(F57,[1]NUTS_Europa!$A$2:$C$81,2,FALSE)</f>
        <v>DE80</v>
      </c>
      <c r="C57" s="71">
        <f>VLOOKUP(F57,[1]NUTS_Europa!$A$2:$C$81,3,FALSE)</f>
        <v>245</v>
      </c>
      <c r="D57" s="71" t="str">
        <f>VLOOKUP(G57,[1]NUTS_Europa!$A$2:$C$81,2,FALSE)</f>
        <v>ES11</v>
      </c>
      <c r="E57" s="71">
        <f>VLOOKUP(G57,[1]NUTS_Europa!$A$2:$C$81,3,FALSE)</f>
        <v>285</v>
      </c>
      <c r="F57" s="71">
        <v>46</v>
      </c>
      <c r="G57" s="71">
        <v>51</v>
      </c>
      <c r="H57" s="71">
        <v>59259.211635068961</v>
      </c>
      <c r="I57" s="71">
        <v>9657494.4773496315</v>
      </c>
      <c r="J57" s="71">
        <v>127001.21695280854</v>
      </c>
      <c r="K57" s="71">
        <v>47.006542056074771</v>
      </c>
      <c r="L57" s="71">
        <v>14.686536090780193</v>
      </c>
      <c r="M57" s="71">
        <v>8.6798247044985843E-2</v>
      </c>
      <c r="N57" s="71">
        <v>15.60948133635801</v>
      </c>
    </row>
    <row r="58" spans="2:14" s="71" customFormat="1" x14ac:dyDescent="0.25">
      <c r="B58" s="71" t="str">
        <f>VLOOKUP(F58,[1]NUTS_Europa!$A$2:$C$81,2,FALSE)</f>
        <v>DE80</v>
      </c>
      <c r="C58" s="71">
        <f>VLOOKUP(F58,[1]NUTS_Europa!$A$2:$C$81,3,FALSE)</f>
        <v>245</v>
      </c>
      <c r="D58" s="71" t="str">
        <f>VLOOKUP(G58,[1]NUTS_Europa!$A$2:$C$81,2,FALSE)</f>
        <v>ES13</v>
      </c>
      <c r="E58" s="71">
        <f>VLOOKUP(G58,[1]NUTS_Europa!$A$2:$C$81,3,FALSE)</f>
        <v>285</v>
      </c>
      <c r="F58" s="71">
        <v>46</v>
      </c>
      <c r="G58" s="71">
        <v>53</v>
      </c>
      <c r="H58" s="71">
        <v>66002.148554304891</v>
      </c>
      <c r="I58" s="71">
        <v>9657494.4773496315</v>
      </c>
      <c r="J58" s="71">
        <v>117768.50934211678</v>
      </c>
      <c r="K58" s="71">
        <v>47.006542056074771</v>
      </c>
      <c r="L58" s="71">
        <v>14.686536090780193</v>
      </c>
      <c r="M58" s="71">
        <v>8.6798247044985843E-2</v>
      </c>
      <c r="N58" s="71">
        <v>15.60948133635801</v>
      </c>
    </row>
    <row r="59" spans="2:14" s="71" customFormat="1" x14ac:dyDescent="0.25">
      <c r="B59" s="71" t="str">
        <f>VLOOKUP(F59,[1]NUTS_Europa!$A$2:$C$81,2,FALSE)</f>
        <v>DE93</v>
      </c>
      <c r="C59" s="71">
        <f>VLOOKUP(F59,[1]NUTS_Europa!$A$2:$C$81,3,FALSE)</f>
        <v>245</v>
      </c>
      <c r="D59" s="71" t="str">
        <f>VLOOKUP(G59,[1]NUTS_Europa!$A$2:$C$81,2,FALSE)</f>
        <v>FRI1</v>
      </c>
      <c r="E59" s="71">
        <f>VLOOKUP(G59,[1]NUTS_Europa!$A$2:$C$81,3,FALSE)</f>
        <v>275</v>
      </c>
      <c r="F59" s="71">
        <v>47</v>
      </c>
      <c r="G59" s="71">
        <v>64</v>
      </c>
      <c r="H59" s="71">
        <v>851975.1892563873</v>
      </c>
      <c r="I59" s="71">
        <v>9122022.6613506768</v>
      </c>
      <c r="J59" s="71">
        <v>154854.30087154222</v>
      </c>
      <c r="K59" s="71">
        <v>55.607476635514026</v>
      </c>
      <c r="L59" s="71">
        <v>13.498359446227013</v>
      </c>
      <c r="M59" s="71">
        <v>1.2855736295433431</v>
      </c>
      <c r="N59" s="71">
        <v>200.35778175313061</v>
      </c>
    </row>
    <row r="60" spans="2:14" s="71" customFormat="1" x14ac:dyDescent="0.25">
      <c r="B60" s="71" t="str">
        <f>VLOOKUP(F60,[1]NUTS_Europa!$A$2:$C$81,2,FALSE)</f>
        <v>DE93</v>
      </c>
      <c r="C60" s="71">
        <f>VLOOKUP(F60,[1]NUTS_Europa!$A$2:$C$81,3,FALSE)</f>
        <v>245</v>
      </c>
      <c r="D60" s="71" t="str">
        <f>VLOOKUP(G60,[1]NUTS_Europa!$A$2:$C$81,2,FALSE)</f>
        <v>FRI2</v>
      </c>
      <c r="E60" s="71">
        <f>VLOOKUP(G60,[1]NUTS_Europa!$A$2:$C$81,3,FALSE)</f>
        <v>275</v>
      </c>
      <c r="F60" s="71">
        <v>47</v>
      </c>
      <c r="G60" s="71">
        <v>69</v>
      </c>
      <c r="H60" s="71">
        <v>817249.9799540618</v>
      </c>
      <c r="I60" s="71">
        <v>9122022.6613506768</v>
      </c>
      <c r="J60" s="71">
        <v>114346.85142443764</v>
      </c>
      <c r="K60" s="71">
        <v>55.607476635514026</v>
      </c>
      <c r="L60" s="71">
        <v>13.498359446227013</v>
      </c>
      <c r="M60" s="71">
        <v>1.2855736295433431</v>
      </c>
      <c r="N60" s="71">
        <v>200.35778175313061</v>
      </c>
    </row>
    <row r="61" spans="2:14" s="71" customFormat="1" x14ac:dyDescent="0.25">
      <c r="B61" s="71" t="str">
        <f>VLOOKUP(F61,[1]NUTS_Europa!$A$2:$C$81,2,FALSE)</f>
        <v>DE94</v>
      </c>
      <c r="C61" s="71">
        <f>VLOOKUP(F61,[1]NUTS_Europa!$A$2:$C$81,3,FALSE)</f>
        <v>1069</v>
      </c>
      <c r="D61" s="71" t="str">
        <f>VLOOKUP(G61,[1]NUTS_Europa!$A$2:$C$81,2,FALSE)</f>
        <v>FRE1</v>
      </c>
      <c r="E61" s="71">
        <f>VLOOKUP(G61,[1]NUTS_Europa!$A$2:$C$81,3,FALSE)</f>
        <v>235</v>
      </c>
      <c r="F61" s="71">
        <v>48</v>
      </c>
      <c r="G61" s="71">
        <v>61</v>
      </c>
      <c r="H61" s="71">
        <v>640350.16740627377</v>
      </c>
      <c r="I61" s="71">
        <v>1174175.9958005606</v>
      </c>
      <c r="J61" s="71">
        <v>507158.32774652442</v>
      </c>
      <c r="K61" s="71">
        <v>19.049532710280378</v>
      </c>
      <c r="L61" s="71">
        <v>9.9906546769311966</v>
      </c>
      <c r="M61" s="71">
        <v>8.0376576932810515</v>
      </c>
      <c r="N61" s="71">
        <v>1705.3756088534108</v>
      </c>
    </row>
    <row r="62" spans="2:14" s="71" customFormat="1" x14ac:dyDescent="0.25">
      <c r="B62" s="71" t="str">
        <f>VLOOKUP(F62,[1]NUTS_Europa!$A$2:$C$81,2,FALSE)</f>
        <v>DE94</v>
      </c>
      <c r="C62" s="71">
        <f>VLOOKUP(F62,[1]NUTS_Europa!$A$2:$C$81,3,FALSE)</f>
        <v>1069</v>
      </c>
      <c r="D62" s="71" t="str">
        <f>VLOOKUP(G62,[1]NUTS_Europa!$A$2:$C$81,2,FALSE)</f>
        <v>FRF2</v>
      </c>
      <c r="E62" s="71">
        <f>VLOOKUP(G62,[1]NUTS_Europa!$A$2:$C$81,3,FALSE)</f>
        <v>235</v>
      </c>
      <c r="F62" s="71">
        <v>48</v>
      </c>
      <c r="G62" s="71">
        <v>67</v>
      </c>
      <c r="H62" s="71">
        <v>1196557.0579333266</v>
      </c>
      <c r="I62" s="71">
        <v>1174175.9958005606</v>
      </c>
      <c r="J62" s="71">
        <v>126450.71705482846</v>
      </c>
      <c r="K62" s="71">
        <v>19.049532710280378</v>
      </c>
      <c r="L62" s="71">
        <v>9.9906546769311966</v>
      </c>
      <c r="M62" s="71">
        <v>8.0376576932810515</v>
      </c>
      <c r="N62" s="71">
        <v>1705.3756088534108</v>
      </c>
    </row>
    <row r="63" spans="2:14" s="71" customFormat="1" x14ac:dyDescent="0.25">
      <c r="B63" s="71" t="str">
        <f>VLOOKUP(F63,[1]NUTS_Europa!$A$2:$C$81,2,FALSE)</f>
        <v>DEA1</v>
      </c>
      <c r="C63" s="71">
        <f>VLOOKUP(F63,[1]NUTS_Europa!$A$2:$C$81,3,FALSE)</f>
        <v>245</v>
      </c>
      <c r="D63" s="71" t="str">
        <f>VLOOKUP(G63,[1]NUTS_Europa!$A$2:$C$81,2,FALSE)</f>
        <v>ES11</v>
      </c>
      <c r="E63" s="71">
        <f>VLOOKUP(G63,[1]NUTS_Europa!$A$2:$C$81,3,FALSE)</f>
        <v>285</v>
      </c>
      <c r="F63" s="71">
        <v>49</v>
      </c>
      <c r="G63" s="71">
        <v>51</v>
      </c>
      <c r="H63" s="71">
        <v>58049.991944385321</v>
      </c>
      <c r="I63" s="71">
        <v>9657494.4773496315</v>
      </c>
      <c r="J63" s="71">
        <v>176841.96373917855</v>
      </c>
      <c r="K63" s="71">
        <v>47.006542056074771</v>
      </c>
      <c r="L63" s="71">
        <v>14.686536090780193</v>
      </c>
      <c r="M63" s="71">
        <v>8.6798247044985843E-2</v>
      </c>
      <c r="N63" s="71">
        <v>15.60948133635801</v>
      </c>
    </row>
    <row r="64" spans="2:14" s="71" customFormat="1" x14ac:dyDescent="0.25">
      <c r="B64" s="71" t="str">
        <f>VLOOKUP(F64,[1]NUTS_Europa!$A$2:$C$81,2,FALSE)</f>
        <v>DEA1</v>
      </c>
      <c r="C64" s="71">
        <f>VLOOKUP(F64,[1]NUTS_Europa!$A$2:$C$81,3,FALSE)</f>
        <v>245</v>
      </c>
      <c r="D64" s="71" t="str">
        <f>VLOOKUP(G64,[1]NUTS_Europa!$A$2:$C$81,2,FALSE)</f>
        <v>ES13</v>
      </c>
      <c r="E64" s="71">
        <f>VLOOKUP(G64,[1]NUTS_Europa!$A$2:$C$81,3,FALSE)</f>
        <v>285</v>
      </c>
      <c r="F64" s="71">
        <v>49</v>
      </c>
      <c r="G64" s="71">
        <v>53</v>
      </c>
      <c r="H64" s="71">
        <v>64792.928863621244</v>
      </c>
      <c r="I64" s="71">
        <v>9657494.4773496315</v>
      </c>
      <c r="J64" s="71">
        <v>199058.85825050285</v>
      </c>
      <c r="K64" s="71">
        <v>47.006542056074771</v>
      </c>
      <c r="L64" s="71">
        <v>14.686536090780193</v>
      </c>
      <c r="M64" s="71">
        <v>8.6798247044985843E-2</v>
      </c>
      <c r="N64" s="71">
        <v>15.60948133635801</v>
      </c>
    </row>
    <row r="65" spans="2:14" s="71" customFormat="1" x14ac:dyDescent="0.25">
      <c r="B65" s="71" t="str">
        <f>VLOOKUP(F65,[1]NUTS_Europa!$A$2:$C$81,2,FALSE)</f>
        <v>DEF0</v>
      </c>
      <c r="C65" s="71">
        <f>VLOOKUP(F65,[1]NUTS_Europa!$A$2:$C$81,3,FALSE)</f>
        <v>245</v>
      </c>
      <c r="D65" s="71" t="str">
        <f>VLOOKUP(G65,[1]NUTS_Europa!$A$2:$C$81,2,FALSE)</f>
        <v>FRH0</v>
      </c>
      <c r="E65" s="71">
        <f>VLOOKUP(G65,[1]NUTS_Europa!$A$2:$C$81,3,FALSE)</f>
        <v>282</v>
      </c>
      <c r="F65" s="71">
        <v>50</v>
      </c>
      <c r="G65" s="71">
        <v>63</v>
      </c>
      <c r="H65" s="71">
        <v>3089629.4320609714</v>
      </c>
      <c r="I65" s="71">
        <v>8800362.9619925246</v>
      </c>
      <c r="J65" s="71">
        <v>145035.59769143321</v>
      </c>
      <c r="K65" s="71">
        <v>41.405140186915894</v>
      </c>
      <c r="L65" s="71">
        <v>13.290365762324075</v>
      </c>
      <c r="M65" s="71">
        <v>5.0584429781864078</v>
      </c>
      <c r="N65" s="71">
        <v>788.36279069767454</v>
      </c>
    </row>
    <row r="66" spans="2:14" s="71" customFormat="1" x14ac:dyDescent="0.25">
      <c r="B66" s="71" t="str">
        <f>VLOOKUP(F66,[1]NUTS_Europa!$A$2:$C$81,2,FALSE)</f>
        <v>DEF0</v>
      </c>
      <c r="C66" s="71">
        <f>VLOOKUP(F66,[1]NUTS_Europa!$A$2:$C$81,3,FALSE)</f>
        <v>245</v>
      </c>
      <c r="D66" s="71" t="str">
        <f>VLOOKUP(G66,[1]NUTS_Europa!$A$2:$C$81,2,FALSE)</f>
        <v>FRI3</v>
      </c>
      <c r="E66" s="71">
        <f>VLOOKUP(G66,[1]NUTS_Europa!$A$2:$C$81,3,FALSE)</f>
        <v>282</v>
      </c>
      <c r="F66" s="71">
        <v>50</v>
      </c>
      <c r="G66" s="71">
        <v>65</v>
      </c>
      <c r="H66" s="71">
        <v>3235581.4005912035</v>
      </c>
      <c r="I66" s="71">
        <v>8800362.9619925246</v>
      </c>
      <c r="J66" s="71">
        <v>191087.21980936834</v>
      </c>
      <c r="K66" s="71">
        <v>41.405140186915894</v>
      </c>
      <c r="L66" s="71">
        <v>13.290365762324075</v>
      </c>
      <c r="M66" s="71">
        <v>5.0584429781864078</v>
      </c>
      <c r="N66" s="71">
        <v>788.36279069767454</v>
      </c>
    </row>
    <row r="67" spans="2:14" s="71" customFormat="1" x14ac:dyDescent="0.25">
      <c r="B67" s="71" t="str">
        <f>VLOOKUP(F67,[1]NUTS_Europa!$A$2:$C$81,2,FALSE)</f>
        <v>ES21</v>
      </c>
      <c r="C67" s="71">
        <f>VLOOKUP(F67,[1]NUTS_Europa!$A$2:$C$81,3,FALSE)</f>
        <v>1063</v>
      </c>
      <c r="D67" s="71" t="str">
        <f>VLOOKUP(G67,[1]NUTS_Europa!$A$2:$C$81,2,FALSE)</f>
        <v>ES61</v>
      </c>
      <c r="E67" s="71">
        <f>VLOOKUP(G67,[1]NUTS_Europa!$A$2:$C$81,3,FALSE)</f>
        <v>297</v>
      </c>
      <c r="F67" s="71">
        <v>54</v>
      </c>
      <c r="G67" s="71">
        <v>57</v>
      </c>
      <c r="H67" s="71">
        <v>1163464.9114759986</v>
      </c>
      <c r="I67" s="71">
        <v>5200802.0311465589</v>
      </c>
      <c r="J67" s="71">
        <v>199597.7643046609</v>
      </c>
      <c r="K67" s="71">
        <v>27.383177570093459</v>
      </c>
      <c r="L67" s="71">
        <v>9.9752730791799635</v>
      </c>
      <c r="M67" s="71">
        <v>4.6411041513506479</v>
      </c>
      <c r="N67" s="71">
        <v>986.45494612291202</v>
      </c>
    </row>
    <row r="68" spans="2:14" s="71" customFormat="1" x14ac:dyDescent="0.25">
      <c r="B68" s="71" t="str">
        <f>VLOOKUP(F68,[1]NUTS_Europa!$A$2:$C$81,2,FALSE)</f>
        <v>ES21</v>
      </c>
      <c r="C68" s="71">
        <f>VLOOKUP(F68,[1]NUTS_Europa!$A$2:$C$81,3,FALSE)</f>
        <v>1063</v>
      </c>
      <c r="D68" s="71" t="str">
        <f>VLOOKUP(G68,[1]NUTS_Europa!$A$2:$C$81,2,FALSE)</f>
        <v>FRD2</v>
      </c>
      <c r="E68" s="71">
        <f>VLOOKUP(G68,[1]NUTS_Europa!$A$2:$C$81,3,FALSE)</f>
        <v>271</v>
      </c>
      <c r="F68" s="71">
        <v>54</v>
      </c>
      <c r="G68" s="71">
        <v>60</v>
      </c>
      <c r="H68" s="71">
        <v>293019.68951325573</v>
      </c>
      <c r="I68" s="71">
        <v>6047344.1729399078</v>
      </c>
      <c r="J68" s="71">
        <v>159445.52860932166</v>
      </c>
      <c r="K68" s="71">
        <v>77.990654205607484</v>
      </c>
      <c r="L68" s="71">
        <v>11.516961814985253</v>
      </c>
      <c r="M68" s="71">
        <v>1.8658305505088066</v>
      </c>
      <c r="N68" s="71">
        <v>335.54418604651164</v>
      </c>
    </row>
    <row r="69" spans="2:14" s="71" customFormat="1" x14ac:dyDescent="0.25">
      <c r="B69" s="71" t="str">
        <f>VLOOKUP(F69,[1]NUTS_Europa!$A$2:$C$81,2,FALSE)</f>
        <v>ES51</v>
      </c>
      <c r="C69" s="71">
        <f>VLOOKUP(F69,[1]NUTS_Europa!$A$2:$C$81,3,FALSE)</f>
        <v>1064</v>
      </c>
      <c r="D69" s="71" t="str">
        <f>VLOOKUP(G69,[1]NUTS_Europa!$A$2:$C$81,2,FALSE)</f>
        <v>ES62</v>
      </c>
      <c r="E69" s="71">
        <f>VLOOKUP(G69,[1]NUTS_Europa!$A$2:$C$81,3,FALSE)</f>
        <v>462</v>
      </c>
      <c r="F69" s="71">
        <v>55</v>
      </c>
      <c r="G69" s="71">
        <v>58</v>
      </c>
      <c r="H69" s="71">
        <v>1151714.0266739572</v>
      </c>
      <c r="I69" s="71">
        <v>1091082.9052717998</v>
      </c>
      <c r="J69" s="71">
        <v>114203.52260471623</v>
      </c>
      <c r="K69" s="71">
        <v>15.560747663551403</v>
      </c>
      <c r="L69" s="71">
        <v>8.2429998262552076</v>
      </c>
      <c r="M69" s="71">
        <v>5.0179808337143825</v>
      </c>
      <c r="N69" s="71">
        <v>1066.5591315219633</v>
      </c>
    </row>
    <row r="70" spans="2:14" s="71" customFormat="1" x14ac:dyDescent="0.25">
      <c r="B70" s="71" t="str">
        <f>VLOOKUP(F70,[1]NUTS_Europa!$A$2:$C$81,2,FALSE)</f>
        <v>ES51</v>
      </c>
      <c r="C70" s="71">
        <f>VLOOKUP(F70,[1]NUTS_Europa!$A$2:$C$81,3,FALSE)</f>
        <v>1064</v>
      </c>
      <c r="D70" s="71" t="str">
        <f>VLOOKUP(G70,[1]NUTS_Europa!$A$2:$C$81,2,FALSE)</f>
        <v>FRI3</v>
      </c>
      <c r="E70" s="71">
        <f>VLOOKUP(G70,[1]NUTS_Europa!$A$2:$C$81,3,FALSE)</f>
        <v>282</v>
      </c>
      <c r="F70" s="71">
        <v>55</v>
      </c>
      <c r="G70" s="71">
        <v>65</v>
      </c>
      <c r="H70" s="71">
        <v>703975.62935787789</v>
      </c>
      <c r="I70" s="71">
        <v>1778114.5850286868</v>
      </c>
      <c r="J70" s="71">
        <v>117768.50934211678</v>
      </c>
      <c r="K70" s="71">
        <v>58.739205607476642</v>
      </c>
      <c r="L70" s="71">
        <v>8.2348442856334003</v>
      </c>
      <c r="M70" s="71">
        <v>4.3837784737066023</v>
      </c>
      <c r="N70" s="71">
        <v>788.36279069767454</v>
      </c>
    </row>
    <row r="71" spans="2:14" s="71" customFormat="1" x14ac:dyDescent="0.25">
      <c r="B71" s="71" t="str">
        <f>VLOOKUP(F71,[1]NUTS_Europa!$A$2:$C$81,2,FALSE)</f>
        <v>ES52</v>
      </c>
      <c r="C71" s="71">
        <f>VLOOKUP(F71,[1]NUTS_Europa!$A$2:$C$81,3,FALSE)</f>
        <v>1063</v>
      </c>
      <c r="D71" s="71" t="str">
        <f>VLOOKUP(G71,[1]NUTS_Europa!$A$2:$C$81,2,FALSE)</f>
        <v>ES61</v>
      </c>
      <c r="E71" s="71">
        <f>VLOOKUP(G71,[1]NUTS_Europa!$A$2:$C$81,3,FALSE)</f>
        <v>297</v>
      </c>
      <c r="F71" s="71">
        <v>56</v>
      </c>
      <c r="G71" s="71">
        <v>57</v>
      </c>
      <c r="H71" s="71">
        <v>847432.36747670907</v>
      </c>
      <c r="I71" s="71">
        <v>5200802.0311465589</v>
      </c>
      <c r="J71" s="71">
        <v>176841.96373917855</v>
      </c>
      <c r="K71" s="71">
        <v>27.383177570093459</v>
      </c>
      <c r="L71" s="71">
        <v>9.9752730791799635</v>
      </c>
      <c r="M71" s="71">
        <v>4.6411041513506479</v>
      </c>
      <c r="N71" s="71">
        <v>986.45494612291202</v>
      </c>
    </row>
    <row r="72" spans="2:14" s="71" customFormat="1" x14ac:dyDescent="0.25">
      <c r="B72" s="71" t="str">
        <f>VLOOKUP(F72,[1]NUTS_Europa!$A$2:$C$81,2,FALSE)</f>
        <v>ES52</v>
      </c>
      <c r="C72" s="71">
        <f>VLOOKUP(F72,[1]NUTS_Europa!$A$2:$C$81,3,FALSE)</f>
        <v>1063</v>
      </c>
      <c r="D72" s="71" t="str">
        <f>VLOOKUP(G72,[1]NUTS_Europa!$A$2:$C$81,2,FALSE)</f>
        <v>ES62</v>
      </c>
      <c r="E72" s="71">
        <f>VLOOKUP(G72,[1]NUTS_Europa!$A$2:$C$81,3,FALSE)</f>
        <v>462</v>
      </c>
      <c r="F72" s="71">
        <v>56</v>
      </c>
      <c r="G72" s="71">
        <v>58</v>
      </c>
      <c r="H72" s="71">
        <v>1170986.355994168</v>
      </c>
      <c r="I72" s="71">
        <v>5144253.8727379804</v>
      </c>
      <c r="J72" s="71">
        <v>163171.48832599766</v>
      </c>
      <c r="K72" s="71">
        <v>21.495327102803738</v>
      </c>
      <c r="L72" s="71">
        <v>11.050976727565194</v>
      </c>
      <c r="M72" s="71">
        <v>5.0179808337143825</v>
      </c>
      <c r="N72" s="71">
        <v>1066.5591315219633</v>
      </c>
    </row>
    <row r="73" spans="2:14" s="71" customFormat="1" x14ac:dyDescent="0.25">
      <c r="B73" s="71" t="str">
        <f>VLOOKUP(F73,[1]NUTS_Europa!$A$2:$C$81,2,FALSE)</f>
        <v>FRD1</v>
      </c>
      <c r="C73" s="71">
        <f>VLOOKUP(F73,[1]NUTS_Europa!$A$2:$C$81,3,FALSE)</f>
        <v>269</v>
      </c>
      <c r="D73" s="71" t="str">
        <f>VLOOKUP(G73,[1]NUTS_Europa!$A$2:$C$81,2,FALSE)</f>
        <v>FRJ2</v>
      </c>
      <c r="E73" s="71">
        <f>VLOOKUP(G73,[1]NUTS_Europa!$A$2:$C$81,3,FALSE)</f>
        <v>163</v>
      </c>
      <c r="F73" s="71">
        <v>59</v>
      </c>
      <c r="G73" s="71">
        <v>68</v>
      </c>
      <c r="H73" s="71">
        <v>3073374.5978590269</v>
      </c>
      <c r="I73" s="71">
        <v>1426374.601479159</v>
      </c>
      <c r="J73" s="71">
        <v>145277.79316174539</v>
      </c>
      <c r="K73" s="71">
        <v>28.410747663551405</v>
      </c>
      <c r="L73" s="71">
        <v>10.690213114493593</v>
      </c>
      <c r="M73" s="71">
        <v>21.650586540194972</v>
      </c>
      <c r="N73" s="71">
        <v>3374.2629695885503</v>
      </c>
    </row>
    <row r="74" spans="2:14" s="71" customFormat="1" x14ac:dyDescent="0.25">
      <c r="B74" s="71" t="str">
        <f>VLOOKUP(F74,[1]NUTS_Europa!$A$2:$C$81,2,FALSE)</f>
        <v>FRJ1</v>
      </c>
      <c r="C74" s="71">
        <f>VLOOKUP(F74,[1]NUTS_Europa!$A$2:$C$81,3,FALSE)</f>
        <v>1064</v>
      </c>
      <c r="D74" s="71" t="str">
        <f>VLOOKUP(G74,[1]NUTS_Europa!$A$2:$C$81,2,FALSE)</f>
        <v>PT11</v>
      </c>
      <c r="E74" s="71">
        <f>VLOOKUP(G74,[1]NUTS_Europa!$A$2:$C$81,3,FALSE)</f>
        <v>288</v>
      </c>
      <c r="F74" s="71">
        <v>66</v>
      </c>
      <c r="G74" s="71">
        <v>76</v>
      </c>
      <c r="H74" s="71">
        <v>883740.01824278978</v>
      </c>
      <c r="I74" s="71">
        <v>1583149.8075640041</v>
      </c>
      <c r="J74" s="71">
        <v>123614.25510828695</v>
      </c>
      <c r="K74" s="71">
        <v>42.616822429906541</v>
      </c>
      <c r="L74" s="71">
        <v>8.503827079001347</v>
      </c>
      <c r="M74" s="71">
        <v>4.9425536572578173</v>
      </c>
      <c r="N74" s="71">
        <v>1050.5272759847392</v>
      </c>
    </row>
    <row r="75" spans="2:14" s="71" customFormat="1" x14ac:dyDescent="0.25">
      <c r="B75" s="71" t="str">
        <f>VLOOKUP(F75,[1]NUTS_Europa!$A$2:$C$81,2,FALSE)</f>
        <v>FRJ1</v>
      </c>
      <c r="C75" s="71">
        <f>VLOOKUP(F75,[1]NUTS_Europa!$A$2:$C$81,3,FALSE)</f>
        <v>1064</v>
      </c>
      <c r="D75" s="71" t="str">
        <f>VLOOKUP(G75,[1]NUTS_Europa!$A$2:$C$81,2,FALSE)</f>
        <v>PT17</v>
      </c>
      <c r="E75" s="71">
        <f>VLOOKUP(G75,[1]NUTS_Europa!$A$2:$C$81,3,FALSE)</f>
        <v>297</v>
      </c>
      <c r="F75" s="71">
        <v>66</v>
      </c>
      <c r="G75" s="71">
        <v>79</v>
      </c>
      <c r="H75" s="71">
        <v>918977.3499350911</v>
      </c>
      <c r="I75" s="71">
        <v>1158757.8694007352</v>
      </c>
      <c r="J75" s="71">
        <v>192445.71807502842</v>
      </c>
      <c r="K75" s="71">
        <v>21.635514018691591</v>
      </c>
      <c r="L75" s="71">
        <v>7.1672961778699786</v>
      </c>
      <c r="M75" s="71">
        <v>4.6411041513506479</v>
      </c>
      <c r="N75" s="71">
        <v>986.45494612291202</v>
      </c>
    </row>
    <row r="76" spans="2:14" s="71" customFormat="1" x14ac:dyDescent="0.25">
      <c r="B76" s="71" t="str">
        <f>VLOOKUP(F76,[1]NUTS_Europa!$A$2:$C$81,2,FALSE)</f>
        <v>NL12</v>
      </c>
      <c r="C76" s="71">
        <f>VLOOKUP(F76,[1]NUTS_Europa!$A$2:$C$81,3,FALSE)</f>
        <v>250</v>
      </c>
      <c r="D76" s="71" t="str">
        <f>VLOOKUP(G76,[1]NUTS_Europa!$A$2:$C$81,2,FALSE)</f>
        <v>PT11</v>
      </c>
      <c r="E76" s="71">
        <f>VLOOKUP(G76,[1]NUTS_Europa!$A$2:$C$81,3,FALSE)</f>
        <v>288</v>
      </c>
      <c r="F76" s="71">
        <v>71</v>
      </c>
      <c r="G76" s="71">
        <v>76</v>
      </c>
      <c r="H76" s="71">
        <v>769954.94836864411</v>
      </c>
      <c r="I76" s="71">
        <v>1821548.3614487718</v>
      </c>
      <c r="J76" s="71">
        <v>142841.86171918266</v>
      </c>
      <c r="K76" s="71">
        <v>42.514953271028041</v>
      </c>
      <c r="L76" s="71">
        <v>14.239945235500125</v>
      </c>
      <c r="M76" s="71">
        <v>5.8415730839199274</v>
      </c>
      <c r="N76" s="71">
        <v>1050.5272759847392</v>
      </c>
    </row>
    <row r="77" spans="2:14" s="71" customFormat="1" x14ac:dyDescent="0.25">
      <c r="B77" s="71" t="str">
        <f>VLOOKUP(F77,[1]NUTS_Europa!$A$2:$C$81,2,FALSE)</f>
        <v>NL12</v>
      </c>
      <c r="C77" s="71">
        <f>VLOOKUP(F77,[1]NUTS_Europa!$A$2:$C$81,3,FALSE)</f>
        <v>250</v>
      </c>
      <c r="D77" s="71" t="str">
        <f>VLOOKUP(G77,[1]NUTS_Europa!$A$2:$C$81,2,FALSE)</f>
        <v>PT16</v>
      </c>
      <c r="E77" s="71">
        <f>VLOOKUP(G77,[1]NUTS_Europa!$A$2:$C$81,3,FALSE)</f>
        <v>294</v>
      </c>
      <c r="F77" s="71">
        <v>71</v>
      </c>
      <c r="G77" s="71">
        <v>78</v>
      </c>
      <c r="H77" s="71">
        <v>2585807.2836563722</v>
      </c>
      <c r="I77" s="71">
        <v>1885771.1454915388</v>
      </c>
      <c r="J77" s="71">
        <v>135416.16142478216</v>
      </c>
      <c r="K77" s="71">
        <v>52.229439252336455</v>
      </c>
      <c r="L77" s="71">
        <v>13.019873667619812</v>
      </c>
      <c r="M77" s="71">
        <v>17.804899616838789</v>
      </c>
      <c r="N77" s="71">
        <v>3201.9684466753083</v>
      </c>
    </row>
    <row r="78" spans="2:14" s="71" customFormat="1" x14ac:dyDescent="0.25">
      <c r="B78" s="71" t="str">
        <f>VLOOKUP(F78,[1]NUTS_Europa!$A$2:$C$81,2,FALSE)</f>
        <v>NL32</v>
      </c>
      <c r="C78" s="71">
        <f>VLOOKUP(F78,[1]NUTS_Europa!$A$2:$C$81,3,FALSE)</f>
        <v>253</v>
      </c>
      <c r="D78" s="71" t="str">
        <f>VLOOKUP(G78,[1]NUTS_Europa!$A$2:$C$81,2,FALSE)</f>
        <v>NL34</v>
      </c>
      <c r="E78" s="71">
        <f>VLOOKUP(G78,[1]NUTS_Europa!$A$2:$C$81,3,FALSE)</f>
        <v>218</v>
      </c>
      <c r="F78" s="71">
        <v>72</v>
      </c>
      <c r="G78" s="71">
        <v>74</v>
      </c>
      <c r="H78" s="71">
        <v>2526902.0595304212</v>
      </c>
      <c r="I78" s="71">
        <v>1151924.4344545838</v>
      </c>
      <c r="J78" s="71">
        <v>120125.80522925351</v>
      </c>
      <c r="K78" s="71">
        <v>8.364018691588786</v>
      </c>
      <c r="L78" s="71">
        <v>10.145570181061927</v>
      </c>
      <c r="M78" s="71">
        <v>26.101770317372409</v>
      </c>
      <c r="N78" s="71">
        <v>4963.1764433597036</v>
      </c>
    </row>
    <row r="79" spans="2:14" s="71" customFormat="1" x14ac:dyDescent="0.25">
      <c r="B79" s="71" t="str">
        <f>VLOOKUP(F79,[1]NUTS_Europa!$A$2:$C$81,2,FALSE)</f>
        <v>NL32</v>
      </c>
      <c r="C79" s="71">
        <f>VLOOKUP(F79,[1]NUTS_Europa!$A$2:$C$81,3,FALSE)</f>
        <v>253</v>
      </c>
      <c r="D79" s="71" t="str">
        <f>VLOOKUP(G79,[1]NUTS_Europa!$A$2:$C$81,2,FALSE)</f>
        <v>NL41</v>
      </c>
      <c r="E79" s="71">
        <f>VLOOKUP(G79,[1]NUTS_Europa!$A$2:$C$81,3,FALSE)</f>
        <v>218</v>
      </c>
      <c r="F79" s="71">
        <v>72</v>
      </c>
      <c r="G79" s="71">
        <v>75</v>
      </c>
      <c r="H79" s="71">
        <v>2168486.2726731999</v>
      </c>
      <c r="I79" s="71">
        <v>1151924.4344545838</v>
      </c>
      <c r="J79" s="71">
        <v>159445.52860932166</v>
      </c>
      <c r="K79" s="71">
        <v>8.364018691588786</v>
      </c>
      <c r="L79" s="71">
        <v>10.145570181061927</v>
      </c>
      <c r="M79" s="71">
        <v>26.101770317372409</v>
      </c>
      <c r="N79" s="71">
        <v>4963.1764433597036</v>
      </c>
    </row>
    <row r="80" spans="2:14" s="71" customFormat="1" x14ac:dyDescent="0.25">
      <c r="B80" s="71" t="str">
        <f>VLOOKUP(F80,[1]NUTS_Europa!$A$2:$C$81,2,FALSE)</f>
        <v>NL33</v>
      </c>
      <c r="C80" s="71">
        <f>VLOOKUP(F80,[1]NUTS_Europa!$A$2:$C$81,3,FALSE)</f>
        <v>220</v>
      </c>
      <c r="D80" s="71" t="str">
        <f>VLOOKUP(G80,[1]NUTS_Europa!$A$2:$C$81,2,FALSE)</f>
        <v>NL34</v>
      </c>
      <c r="E80" s="71">
        <f>VLOOKUP(G80,[1]NUTS_Europa!$A$2:$C$81,3,FALSE)</f>
        <v>218</v>
      </c>
      <c r="F80" s="71">
        <v>73</v>
      </c>
      <c r="G80" s="71">
        <v>74</v>
      </c>
      <c r="H80" s="71">
        <v>2675832.5821860004</v>
      </c>
      <c r="I80" s="71">
        <v>1051019.1253686827</v>
      </c>
      <c r="J80" s="71">
        <v>145277.79316174539</v>
      </c>
      <c r="K80" s="71">
        <v>5.8411214953271031</v>
      </c>
      <c r="L80" s="71">
        <v>8.6969096064635067</v>
      </c>
      <c r="M80" s="71">
        <v>23.290647890387675</v>
      </c>
      <c r="N80" s="71">
        <v>4963.1764433597036</v>
      </c>
    </row>
    <row r="81" spans="2:25" s="71" customFormat="1" x14ac:dyDescent="0.25">
      <c r="B81" s="71" t="str">
        <f>VLOOKUP(F81,[1]NUTS_Europa!$A$2:$C$81,2,FALSE)</f>
        <v>NL33</v>
      </c>
      <c r="C81" s="71">
        <f>VLOOKUP(F81,[1]NUTS_Europa!$A$2:$C$81,3,FALSE)</f>
        <v>220</v>
      </c>
      <c r="D81" s="71" t="str">
        <f>VLOOKUP(G81,[1]NUTS_Europa!$A$2:$C$81,2,FALSE)</f>
        <v>NL41</v>
      </c>
      <c r="E81" s="71">
        <f>VLOOKUP(G81,[1]NUTS_Europa!$A$2:$C$81,3,FALSE)</f>
        <v>218</v>
      </c>
      <c r="F81" s="71">
        <v>73</v>
      </c>
      <c r="G81" s="71">
        <v>75</v>
      </c>
      <c r="H81" s="71">
        <v>2317416.7953287796</v>
      </c>
      <c r="I81" s="71">
        <v>1051019.1253686827</v>
      </c>
      <c r="J81" s="71">
        <v>176841.96373917855</v>
      </c>
      <c r="K81" s="71">
        <v>5.8411214953271031</v>
      </c>
      <c r="L81" s="71">
        <v>8.6969096064635067</v>
      </c>
      <c r="M81" s="71">
        <v>23.290647890387675</v>
      </c>
      <c r="N81" s="71">
        <v>4963.1764433597036</v>
      </c>
    </row>
    <row r="82" spans="2:25" s="71" customFormat="1" x14ac:dyDescent="0.25">
      <c r="B82" s="71" t="str">
        <f>VLOOKUP(F82,[1]NUTS_Europa!$A$2:$C$81,2,FALSE)</f>
        <v>PT15</v>
      </c>
      <c r="C82" s="71">
        <f>VLOOKUP(F82,[1]NUTS_Europa!$A$2:$C$81,3,FALSE)</f>
        <v>61</v>
      </c>
      <c r="D82" s="71" t="str">
        <f>VLOOKUP(G82,[1]NUTS_Europa!$A$2:$C$81,2,FALSE)</f>
        <v>PT16</v>
      </c>
      <c r="E82" s="71">
        <f>VLOOKUP(G82,[1]NUTS_Europa!$A$2:$C$81,3,FALSE)</f>
        <v>294</v>
      </c>
      <c r="F82" s="71">
        <v>77</v>
      </c>
      <c r="G82" s="71">
        <v>78</v>
      </c>
      <c r="H82" s="71">
        <v>2688149.2279872634</v>
      </c>
      <c r="I82" s="71">
        <v>1054851.9268605004</v>
      </c>
      <c r="J82" s="71">
        <v>127001.21695280854</v>
      </c>
      <c r="K82" s="71">
        <v>14.378504672897197</v>
      </c>
      <c r="L82" s="71">
        <v>6.557192831430978</v>
      </c>
      <c r="M82" s="71">
        <v>14.022570820255131</v>
      </c>
      <c r="N82" s="71">
        <v>3201.9684466753083</v>
      </c>
    </row>
    <row r="83" spans="2:25" s="71" customFormat="1" x14ac:dyDescent="0.25">
      <c r="B83" s="71" t="str">
        <f>VLOOKUP(F83,[1]NUTS_Europa!$A$2:$C$81,2,FALSE)</f>
        <v>PT15</v>
      </c>
      <c r="C83" s="71">
        <f>VLOOKUP(F83,[1]NUTS_Europa!$A$2:$C$81,3,FALSE)</f>
        <v>61</v>
      </c>
      <c r="D83" s="71" t="str">
        <f>VLOOKUP(G83,[1]NUTS_Europa!$A$2:$C$81,2,FALSE)</f>
        <v>PT17</v>
      </c>
      <c r="E83" s="71">
        <f>VLOOKUP(G83,[1]NUTS_Europa!$A$2:$C$81,3,FALSE)</f>
        <v>297</v>
      </c>
      <c r="F83" s="71">
        <v>77</v>
      </c>
      <c r="G83" s="71">
        <v>79</v>
      </c>
      <c r="H83" s="71">
        <v>841002.11369369493</v>
      </c>
      <c r="I83" s="71">
        <v>852055.64254096569</v>
      </c>
      <c r="J83" s="71">
        <v>113696.3812050019</v>
      </c>
      <c r="K83" s="71">
        <v>3.504672897196262</v>
      </c>
      <c r="L83" s="71">
        <v>6.4407334981799211</v>
      </c>
      <c r="M83" s="71">
        <v>4.3200408040754725</v>
      </c>
      <c r="N83" s="71">
        <v>986.45494612291202</v>
      </c>
    </row>
    <row r="84" spans="2:25" s="71" customFormat="1" x14ac:dyDescent="0.25">
      <c r="N84" s="71">
        <f>SUM(N4:N83)</f>
        <v>247683.89412165931</v>
      </c>
    </row>
    <row r="85" spans="2:25" s="71" customFormat="1" x14ac:dyDescent="0.25"/>
    <row r="86" spans="2:25" s="71" customFormat="1" x14ac:dyDescent="0.25">
      <c r="B86" s="71" t="s">
        <v>132</v>
      </c>
    </row>
    <row r="87" spans="2:25" s="71" customFormat="1" x14ac:dyDescent="0.25">
      <c r="B87" s="71" t="s">
        <v>134</v>
      </c>
      <c r="C87" s="71" t="s">
        <v>135</v>
      </c>
      <c r="D87" s="71" t="s">
        <v>131</v>
      </c>
      <c r="E87" s="71" t="s">
        <v>136</v>
      </c>
      <c r="F87" s="71" t="s">
        <v>39</v>
      </c>
      <c r="G87" s="71" t="s">
        <v>40</v>
      </c>
      <c r="H87" s="71" t="s">
        <v>137</v>
      </c>
      <c r="I87" s="71" t="s">
        <v>133</v>
      </c>
      <c r="J87" s="71" t="s">
        <v>41</v>
      </c>
      <c r="K87" s="71" t="s">
        <v>42</v>
      </c>
      <c r="L87" s="71" t="s">
        <v>43</v>
      </c>
      <c r="M87" s="71" t="s">
        <v>44</v>
      </c>
      <c r="N87" s="71" t="s">
        <v>45</v>
      </c>
    </row>
    <row r="88" spans="2:25" s="71" customFormat="1" x14ac:dyDescent="0.25">
      <c r="B88" s="71" t="str">
        <f>VLOOKUP(F88,[1]NUTS_Europa!$A$2:$C$81,2,FALSE)</f>
        <v>FRJ1</v>
      </c>
      <c r="C88" s="71">
        <f>VLOOKUP(F88,[1]NUTS_Europa!$A$2:$C$81,3,FALSE)</f>
        <v>1064</v>
      </c>
      <c r="D88" s="71" t="str">
        <f>VLOOKUP(G88,[1]NUTS_Europa!$A$2:$C$81,2,FALSE)</f>
        <v>PT11</v>
      </c>
      <c r="E88" s="71">
        <f>VLOOKUP(G88,[1]NUTS_Europa!$A$2:$C$81,3,FALSE)</f>
        <v>288</v>
      </c>
      <c r="F88" s="71">
        <v>66</v>
      </c>
      <c r="G88" s="71">
        <v>76</v>
      </c>
      <c r="H88" s="71">
        <v>883740.01824278978</v>
      </c>
      <c r="I88" s="71">
        <v>1583149.8075640041</v>
      </c>
      <c r="J88" s="71">
        <v>123614.25510828695</v>
      </c>
      <c r="K88" s="71">
        <v>42.616822429906541</v>
      </c>
      <c r="L88" s="71">
        <v>8.503827079001347</v>
      </c>
      <c r="M88" s="71">
        <v>4.9425536572578173</v>
      </c>
      <c r="N88" s="71">
        <v>1050.5272759847392</v>
      </c>
    </row>
    <row r="89" spans="2:25" s="71" customFormat="1" x14ac:dyDescent="0.25">
      <c r="B89" s="71" t="str">
        <f>VLOOKUP(G89,[1]NUTS_Europa!$A$2:$C$81,2,FALSE)</f>
        <v>PT11</v>
      </c>
      <c r="C89" s="71">
        <f>VLOOKUP(G89,[1]NUTS_Europa!$A$2:$C$81,3,FALSE)</f>
        <v>288</v>
      </c>
      <c r="D89" s="71" t="str">
        <f>VLOOKUP(F89,[1]NUTS_Europa!$A$2:$C$81,2,FALSE)</f>
        <v>NL12</v>
      </c>
      <c r="E89" s="71">
        <f>VLOOKUP(F89,[1]NUTS_Europa!$A$2:$C$81,3,FALSE)</f>
        <v>250</v>
      </c>
      <c r="F89" s="71">
        <v>71</v>
      </c>
      <c r="G89" s="71">
        <v>76</v>
      </c>
      <c r="H89" s="71">
        <v>769954.94836864411</v>
      </c>
      <c r="I89" s="71">
        <v>1821548.3614487718</v>
      </c>
      <c r="J89" s="71">
        <v>142841.86171918266</v>
      </c>
      <c r="K89" s="71">
        <v>42.514953271028041</v>
      </c>
      <c r="L89" s="71">
        <v>14.239945235500125</v>
      </c>
      <c r="M89" s="71">
        <v>5.8415730839199274</v>
      </c>
      <c r="N89" s="71">
        <v>1050.5272759847392</v>
      </c>
    </row>
    <row r="90" spans="2:25" s="71" customFormat="1" x14ac:dyDescent="0.25">
      <c r="B90" s="71" t="str">
        <f>VLOOKUP(F90,[1]NUTS_Europa!$A$2:$C$81,2,FALSE)</f>
        <v>NL12</v>
      </c>
      <c r="C90" s="71">
        <f>VLOOKUP(F90,[1]NUTS_Europa!$A$2:$C$81,3,FALSE)</f>
        <v>250</v>
      </c>
      <c r="D90" s="71" t="str">
        <f>VLOOKUP(G90,[1]NUTS_Europa!$A$2:$C$81,2,FALSE)</f>
        <v>PT16</v>
      </c>
      <c r="E90" s="71">
        <f>VLOOKUP(G90,[1]NUTS_Europa!$A$2:$C$81,3,FALSE)</f>
        <v>294</v>
      </c>
      <c r="F90" s="71">
        <v>71</v>
      </c>
      <c r="G90" s="71">
        <v>78</v>
      </c>
      <c r="H90" s="71">
        <v>2585807.2836563722</v>
      </c>
      <c r="I90" s="71">
        <v>1885771.1454915388</v>
      </c>
      <c r="J90" s="71">
        <v>135416.16142478216</v>
      </c>
      <c r="K90" s="71">
        <v>52.229439252336455</v>
      </c>
      <c r="L90" s="71">
        <v>13.019873667619812</v>
      </c>
      <c r="M90" s="71">
        <v>17.804899616838789</v>
      </c>
      <c r="N90" s="71">
        <v>3201.9684466753083</v>
      </c>
    </row>
    <row r="91" spans="2:25" s="71" customFormat="1" x14ac:dyDescent="0.25">
      <c r="B91" s="71" t="str">
        <f>VLOOKUP(G91,[1]NUTS_Europa!$A$2:$C$81,2,FALSE)</f>
        <v>PT16</v>
      </c>
      <c r="C91" s="71">
        <f>VLOOKUP(G91,[1]NUTS_Europa!$A$2:$C$81,3,FALSE)</f>
        <v>294</v>
      </c>
      <c r="D91" s="71" t="str">
        <f>VLOOKUP(F91,[1]NUTS_Europa!$A$2:$C$81,2,FALSE)</f>
        <v>PT15</v>
      </c>
      <c r="E91" s="71">
        <f>VLOOKUP(F91,[1]NUTS_Europa!$A$2:$C$81,3,FALSE)</f>
        <v>61</v>
      </c>
      <c r="F91" s="71">
        <v>77</v>
      </c>
      <c r="G91" s="71">
        <v>78</v>
      </c>
      <c r="H91" s="71">
        <v>2688149.2279872634</v>
      </c>
      <c r="I91" s="71">
        <v>1054851.9268605004</v>
      </c>
      <c r="J91" s="71">
        <v>127001.21695280854</v>
      </c>
      <c r="K91" s="71">
        <v>14.378504672897197</v>
      </c>
      <c r="L91" s="71">
        <v>6.557192831430978</v>
      </c>
      <c r="M91" s="71">
        <v>14.022570820255131</v>
      </c>
      <c r="N91" s="71">
        <v>3201.9684466753083</v>
      </c>
    </row>
    <row r="92" spans="2:25" s="71" customFormat="1" x14ac:dyDescent="0.25">
      <c r="B92" s="71" t="str">
        <f>VLOOKUP(F92,[1]NUTS_Europa!$A$2:$C$81,2,FALSE)</f>
        <v>PT15</v>
      </c>
      <c r="C92" s="71">
        <f>VLOOKUP(F92,[1]NUTS_Europa!$A$2:$C$81,3,FALSE)</f>
        <v>61</v>
      </c>
      <c r="D92" s="71" t="str">
        <f>VLOOKUP(G92,[1]NUTS_Europa!$A$2:$C$81,2,FALSE)</f>
        <v>PT17</v>
      </c>
      <c r="E92" s="71">
        <f>VLOOKUP(G92,[1]NUTS_Europa!$A$2:$C$81,3,FALSE)</f>
        <v>297</v>
      </c>
      <c r="F92" s="71">
        <v>77</v>
      </c>
      <c r="G92" s="71">
        <v>79</v>
      </c>
      <c r="H92" s="71">
        <v>841002.11369369493</v>
      </c>
      <c r="I92" s="71">
        <v>852055.64254096569</v>
      </c>
      <c r="J92" s="71">
        <v>113696.3812050019</v>
      </c>
      <c r="K92" s="71">
        <v>3.504672897196262</v>
      </c>
      <c r="L92" s="71">
        <v>6.4407334981799211</v>
      </c>
      <c r="M92" s="71">
        <v>4.3200408040754725</v>
      </c>
      <c r="N92" s="71">
        <v>986.45494612291202</v>
      </c>
    </row>
    <row r="93" spans="2:25" s="71" customFormat="1" x14ac:dyDescent="0.25">
      <c r="B93" s="71" t="str">
        <f>VLOOKUP(G93,[1]NUTS_Europa!$A$2:$C$81,2,FALSE)</f>
        <v>PT17</v>
      </c>
      <c r="C93" s="71">
        <f>VLOOKUP(G93,[1]NUTS_Europa!$A$2:$C$81,3,FALSE)</f>
        <v>297</v>
      </c>
      <c r="D93" s="71" t="str">
        <f>VLOOKUP(F93,[1]NUTS_Europa!$A$2:$C$81,2,FALSE)</f>
        <v>FRJ1</v>
      </c>
      <c r="E93" s="71">
        <f>VLOOKUP(F93,[1]NUTS_Europa!$A$2:$C$81,3,FALSE)</f>
        <v>1064</v>
      </c>
      <c r="F93" s="71">
        <v>66</v>
      </c>
      <c r="G93" s="71">
        <v>79</v>
      </c>
      <c r="H93" s="71">
        <v>918977.3499350911</v>
      </c>
      <c r="I93" s="71">
        <v>1158757.8694007352</v>
      </c>
      <c r="J93" s="71">
        <v>192445.71807502842</v>
      </c>
      <c r="K93" s="71">
        <v>21.635514018691591</v>
      </c>
      <c r="L93" s="71">
        <v>7.1672961778699786</v>
      </c>
      <c r="M93" s="71">
        <v>4.6411041513506479</v>
      </c>
      <c r="N93" s="71">
        <v>986.45494612291202</v>
      </c>
    </row>
    <row r="94" spans="2:25" s="71" customFormat="1" x14ac:dyDescent="0.25"/>
    <row r="95" spans="2:25" s="71" customFormat="1" x14ac:dyDescent="0.25">
      <c r="B95" s="71" t="s">
        <v>138</v>
      </c>
      <c r="Q95" s="75">
        <f>Q97+Q98+Q99+Q104</f>
        <v>239.52625083752091</v>
      </c>
      <c r="R95" s="71">
        <f>Q95/24</f>
        <v>9.980260451563371</v>
      </c>
      <c r="S95" s="71">
        <f>R95/7</f>
        <v>1.4257514930804815</v>
      </c>
    </row>
    <row r="96" spans="2:25" s="71" customFormat="1" x14ac:dyDescent="0.25">
      <c r="B96" s="71" t="s">
        <v>134</v>
      </c>
      <c r="C96" s="71" t="s">
        <v>135</v>
      </c>
      <c r="D96" s="71" t="s">
        <v>131</v>
      </c>
      <c r="E96" s="71" t="s">
        <v>136</v>
      </c>
      <c r="F96" s="71" t="s">
        <v>39</v>
      </c>
      <c r="G96" s="71" t="s">
        <v>40</v>
      </c>
      <c r="H96" s="71" t="s">
        <v>137</v>
      </c>
      <c r="I96" s="71" t="s">
        <v>133</v>
      </c>
      <c r="J96" s="71" t="s">
        <v>154</v>
      </c>
      <c r="K96" s="71" t="s">
        <v>41</v>
      </c>
      <c r="L96" s="71" t="s">
        <v>42</v>
      </c>
      <c r="M96" s="71" t="s">
        <v>43</v>
      </c>
      <c r="N96" s="71" t="s">
        <v>44</v>
      </c>
      <c r="O96" s="71" t="s">
        <v>45</v>
      </c>
      <c r="P96" s="71" t="str">
        <f>'13 buques 14 kn 12500'!P88</f>
        <v>Tiempo C/D</v>
      </c>
      <c r="Q96" s="71" t="str">
        <f>'13 buques 14 kn 12500'!Q88</f>
        <v>Tiempo total</v>
      </c>
      <c r="R96" s="71" t="str">
        <f>'13 buques 14 kn 12500'!R88</f>
        <v>TEUs/buque</v>
      </c>
      <c r="S96" s="71" t="str">
        <f>'13 buques 14 kn 12500'!S88</f>
        <v>Coste variable</v>
      </c>
      <c r="T96" s="71" t="str">
        <f>'13 buques 14 kn 12500'!T88</f>
        <v>Coste fijo</v>
      </c>
      <c r="U96" s="71" t="str">
        <f>'13 buques 14 kn 12500'!U88</f>
        <v>Coste Total</v>
      </c>
      <c r="V96" s="71" t="str">
        <f>'13 buques 14 kn 12500'!V88</f>
        <v>Nodo inicial</v>
      </c>
      <c r="W96" s="71" t="str">
        <f>'13 buques 14 kn 12500'!W88</f>
        <v>Puerto O</v>
      </c>
      <c r="X96" s="71" t="str">
        <f>'13 buques 14 kn 12500'!X88</f>
        <v>Nodo final</v>
      </c>
      <c r="Y96" s="71" t="str">
        <f>'13 buques 14 kn 12500'!Y88</f>
        <v>Puerto D</v>
      </c>
    </row>
    <row r="97" spans="2:28" s="71" customFormat="1" x14ac:dyDescent="0.25">
      <c r="B97" s="71" t="str">
        <f>VLOOKUP(F97,[1]NUTS_Europa!$A$2:$C$81,2,FALSE)</f>
        <v>DE80</v>
      </c>
      <c r="C97" s="71">
        <f>VLOOKUP(F97,[1]NUTS_Europa!$A$2:$C$81,3,FALSE)</f>
        <v>1069</v>
      </c>
      <c r="D97" s="71" t="str">
        <f>VLOOKUP(G97,[1]NUTS_Europa!$A$2:$C$81,2,FALSE)</f>
        <v>ES11</v>
      </c>
      <c r="E97" s="71">
        <f>VLOOKUP(G97,[1]NUTS_Europa!$A$2:$C$81,3,FALSE)</f>
        <v>288</v>
      </c>
      <c r="F97" s="71">
        <v>6</v>
      </c>
      <c r="G97" s="71">
        <v>11</v>
      </c>
      <c r="H97" s="73">
        <v>565702.00403954345</v>
      </c>
      <c r="I97" s="73">
        <v>1791134.3608040616</v>
      </c>
      <c r="J97" s="73">
        <f>I97/14</f>
        <v>127938.16862886155</v>
      </c>
      <c r="K97" s="74">
        <v>142841.86171918266</v>
      </c>
      <c r="L97" s="75">
        <v>54.147196261682247</v>
      </c>
      <c r="M97" s="75">
        <v>8.9203162423260345</v>
      </c>
      <c r="N97" s="75">
        <v>4.9425536572578173</v>
      </c>
      <c r="O97" s="74">
        <v>1050.5272759847392</v>
      </c>
      <c r="P97" s="75">
        <f>N97</f>
        <v>4.9425536572578173</v>
      </c>
      <c r="Q97" s="75">
        <f>P97+M97+L97</f>
        <v>68.010066161266096</v>
      </c>
      <c r="R97" s="74">
        <f>O97</f>
        <v>1050.5272759847392</v>
      </c>
      <c r="S97" s="73">
        <f>H97</f>
        <v>565702.00403954345</v>
      </c>
      <c r="T97" s="73">
        <f>J97*2</f>
        <v>255876.33725772309</v>
      </c>
      <c r="U97" s="73">
        <f>T97+S97</f>
        <v>821578.34129726654</v>
      </c>
      <c r="V97" s="71" t="str">
        <f>VLOOKUP(B97,NUTS_Europa!$B$2:$F$41,5,FALSE)</f>
        <v>Mecklenburg-Vorpommern</v>
      </c>
      <c r="W97" s="71" t="str">
        <f>VLOOKUP(C97,Puertos!$N$3:$O$27,2,FALSE)</f>
        <v>Hamburgo</v>
      </c>
      <c r="X97" s="71" t="str">
        <f>VLOOKUP(D97,NUTS_Europa!$B$2:$F$41,5,FALSE)</f>
        <v>Galicia</v>
      </c>
      <c r="Y97" s="71" t="str">
        <f>VLOOKUP(E97,Puertos!$N$3:$O$27,2,FALSE)</f>
        <v>Vigo</v>
      </c>
      <c r="Z97" s="71">
        <f>Q97/24</f>
        <v>2.8337527567194205</v>
      </c>
      <c r="AB97" s="71">
        <f>(168/2)-Q97</f>
        <v>15.989933838733904</v>
      </c>
    </row>
    <row r="98" spans="2:28" s="71" customFormat="1" x14ac:dyDescent="0.25">
      <c r="B98" s="71" t="str">
        <f>VLOOKUP(G98,[1]NUTS_Europa!$A$2:$C$81,2,FALSE)</f>
        <v>ES11</v>
      </c>
      <c r="C98" s="71">
        <f>VLOOKUP(G98,[1]NUTS_Europa!$A$2:$C$81,3,FALSE)</f>
        <v>288</v>
      </c>
      <c r="D98" s="71" t="str">
        <f>VLOOKUP(F98,[1]NUTS_Europa!$A$2:$C$81,2,FALSE)</f>
        <v>DEA1</v>
      </c>
      <c r="E98" s="71">
        <f>VLOOKUP(F98,[1]NUTS_Europa!$A$2:$C$81,3,FALSE)</f>
        <v>253</v>
      </c>
      <c r="F98" s="71">
        <v>9</v>
      </c>
      <c r="G98" s="71">
        <v>11</v>
      </c>
      <c r="H98" s="73">
        <v>589052.64568621514</v>
      </c>
      <c r="I98" s="73">
        <v>1639510.9875461981</v>
      </c>
      <c r="J98" s="73">
        <f t="shared" ref="J98:J104" si="0">I98/14</f>
        <v>117107.9276818713</v>
      </c>
      <c r="K98" s="74">
        <v>142392.8717171422</v>
      </c>
      <c r="L98" s="75">
        <v>41.455607476635514</v>
      </c>
      <c r="M98" s="75">
        <v>11.526163426416618</v>
      </c>
      <c r="N98" s="75">
        <v>5.8415730839199274</v>
      </c>
      <c r="O98" s="74">
        <v>1050.5272759847392</v>
      </c>
      <c r="P98" s="75">
        <f>N98</f>
        <v>5.8415730839199274</v>
      </c>
      <c r="Q98" s="75">
        <f t="shared" ref="Q98:Q104" si="1">P98+M98+L98</f>
        <v>58.823343986972063</v>
      </c>
      <c r="R98" s="74">
        <f>O98</f>
        <v>1050.5272759847392</v>
      </c>
      <c r="S98" s="73">
        <f>H98</f>
        <v>589052.64568621514</v>
      </c>
      <c r="T98" s="73">
        <f t="shared" ref="T98:T104" si="2">J98*2</f>
        <v>234215.85536374259</v>
      </c>
      <c r="U98" s="73">
        <f t="shared" ref="U98:U104" si="3">T98+S98</f>
        <v>823268.5010499577</v>
      </c>
      <c r="V98" s="71" t="str">
        <f>VLOOKUP(B98,NUTS_Europa!$B$2:$F$41,5,FALSE)</f>
        <v>Galicia</v>
      </c>
      <c r="W98" s="71" t="str">
        <f>VLOOKUP(C98,Puertos!$N$3:$O$27,2,FALSE)</f>
        <v>Vigo</v>
      </c>
      <c r="X98" s="71" t="str">
        <f>VLOOKUP(D98,NUTS_Europa!$B$2:$F$41,5,FALSE)</f>
        <v>Düsseldorf</v>
      </c>
      <c r="Y98" s="71" t="str">
        <f>VLOOKUP(E98,Puertos!$N$3:$O$27,2,FALSE)</f>
        <v>Amberes</v>
      </c>
      <c r="Z98" s="71">
        <f t="shared" ref="Z98:Z104" si="4">Q98/24</f>
        <v>2.4509726661238358</v>
      </c>
      <c r="AA98" s="71">
        <f>Z98+Z97</f>
        <v>5.2847254228432563</v>
      </c>
      <c r="AB98" s="71">
        <f t="shared" ref="AB98:AB104" si="5">(168/2)-Q98</f>
        <v>25.176656013027937</v>
      </c>
    </row>
    <row r="99" spans="2:28" s="71" customFormat="1" x14ac:dyDescent="0.25">
      <c r="B99" s="71" t="str">
        <f>VLOOKUP(F99,[1]NUTS_Europa!$A$2:$C$81,2,FALSE)</f>
        <v>DEA1</v>
      </c>
      <c r="C99" s="71">
        <f>VLOOKUP(F99,[1]NUTS_Europa!$A$2:$C$81,3,FALSE)</f>
        <v>253</v>
      </c>
      <c r="D99" s="71" t="str">
        <f>VLOOKUP(G99,[1]NUTS_Europa!$A$2:$C$81,2,FALSE)</f>
        <v>FRI3</v>
      </c>
      <c r="E99" s="71">
        <f>VLOOKUP(G99,[1]NUTS_Europa!$A$2:$C$81,3,FALSE)</f>
        <v>283</v>
      </c>
      <c r="F99" s="71">
        <v>9</v>
      </c>
      <c r="G99" s="71">
        <v>25</v>
      </c>
      <c r="H99" s="73">
        <v>1025896.5995660863</v>
      </c>
      <c r="I99" s="73">
        <v>1400421.9320588754</v>
      </c>
      <c r="J99" s="73">
        <f t="shared" si="0"/>
        <v>100030.13800420539</v>
      </c>
      <c r="K99" s="74">
        <v>127001.21695280854</v>
      </c>
      <c r="L99" s="75">
        <v>32.271028037383182</v>
      </c>
      <c r="M99" s="75">
        <v>10.742214288705078</v>
      </c>
      <c r="N99" s="75">
        <v>12.574141167230453</v>
      </c>
      <c r="O99" s="74">
        <v>2188.5072142857148</v>
      </c>
      <c r="P99" s="75">
        <f>N99*(R99/O99)</f>
        <v>9.0664516124822025</v>
      </c>
      <c r="Q99" s="75">
        <f t="shared" si="1"/>
        <v>52.079693938570465</v>
      </c>
      <c r="R99" s="71">
        <v>1578</v>
      </c>
      <c r="S99" s="73">
        <f>H99*(R99/O99)</f>
        <v>739711.90204353491</v>
      </c>
      <c r="T99" s="73">
        <f t="shared" si="2"/>
        <v>200060.27600841079</v>
      </c>
      <c r="U99" s="73">
        <f t="shared" si="3"/>
        <v>939772.17805194575</v>
      </c>
      <c r="V99" s="71" t="str">
        <f>VLOOKUP(B99,NUTS_Europa!$B$2:$F$41,5,FALSE)</f>
        <v>Düsseldorf</v>
      </c>
      <c r="W99" s="71" t="str">
        <f>VLOOKUP(C99,Puertos!$N$3:$O$27,2,FALSE)</f>
        <v>Amberes</v>
      </c>
      <c r="X99" s="71" t="str">
        <f>VLOOKUP(D99,NUTS_Europa!$B$2:$F$41,5,FALSE)</f>
        <v>Poitou-Charentes</v>
      </c>
      <c r="Y99" s="71" t="str">
        <f>VLOOKUP(E99,Puertos!$N$3:$O$27,2,FALSE)</f>
        <v>La Rochelle</v>
      </c>
      <c r="Z99" s="71">
        <f t="shared" si="4"/>
        <v>2.169987247440436</v>
      </c>
      <c r="AB99" s="71">
        <f t="shared" si="5"/>
        <v>31.920306061429535</v>
      </c>
    </row>
    <row r="100" spans="2:28" s="71" customFormat="1" x14ac:dyDescent="0.25">
      <c r="B100" s="71" t="str">
        <f>VLOOKUP(G100,[1]NUTS_Europa!$A$2:$C$81,2,FALSE)</f>
        <v>FRI3</v>
      </c>
      <c r="C100" s="71">
        <f>VLOOKUP(G100,[1]NUTS_Europa!$A$2:$C$81,3,FALSE)</f>
        <v>283</v>
      </c>
      <c r="D100" s="71" t="str">
        <f>VLOOKUP(F100,[1]NUTS_Europa!$A$2:$C$81,2,FALSE)</f>
        <v>FRD2</v>
      </c>
      <c r="E100" s="71">
        <f>VLOOKUP(F100,[1]NUTS_Europa!$A$2:$C$81,3,FALSE)</f>
        <v>269</v>
      </c>
      <c r="F100" s="71">
        <v>20</v>
      </c>
      <c r="G100" s="71">
        <v>25</v>
      </c>
      <c r="H100" s="73">
        <v>522868.82368248637</v>
      </c>
      <c r="I100" s="73">
        <v>1254059.0990755495</v>
      </c>
      <c r="J100" s="73">
        <f t="shared" si="0"/>
        <v>89575.649933967827</v>
      </c>
      <c r="K100" s="74">
        <v>141512.315270936</v>
      </c>
      <c r="L100" s="75">
        <v>21.635514018691591</v>
      </c>
      <c r="M100" s="75">
        <v>7.3044607751724691</v>
      </c>
      <c r="N100" s="75">
        <v>12.574141167230453</v>
      </c>
      <c r="O100" s="74">
        <v>2188.5072142857148</v>
      </c>
      <c r="P100" s="75">
        <f t="shared" ref="P100:P104" si="6">N100*(R100/O100)</f>
        <v>0</v>
      </c>
      <c r="Q100" s="75">
        <f t="shared" si="1"/>
        <v>28.93997479386406</v>
      </c>
      <c r="S100" s="73">
        <f t="shared" ref="S100:S104" si="7">H100*(R100/O100)</f>
        <v>0</v>
      </c>
      <c r="T100" s="73">
        <f t="shared" si="2"/>
        <v>179151.29986793565</v>
      </c>
      <c r="U100" s="73">
        <f t="shared" si="3"/>
        <v>179151.29986793565</v>
      </c>
      <c r="V100" s="71" t="str">
        <f>VLOOKUP(B100,NUTS_Europa!$B$2:$F$41,5,FALSE)</f>
        <v>Poitou-Charentes</v>
      </c>
      <c r="W100" s="71" t="str">
        <f>VLOOKUP(C100,Puertos!$N$3:$O$27,2,FALSE)</f>
        <v>La Rochelle</v>
      </c>
      <c r="X100" s="71" t="str">
        <f>VLOOKUP(D100,NUTS_Europa!$B$2:$F$41,5,FALSE)</f>
        <v xml:space="preserve">Haute-Normandie </v>
      </c>
      <c r="Y100" s="71" t="str">
        <f>VLOOKUP(E100,Puertos!$N$3:$O$27,2,FALSE)</f>
        <v>Le Havre</v>
      </c>
      <c r="Z100" s="71">
        <f t="shared" si="4"/>
        <v>1.2058322830776691</v>
      </c>
      <c r="AB100" s="71">
        <f t="shared" si="5"/>
        <v>55.06002520613594</v>
      </c>
    </row>
    <row r="101" spans="2:28" s="71" customFormat="1" x14ac:dyDescent="0.25">
      <c r="B101" s="71" t="str">
        <f>VLOOKUP(F101,[1]NUTS_Europa!$A$2:$C$81,2,FALSE)</f>
        <v>FRD2</v>
      </c>
      <c r="C101" s="71">
        <f>VLOOKUP(F101,[1]NUTS_Europa!$A$2:$C$81,3,FALSE)</f>
        <v>269</v>
      </c>
      <c r="D101" s="71" t="str">
        <f>VLOOKUP(G101,[1]NUTS_Europa!$A$2:$C$81,2,FALSE)</f>
        <v>FRH0</v>
      </c>
      <c r="E101" s="71">
        <f>VLOOKUP(G101,[1]NUTS_Europa!$A$2:$C$81,3,FALSE)</f>
        <v>283</v>
      </c>
      <c r="F101" s="71">
        <v>20</v>
      </c>
      <c r="G101" s="71">
        <v>23</v>
      </c>
      <c r="H101" s="73">
        <v>1053031.4135823792</v>
      </c>
      <c r="I101" s="73">
        <v>1254059.0990755495</v>
      </c>
      <c r="J101" s="73">
        <f t="shared" si="0"/>
        <v>89575.649933967827</v>
      </c>
      <c r="K101" s="74">
        <v>159445.52860932166</v>
      </c>
      <c r="L101" s="75">
        <v>21.635514018691591</v>
      </c>
      <c r="M101" s="75">
        <v>7.3044607751724691</v>
      </c>
      <c r="N101" s="75">
        <v>12.574141167230453</v>
      </c>
      <c r="O101" s="74">
        <v>2188.5072142857148</v>
      </c>
      <c r="P101" s="75">
        <f t="shared" si="6"/>
        <v>0</v>
      </c>
      <c r="Q101" s="75">
        <f t="shared" si="1"/>
        <v>28.93997479386406</v>
      </c>
      <c r="S101" s="73">
        <f t="shared" si="7"/>
        <v>0</v>
      </c>
      <c r="T101" s="73">
        <f t="shared" si="2"/>
        <v>179151.29986793565</v>
      </c>
      <c r="U101" s="73">
        <f t="shared" si="3"/>
        <v>179151.29986793565</v>
      </c>
      <c r="V101" s="71" t="str">
        <f>VLOOKUP(B101,NUTS_Europa!$B$2:$F$41,5,FALSE)</f>
        <v xml:space="preserve">Haute-Normandie </v>
      </c>
      <c r="W101" s="71" t="str">
        <f>VLOOKUP(C101,Puertos!$N$3:$O$27,2,FALSE)</f>
        <v>Le Havre</v>
      </c>
      <c r="X101" s="71" t="str">
        <f>VLOOKUP(D101,NUTS_Europa!$B$2:$F$41,5,FALSE)</f>
        <v>Bretagne</v>
      </c>
      <c r="Y101" s="71" t="str">
        <f>VLOOKUP(E101,Puertos!$N$3:$O$27,2,FALSE)</f>
        <v>La Rochelle</v>
      </c>
      <c r="Z101" s="71">
        <f t="shared" si="4"/>
        <v>1.2058322830776691</v>
      </c>
      <c r="AB101" s="71">
        <f t="shared" si="5"/>
        <v>55.06002520613594</v>
      </c>
    </row>
    <row r="102" spans="2:28" s="71" customFormat="1" x14ac:dyDescent="0.25">
      <c r="B102" s="71" t="str">
        <f>VLOOKUP(G102,[1]NUTS_Europa!$A$2:$C$81,2,FALSE)</f>
        <v>FRH0</v>
      </c>
      <c r="C102" s="71">
        <f>VLOOKUP(G102,[1]NUTS_Europa!$A$2:$C$81,3,FALSE)</f>
        <v>283</v>
      </c>
      <c r="D102" s="71" t="str">
        <f>VLOOKUP(F102,[1]NUTS_Europa!$A$2:$C$81,2,FALSE)</f>
        <v>FRE1</v>
      </c>
      <c r="E102" s="71">
        <f>VLOOKUP(F102,[1]NUTS_Europa!$A$2:$C$81,3,FALSE)</f>
        <v>220</v>
      </c>
      <c r="F102" s="71">
        <v>21</v>
      </c>
      <c r="G102" s="71">
        <v>23</v>
      </c>
      <c r="H102" s="73">
        <v>1182202.5422339283</v>
      </c>
      <c r="I102" s="73">
        <v>1274048.3300166922</v>
      </c>
      <c r="J102" s="73">
        <f t="shared" si="0"/>
        <v>91003.452144049443</v>
      </c>
      <c r="K102" s="74">
        <v>156784.57749147405</v>
      </c>
      <c r="L102" s="75">
        <v>28.130373831775703</v>
      </c>
      <c r="M102" s="75">
        <v>9.2935537141066575</v>
      </c>
      <c r="N102" s="75">
        <v>11.334579813346387</v>
      </c>
      <c r="O102" s="74">
        <v>2188.5072142857148</v>
      </c>
      <c r="P102" s="75">
        <f t="shared" si="6"/>
        <v>0</v>
      </c>
      <c r="Q102" s="75">
        <f t="shared" si="1"/>
        <v>37.423927545882364</v>
      </c>
      <c r="S102" s="73">
        <f t="shared" si="7"/>
        <v>0</v>
      </c>
      <c r="T102" s="73">
        <f t="shared" si="2"/>
        <v>182006.90428809889</v>
      </c>
      <c r="U102" s="73">
        <f t="shared" si="3"/>
        <v>182006.90428809889</v>
      </c>
      <c r="V102" s="71" t="str">
        <f>VLOOKUP(B102,NUTS_Europa!$B$2:$F$41,5,FALSE)</f>
        <v>Bretagne</v>
      </c>
      <c r="W102" s="71" t="str">
        <f>VLOOKUP(C102,Puertos!$N$3:$O$27,2,FALSE)</f>
        <v>La Rochelle</v>
      </c>
      <c r="X102" s="71" t="str">
        <f>VLOOKUP(D102,NUTS_Europa!$B$2:$F$41,5,FALSE)</f>
        <v>Nord-Pas de Calais</v>
      </c>
      <c r="Y102" s="71" t="str">
        <f>VLOOKUP(E102,Puertos!$N$3:$O$27,2,FALSE)</f>
        <v>Zeebrugge</v>
      </c>
      <c r="Z102" s="71">
        <f t="shared" si="4"/>
        <v>1.5593303144117652</v>
      </c>
      <c r="AB102" s="71">
        <f t="shared" si="5"/>
        <v>46.576072454117636</v>
      </c>
    </row>
    <row r="103" spans="2:28" s="71" customFormat="1" x14ac:dyDescent="0.25">
      <c r="B103" s="71" t="str">
        <f>VLOOKUP(F103,[1]NUTS_Europa!$A$2:$C$81,2,FALSE)</f>
        <v>FRE1</v>
      </c>
      <c r="C103" s="71">
        <f>VLOOKUP(F103,[1]NUTS_Europa!$A$2:$C$81,3,FALSE)</f>
        <v>220</v>
      </c>
      <c r="D103" s="71" t="str">
        <f>VLOOKUP(G103,[1]NUTS_Europa!$A$2:$C$81,2,FALSE)</f>
        <v>FRI1</v>
      </c>
      <c r="E103" s="71">
        <f>VLOOKUP(G103,[1]NUTS_Europa!$A$2:$C$81,3,FALSE)</f>
        <v>283</v>
      </c>
      <c r="F103" s="71">
        <v>21</v>
      </c>
      <c r="G103" s="71">
        <v>24</v>
      </c>
      <c r="H103" s="73">
        <v>998297.90400307125</v>
      </c>
      <c r="I103" s="73">
        <v>1274048.3300166922</v>
      </c>
      <c r="J103" s="73">
        <f t="shared" si="0"/>
        <v>91003.452144049443</v>
      </c>
      <c r="K103" s="74">
        <v>123840.01515725654</v>
      </c>
      <c r="L103" s="75">
        <v>28.130373831775703</v>
      </c>
      <c r="M103" s="75">
        <v>9.2935537141066575</v>
      </c>
      <c r="N103" s="75">
        <v>11.334579813346387</v>
      </c>
      <c r="O103" s="74">
        <v>2188.5072142857148</v>
      </c>
      <c r="P103" s="75">
        <f t="shared" si="6"/>
        <v>0</v>
      </c>
      <c r="Q103" s="75">
        <f t="shared" si="1"/>
        <v>37.423927545882364</v>
      </c>
      <c r="S103" s="73">
        <f t="shared" si="7"/>
        <v>0</v>
      </c>
      <c r="T103" s="73">
        <f t="shared" si="2"/>
        <v>182006.90428809889</v>
      </c>
      <c r="U103" s="73">
        <f t="shared" si="3"/>
        <v>182006.90428809889</v>
      </c>
      <c r="V103" s="71" t="str">
        <f>VLOOKUP(B103,NUTS_Europa!$B$2:$F$41,5,FALSE)</f>
        <v>Nord-Pas de Calais</v>
      </c>
      <c r="W103" s="71" t="str">
        <f>VLOOKUP(C103,Puertos!$N$3:$O$27,2,FALSE)</f>
        <v>Zeebrugge</v>
      </c>
      <c r="X103" s="71" t="str">
        <f>VLOOKUP(D103,NUTS_Europa!$B$2:$F$41,5,FALSE)</f>
        <v>Aquitaine</v>
      </c>
      <c r="Y103" s="71" t="str">
        <f>VLOOKUP(E103,Puertos!$N$3:$O$27,2,FALSE)</f>
        <v>La Rochelle</v>
      </c>
      <c r="Z103" s="71">
        <f t="shared" si="4"/>
        <v>1.5593303144117652</v>
      </c>
      <c r="AB103" s="71">
        <f t="shared" si="5"/>
        <v>46.576072454117636</v>
      </c>
    </row>
    <row r="104" spans="2:28" s="71" customFormat="1" x14ac:dyDescent="0.25">
      <c r="B104" s="71" t="str">
        <f>VLOOKUP(G104,[1]NUTS_Europa!$A$2:$C$81,2,FALSE)</f>
        <v>FRI1</v>
      </c>
      <c r="C104" s="71">
        <f>VLOOKUP(G104,[1]NUTS_Europa!$A$2:$C$81,3,FALSE)</f>
        <v>283</v>
      </c>
      <c r="D104" s="71" t="str">
        <f>VLOOKUP(F104,[1]NUTS_Europa!$A$2:$C$81,2,FALSE)</f>
        <v>DE80</v>
      </c>
      <c r="E104" s="71">
        <f>VLOOKUP(F104,[1]NUTS_Europa!$A$2:$C$81,3,FALSE)</f>
        <v>1069</v>
      </c>
      <c r="F104" s="71">
        <v>6</v>
      </c>
      <c r="G104" s="71">
        <v>24</v>
      </c>
      <c r="H104" s="73">
        <v>1329166.5552283137</v>
      </c>
      <c r="I104" s="73">
        <v>1557140.2879166086</v>
      </c>
      <c r="J104" s="73">
        <f t="shared" si="0"/>
        <v>111224.30627975776</v>
      </c>
      <c r="K104" s="74">
        <v>145277.79316174539</v>
      </c>
      <c r="L104" s="75">
        <v>44.760747663551406</v>
      </c>
      <c r="M104" s="75">
        <v>8.1363671046144965</v>
      </c>
      <c r="N104" s="75">
        <v>10.701262141610925</v>
      </c>
      <c r="O104" s="74">
        <v>2188.5072142857148</v>
      </c>
      <c r="P104" s="75">
        <f t="shared" si="6"/>
        <v>7.7160319825463706</v>
      </c>
      <c r="Q104" s="75">
        <f t="shared" si="1"/>
        <v>60.613146750712275</v>
      </c>
      <c r="R104" s="71">
        <f>R99</f>
        <v>1578</v>
      </c>
      <c r="S104" s="73">
        <f t="shared" si="7"/>
        <v>958381.49879475567</v>
      </c>
      <c r="T104" s="73">
        <f t="shared" si="2"/>
        <v>222448.61255951552</v>
      </c>
      <c r="U104" s="73">
        <f t="shared" si="3"/>
        <v>1180830.1113542712</v>
      </c>
      <c r="V104" s="71" t="str">
        <f>VLOOKUP(B104,NUTS_Europa!$B$2:$F$41,5,FALSE)</f>
        <v>Aquitaine</v>
      </c>
      <c r="W104" s="71" t="str">
        <f>VLOOKUP(C104,Puertos!$N$3:$O$27,2,FALSE)</f>
        <v>La Rochelle</v>
      </c>
      <c r="X104" s="71" t="str">
        <f>VLOOKUP(D104,NUTS_Europa!$B$2:$F$41,5,FALSE)</f>
        <v>Mecklenburg-Vorpommern</v>
      </c>
      <c r="Y104" s="71" t="str">
        <f>VLOOKUP(E104,Puertos!$N$3:$O$27,2,FALSE)</f>
        <v>Hamburgo</v>
      </c>
      <c r="Z104" s="71">
        <f t="shared" si="4"/>
        <v>2.5255477812796783</v>
      </c>
      <c r="AA104" s="71">
        <f>Z104+Z99</f>
        <v>4.6955350287201139</v>
      </c>
      <c r="AB104" s="71">
        <f t="shared" si="5"/>
        <v>23.386853249287725</v>
      </c>
    </row>
    <row r="105" spans="2:28" s="71" customFormat="1" x14ac:dyDescent="0.25">
      <c r="AB105" s="71">
        <f>(AB97+AB98+AB99+AB104)/4</f>
        <v>24.118437290619774</v>
      </c>
    </row>
    <row r="106" spans="2:28" s="71" customFormat="1" x14ac:dyDescent="0.25">
      <c r="B106" s="71" t="s">
        <v>146</v>
      </c>
    </row>
    <row r="107" spans="2:28" s="71" customFormat="1" x14ac:dyDescent="0.25">
      <c r="B107" s="71" t="s">
        <v>134</v>
      </c>
      <c r="C107" s="71" t="s">
        <v>135</v>
      </c>
      <c r="D107" s="71" t="s">
        <v>131</v>
      </c>
      <c r="E107" s="71" t="s">
        <v>136</v>
      </c>
      <c r="F107" s="71" t="s">
        <v>39</v>
      </c>
      <c r="G107" s="71" t="s">
        <v>40</v>
      </c>
      <c r="H107" s="71" t="s">
        <v>137</v>
      </c>
      <c r="I107" s="71" t="s">
        <v>133</v>
      </c>
      <c r="J107" s="71" t="str">
        <f>J96</f>
        <v>Coste fijo/buque</v>
      </c>
      <c r="K107" s="71" t="s">
        <v>41</v>
      </c>
      <c r="L107" s="71" t="s">
        <v>42</v>
      </c>
      <c r="M107" s="71" t="s">
        <v>43</v>
      </c>
      <c r="N107" s="71" t="s">
        <v>44</v>
      </c>
      <c r="O107" s="71" t="s">
        <v>45</v>
      </c>
      <c r="P107" s="71" t="str">
        <f>P96</f>
        <v>Tiempo C/D</v>
      </c>
      <c r="Q107" s="71" t="str">
        <f t="shared" ref="Q107:Y107" si="8">Q96</f>
        <v>Tiempo total</v>
      </c>
      <c r="R107" s="71" t="str">
        <f t="shared" si="8"/>
        <v>TEUs/buque</v>
      </c>
      <c r="S107" s="71" t="str">
        <f t="shared" si="8"/>
        <v>Coste variable</v>
      </c>
      <c r="T107" s="71" t="str">
        <f t="shared" si="8"/>
        <v>Coste fijo</v>
      </c>
      <c r="U107" s="71" t="str">
        <f t="shared" si="8"/>
        <v>Coste Total</v>
      </c>
      <c r="V107" s="71" t="str">
        <f t="shared" si="8"/>
        <v>Nodo inicial</v>
      </c>
      <c r="W107" s="71" t="str">
        <f t="shared" si="8"/>
        <v>Puerto O</v>
      </c>
      <c r="X107" s="71" t="str">
        <f t="shared" si="8"/>
        <v>Nodo final</v>
      </c>
      <c r="Y107" s="71" t="str">
        <f t="shared" si="8"/>
        <v>Puerto D</v>
      </c>
    </row>
    <row r="108" spans="2:28" s="71" customFormat="1" x14ac:dyDescent="0.25">
      <c r="B108" s="71" t="s">
        <v>59</v>
      </c>
      <c r="C108" s="71">
        <v>245</v>
      </c>
      <c r="D108" s="71" t="s">
        <v>95</v>
      </c>
      <c r="E108" s="71">
        <v>282</v>
      </c>
      <c r="F108" s="71">
        <v>45</v>
      </c>
      <c r="G108" s="71">
        <v>63</v>
      </c>
      <c r="H108" s="73">
        <v>3129999.1254842272</v>
      </c>
      <c r="I108" s="73">
        <v>8800362.9619925246</v>
      </c>
      <c r="J108" s="73">
        <f>I108/14</f>
        <v>628597.35442803742</v>
      </c>
      <c r="K108" s="74">
        <v>145277.79316174539</v>
      </c>
      <c r="L108" s="75">
        <v>41.405140186915894</v>
      </c>
      <c r="M108" s="75">
        <v>13.290365762324075</v>
      </c>
      <c r="N108" s="75">
        <v>5.0584429781864078</v>
      </c>
      <c r="O108" s="74">
        <v>788.36279069767454</v>
      </c>
      <c r="P108" s="75">
        <f>N108</f>
        <v>5.0584429781864078</v>
      </c>
      <c r="Q108" s="75">
        <f>P108+M108+L108</f>
        <v>59.753948927426379</v>
      </c>
      <c r="R108" s="74">
        <f>O108</f>
        <v>788.36279069767454</v>
      </c>
      <c r="S108" s="73">
        <f>H108</f>
        <v>3129999.1254842272</v>
      </c>
      <c r="T108" s="73">
        <f>J108*3</f>
        <v>1885792.0632841121</v>
      </c>
      <c r="U108" s="73">
        <f>T108+S108</f>
        <v>5015791.1887683393</v>
      </c>
      <c r="V108" s="71" t="str">
        <f>VLOOKUP(B108,NUTS_Europa!$B$2:$F$41,5,FALSE)</f>
        <v>Hamburg</v>
      </c>
      <c r="W108" s="71" t="str">
        <f>VLOOKUP(C108,Puertos!$N$3:$O$27,2,FALSE)</f>
        <v>Bremerhaven</v>
      </c>
      <c r="X108" s="71" t="str">
        <f>VLOOKUP(D108,NUTS_Europa!$B$2:$F$41,5,FALSE)</f>
        <v>Bretagne</v>
      </c>
      <c r="Y108" s="71" t="str">
        <f>VLOOKUP(E108,Puertos!$N$3:$O$27,2,FALSE)</f>
        <v>Saint Nazaire</v>
      </c>
    </row>
    <row r="109" spans="2:28" s="71" customFormat="1" x14ac:dyDescent="0.25">
      <c r="B109" s="71" t="s">
        <v>95</v>
      </c>
      <c r="C109" s="71">
        <v>282</v>
      </c>
      <c r="D109" s="71" t="s">
        <v>69</v>
      </c>
      <c r="E109" s="71">
        <v>245</v>
      </c>
      <c r="F109" s="71">
        <v>50</v>
      </c>
      <c r="G109" s="71">
        <v>63</v>
      </c>
      <c r="H109" s="73">
        <v>3089629.4320609714</v>
      </c>
      <c r="I109" s="73">
        <v>8800362.9619925246</v>
      </c>
      <c r="J109" s="73">
        <f t="shared" ref="J109:J117" si="9">I109/14</f>
        <v>628597.35442803742</v>
      </c>
      <c r="K109" s="74">
        <v>145035.59769143321</v>
      </c>
      <c r="L109" s="75">
        <v>41.405140186915894</v>
      </c>
      <c r="M109" s="75">
        <v>13.290365762324075</v>
      </c>
      <c r="N109" s="75">
        <v>5.0584429781864078</v>
      </c>
      <c r="O109" s="74">
        <v>788.36279069767454</v>
      </c>
      <c r="P109" s="75">
        <f t="shared" ref="P109:P117" si="10">N109</f>
        <v>5.0584429781864078</v>
      </c>
      <c r="Q109" s="75">
        <f t="shared" ref="Q109:Q117" si="11">P109+M109+L109</f>
        <v>59.753948927426379</v>
      </c>
      <c r="R109" s="74">
        <f t="shared" ref="R109:R117" si="12">O109</f>
        <v>788.36279069767454</v>
      </c>
      <c r="S109" s="73">
        <f t="shared" ref="S109:S116" si="13">H109</f>
        <v>3089629.4320609714</v>
      </c>
      <c r="T109" s="73">
        <f t="shared" ref="T109:T117" si="14">J109*3</f>
        <v>1885792.0632841121</v>
      </c>
      <c r="U109" s="73">
        <f t="shared" ref="U109:U117" si="15">T109+S109</f>
        <v>4975421.495345084</v>
      </c>
      <c r="V109" s="71" t="str">
        <f>VLOOKUP(B109,NUTS_Europa!$B$2:$F$41,5,FALSE)</f>
        <v>Bretagne</v>
      </c>
      <c r="W109" s="71" t="str">
        <f>VLOOKUP(C109,Puertos!$N$3:$O$27,2,FALSE)</f>
        <v>Saint Nazaire</v>
      </c>
      <c r="X109" s="71" t="str">
        <f>VLOOKUP(D109,NUTS_Europa!$B$2:$F$41,5,FALSE)</f>
        <v>Schleswig-Holstein</v>
      </c>
      <c r="Y109" s="71" t="str">
        <f>VLOOKUP(E109,Puertos!$N$3:$O$27,2,FALSE)</f>
        <v>Bremerhaven</v>
      </c>
    </row>
    <row r="110" spans="2:28" s="71" customFormat="1" x14ac:dyDescent="0.25">
      <c r="B110" s="71" t="s">
        <v>69</v>
      </c>
      <c r="C110" s="71">
        <v>245</v>
      </c>
      <c r="D110" s="71" t="s">
        <v>99</v>
      </c>
      <c r="E110" s="71">
        <v>282</v>
      </c>
      <c r="F110" s="71">
        <v>50</v>
      </c>
      <c r="G110" s="71">
        <v>65</v>
      </c>
      <c r="H110" s="73">
        <v>3235581.4005912035</v>
      </c>
      <c r="I110" s="73">
        <v>8800362.9619925246</v>
      </c>
      <c r="J110" s="73">
        <f t="shared" si="9"/>
        <v>628597.35442803742</v>
      </c>
      <c r="K110" s="74">
        <v>191087.21980936834</v>
      </c>
      <c r="L110" s="75">
        <v>41.405140186915894</v>
      </c>
      <c r="M110" s="75">
        <v>13.290365762324075</v>
      </c>
      <c r="N110" s="75">
        <v>5.0584429781864078</v>
      </c>
      <c r="O110" s="74">
        <v>788.36279069767454</v>
      </c>
      <c r="P110" s="75">
        <f t="shared" si="10"/>
        <v>5.0584429781864078</v>
      </c>
      <c r="Q110" s="75">
        <f t="shared" si="11"/>
        <v>59.753948927426379</v>
      </c>
      <c r="R110" s="74">
        <f t="shared" si="12"/>
        <v>788.36279069767454</v>
      </c>
      <c r="S110" s="73">
        <f t="shared" si="13"/>
        <v>3235581.4005912035</v>
      </c>
      <c r="T110" s="73">
        <f t="shared" si="14"/>
        <v>1885792.0632841121</v>
      </c>
      <c r="U110" s="73">
        <f t="shared" si="15"/>
        <v>5121373.4638753161</v>
      </c>
      <c r="V110" s="71" t="str">
        <f>VLOOKUP(B110,NUTS_Europa!$B$2:$F$41,5,FALSE)</f>
        <v>Schleswig-Holstein</v>
      </c>
      <c r="W110" s="71" t="str">
        <f>VLOOKUP(C110,Puertos!$N$3:$O$27,2,FALSE)</f>
        <v>Bremerhaven</v>
      </c>
      <c r="X110" s="71" t="str">
        <f>VLOOKUP(D110,NUTS_Europa!$B$2:$F$41,5,FALSE)</f>
        <v>Poitou-Charentes</v>
      </c>
      <c r="Y110" s="71" t="str">
        <f>VLOOKUP(E110,Puertos!$N$3:$O$27,2,FALSE)</f>
        <v>Saint Nazaire</v>
      </c>
    </row>
    <row r="111" spans="2:28" s="71" customFormat="1" x14ac:dyDescent="0.25">
      <c r="B111" s="71" t="str">
        <f>VLOOKUP(G111,[1]NUTS_Europa!$A$2:$C$81,2,FALSE)</f>
        <v>FRI3</v>
      </c>
      <c r="C111" s="71">
        <f>VLOOKUP(G111,[1]NUTS_Europa!$A$2:$C$81,3,FALSE)</f>
        <v>282</v>
      </c>
      <c r="D111" s="71" t="str">
        <f>VLOOKUP(F111,[1]NUTS_Europa!$A$2:$C$81,2,FALSE)</f>
        <v>ES51</v>
      </c>
      <c r="E111" s="71">
        <f>VLOOKUP(F111,[1]NUTS_Europa!$A$2:$C$81,3,FALSE)</f>
        <v>1064</v>
      </c>
      <c r="F111" s="71">
        <v>55</v>
      </c>
      <c r="G111" s="71">
        <v>65</v>
      </c>
      <c r="H111" s="73">
        <v>703975.62935787789</v>
      </c>
      <c r="I111" s="73">
        <v>1778114.5850286868</v>
      </c>
      <c r="J111" s="73">
        <f t="shared" si="9"/>
        <v>127008.1846449062</v>
      </c>
      <c r="K111" s="74">
        <v>117768.50934211678</v>
      </c>
      <c r="L111" s="75">
        <v>58.739205607476642</v>
      </c>
      <c r="M111" s="75">
        <v>8.2348442856334003</v>
      </c>
      <c r="N111" s="75">
        <v>4.3837784737066023</v>
      </c>
      <c r="O111" s="74">
        <v>788.36279069767454</v>
      </c>
      <c r="P111" s="75">
        <f t="shared" si="10"/>
        <v>4.3837784737066023</v>
      </c>
      <c r="Q111" s="75">
        <f t="shared" si="11"/>
        <v>71.357828366816648</v>
      </c>
      <c r="R111" s="74">
        <f t="shared" si="12"/>
        <v>788.36279069767454</v>
      </c>
      <c r="S111" s="73">
        <f t="shared" si="13"/>
        <v>703975.62935787789</v>
      </c>
      <c r="T111" s="73">
        <f t="shared" si="14"/>
        <v>381024.5539347186</v>
      </c>
      <c r="U111" s="73">
        <f t="shared" si="15"/>
        <v>1085000.1832925966</v>
      </c>
      <c r="V111" s="71" t="str">
        <f>VLOOKUP(B111,NUTS_Europa!$B$2:$F$41,5,FALSE)</f>
        <v>Poitou-Charentes</v>
      </c>
      <c r="W111" s="71" t="str">
        <f>VLOOKUP(C111,Puertos!$N$3:$O$27,2,FALSE)</f>
        <v>Saint Nazaire</v>
      </c>
      <c r="X111" s="71" t="str">
        <f>VLOOKUP(D111,NUTS_Europa!$B$2:$F$41,5,FALSE)</f>
        <v>Cataluña</v>
      </c>
      <c r="Y111" s="71" t="str">
        <f>VLOOKUP(E111,Puertos!$N$3:$O$27,2,FALSE)</f>
        <v>Valencia</v>
      </c>
    </row>
    <row r="112" spans="2:28" s="71" customFormat="1" x14ac:dyDescent="0.25">
      <c r="B112" s="71" t="str">
        <f>VLOOKUP(F112,[1]NUTS_Europa!$A$2:$C$81,2,FALSE)</f>
        <v>ES51</v>
      </c>
      <c r="C112" s="71">
        <f>VLOOKUP(F112,[1]NUTS_Europa!$A$2:$C$81,3,FALSE)</f>
        <v>1064</v>
      </c>
      <c r="D112" s="71" t="str">
        <f>VLOOKUP(G112,[1]NUTS_Europa!$A$2:$C$81,2,FALSE)</f>
        <v>ES62</v>
      </c>
      <c r="E112" s="71">
        <f>VLOOKUP(G112,[1]NUTS_Europa!$A$2:$C$81,3,FALSE)</f>
        <v>462</v>
      </c>
      <c r="F112" s="71">
        <v>55</v>
      </c>
      <c r="G112" s="71">
        <v>58</v>
      </c>
      <c r="H112" s="73">
        <v>1151714.0266739572</v>
      </c>
      <c r="I112" s="73">
        <v>1091082.9052717998</v>
      </c>
      <c r="J112" s="73">
        <f t="shared" si="9"/>
        <v>77934.493233699977</v>
      </c>
      <c r="K112" s="74">
        <v>114203.52260471623</v>
      </c>
      <c r="L112" s="75">
        <v>15.560747663551403</v>
      </c>
      <c r="M112" s="75">
        <v>8.2429998262552076</v>
      </c>
      <c r="N112" s="75">
        <v>5.0179808337143825</v>
      </c>
      <c r="O112" s="74">
        <v>1066.5591315219633</v>
      </c>
      <c r="P112" s="75">
        <f t="shared" si="10"/>
        <v>5.0179808337143825</v>
      </c>
      <c r="Q112" s="75">
        <f t="shared" si="11"/>
        <v>28.821728323520993</v>
      </c>
      <c r="R112" s="74">
        <f t="shared" si="12"/>
        <v>1066.5591315219633</v>
      </c>
      <c r="S112" s="73">
        <f t="shared" si="13"/>
        <v>1151714.0266739572</v>
      </c>
      <c r="T112" s="73">
        <f t="shared" si="14"/>
        <v>233803.47970109992</v>
      </c>
      <c r="U112" s="73">
        <f t="shared" si="15"/>
        <v>1385517.5063750572</v>
      </c>
      <c r="V112" s="71" t="str">
        <f>VLOOKUP(B112,NUTS_Europa!$B$2:$F$41,5,FALSE)</f>
        <v>Cataluña</v>
      </c>
      <c r="W112" s="71" t="str">
        <f>VLOOKUP(C112,Puertos!$N$3:$O$27,2,FALSE)</f>
        <v>Valencia</v>
      </c>
      <c r="X112" s="71" t="str">
        <f>VLOOKUP(D112,NUTS_Europa!$B$2:$F$41,5,FALSE)</f>
        <v>Región de Murcia</v>
      </c>
      <c r="Y112" s="71" t="str">
        <f>VLOOKUP(E112,Puertos!$N$3:$O$27,2,FALSE)</f>
        <v>Málaga</v>
      </c>
    </row>
    <row r="113" spans="2:25" s="71" customFormat="1" x14ac:dyDescent="0.25">
      <c r="B113" s="71" t="str">
        <f>VLOOKUP(G113,[1]NUTS_Europa!$A$2:$C$81,2,FALSE)</f>
        <v>ES62</v>
      </c>
      <c r="C113" s="71">
        <f>VLOOKUP(G113,[1]NUTS_Europa!$A$2:$C$81,3,FALSE)</f>
        <v>462</v>
      </c>
      <c r="D113" s="71" t="str">
        <f>VLOOKUP(F113,[1]NUTS_Europa!$A$2:$C$81,2,FALSE)</f>
        <v>ES52</v>
      </c>
      <c r="E113" s="71">
        <f>VLOOKUP(F113,[1]NUTS_Europa!$A$2:$C$81,3,FALSE)</f>
        <v>1063</v>
      </c>
      <c r="F113" s="71">
        <v>56</v>
      </c>
      <c r="G113" s="71">
        <v>58</v>
      </c>
      <c r="H113" s="73">
        <v>1170986.355994168</v>
      </c>
      <c r="I113" s="73">
        <v>5144253.8727379804</v>
      </c>
      <c r="J113" s="73">
        <f t="shared" si="9"/>
        <v>367446.70519557002</v>
      </c>
      <c r="K113" s="74">
        <v>163171.48832599766</v>
      </c>
      <c r="L113" s="75">
        <v>21.495327102803738</v>
      </c>
      <c r="M113" s="75">
        <v>11.050976727565194</v>
      </c>
      <c r="N113" s="75">
        <v>5.0179808337143825</v>
      </c>
      <c r="O113" s="74">
        <v>1066.5591315219633</v>
      </c>
      <c r="P113" s="75">
        <f t="shared" si="10"/>
        <v>5.0179808337143825</v>
      </c>
      <c r="Q113" s="75">
        <f t="shared" si="11"/>
        <v>37.564284664083317</v>
      </c>
      <c r="R113" s="74">
        <f t="shared" si="12"/>
        <v>1066.5591315219633</v>
      </c>
      <c r="S113" s="73">
        <f t="shared" si="13"/>
        <v>1170986.355994168</v>
      </c>
      <c r="T113" s="73">
        <f t="shared" si="14"/>
        <v>1102340.1155867102</v>
      </c>
      <c r="U113" s="73">
        <f t="shared" si="15"/>
        <v>2273326.4715808779</v>
      </c>
      <c r="V113" s="71" t="str">
        <f>VLOOKUP(B113,NUTS_Europa!$B$2:$F$41,5,FALSE)</f>
        <v>Región de Murcia</v>
      </c>
      <c r="W113" s="71" t="str">
        <f>VLOOKUP(C113,Puertos!$N$3:$O$27,2,FALSE)</f>
        <v>Málaga</v>
      </c>
      <c r="X113" s="71" t="str">
        <f>VLOOKUP(D113,NUTS_Europa!$B$2:$F$41,5,FALSE)</f>
        <v xml:space="preserve">Comunitat Valenciana </v>
      </c>
      <c r="Y113" s="71" t="str">
        <f>VLOOKUP(E113,Puertos!$N$3:$O$27,2,FALSE)</f>
        <v>Barcelona</v>
      </c>
    </row>
    <row r="114" spans="2:25" s="71" customFormat="1" x14ac:dyDescent="0.25">
      <c r="B114" s="71" t="str">
        <f>VLOOKUP(F114,[1]NUTS_Europa!$A$2:$C$81,2,FALSE)</f>
        <v>ES52</v>
      </c>
      <c r="C114" s="71">
        <f>VLOOKUP(F114,[1]NUTS_Europa!$A$2:$C$81,3,FALSE)</f>
        <v>1063</v>
      </c>
      <c r="D114" s="71" t="str">
        <f>VLOOKUP(G114,[1]NUTS_Europa!$A$2:$C$81,2,FALSE)</f>
        <v>ES61</v>
      </c>
      <c r="E114" s="71">
        <f>VLOOKUP(G114,[1]NUTS_Europa!$A$2:$C$81,3,FALSE)</f>
        <v>297</v>
      </c>
      <c r="F114" s="71">
        <v>56</v>
      </c>
      <c r="G114" s="71">
        <v>57</v>
      </c>
      <c r="H114" s="73">
        <v>847432.36747670907</v>
      </c>
      <c r="I114" s="73">
        <v>5200802.0311465589</v>
      </c>
      <c r="J114" s="73">
        <f t="shared" si="9"/>
        <v>371485.85936761135</v>
      </c>
      <c r="K114" s="74">
        <v>176841.96373917855</v>
      </c>
      <c r="L114" s="75">
        <v>27.383177570093459</v>
      </c>
      <c r="M114" s="75">
        <v>9.9752730791799635</v>
      </c>
      <c r="N114" s="75">
        <v>4.6411041513506479</v>
      </c>
      <c r="O114" s="74">
        <v>986.45494612291202</v>
      </c>
      <c r="P114" s="75">
        <f t="shared" si="10"/>
        <v>4.6411041513506479</v>
      </c>
      <c r="Q114" s="75">
        <f t="shared" si="11"/>
        <v>41.999554800624068</v>
      </c>
      <c r="R114" s="74">
        <f t="shared" si="12"/>
        <v>986.45494612291202</v>
      </c>
      <c r="S114" s="73">
        <f t="shared" si="13"/>
        <v>847432.36747670907</v>
      </c>
      <c r="T114" s="73">
        <f t="shared" si="14"/>
        <v>1114457.5781028341</v>
      </c>
      <c r="U114" s="73">
        <f t="shared" si="15"/>
        <v>1961889.9455795432</v>
      </c>
      <c r="V114" s="71" t="str">
        <f>VLOOKUP(B114,NUTS_Europa!$B$2:$F$41,5,FALSE)</f>
        <v xml:space="preserve">Comunitat Valenciana </v>
      </c>
      <c r="W114" s="71" t="str">
        <f>VLOOKUP(C114,Puertos!$N$3:$O$27,2,FALSE)</f>
        <v>Barcelona</v>
      </c>
      <c r="X114" s="71" t="str">
        <f>VLOOKUP(D114,NUTS_Europa!$B$2:$F$41,5,FALSE)</f>
        <v>Andalucía</v>
      </c>
      <c r="Y114" s="71" t="str">
        <f>VLOOKUP(E114,Puertos!$N$3:$O$27,2,FALSE)</f>
        <v>Cádiz</v>
      </c>
    </row>
    <row r="115" spans="2:25" s="71" customFormat="1" x14ac:dyDescent="0.25">
      <c r="B115" s="71" t="str">
        <f>VLOOKUP(G115,[1]NUTS_Europa!$A$2:$C$81,2,FALSE)</f>
        <v>ES61</v>
      </c>
      <c r="C115" s="71">
        <f>VLOOKUP(G115,[1]NUTS_Europa!$A$2:$C$81,3,FALSE)</f>
        <v>297</v>
      </c>
      <c r="D115" s="71" t="str">
        <f>VLOOKUP(F115,[1]NUTS_Europa!$A$2:$C$81,2,FALSE)</f>
        <v>ES21</v>
      </c>
      <c r="E115" s="71">
        <f>VLOOKUP(F115,[1]NUTS_Europa!$A$2:$C$81,3,FALSE)</f>
        <v>1063</v>
      </c>
      <c r="F115" s="71">
        <v>54</v>
      </c>
      <c r="G115" s="71">
        <v>57</v>
      </c>
      <c r="H115" s="73">
        <v>1163464.9114759986</v>
      </c>
      <c r="I115" s="73">
        <v>5200802.0311465589</v>
      </c>
      <c r="J115" s="73">
        <f t="shared" si="9"/>
        <v>371485.85936761135</v>
      </c>
      <c r="K115" s="74">
        <v>199597.7643046609</v>
      </c>
      <c r="L115" s="75">
        <v>27.383177570093459</v>
      </c>
      <c r="M115" s="75">
        <v>9.9752730791799635</v>
      </c>
      <c r="N115" s="75">
        <v>4.6411041513506479</v>
      </c>
      <c r="O115" s="74">
        <v>986.45494612291202</v>
      </c>
      <c r="P115" s="75">
        <f t="shared" si="10"/>
        <v>4.6411041513506479</v>
      </c>
      <c r="Q115" s="75">
        <f t="shared" si="11"/>
        <v>41.999554800624068</v>
      </c>
      <c r="R115" s="74">
        <f t="shared" si="12"/>
        <v>986.45494612291202</v>
      </c>
      <c r="S115" s="73">
        <f t="shared" si="13"/>
        <v>1163464.9114759986</v>
      </c>
      <c r="T115" s="73">
        <f t="shared" si="14"/>
        <v>1114457.5781028341</v>
      </c>
      <c r="U115" s="73">
        <f t="shared" si="15"/>
        <v>2277922.4895788329</v>
      </c>
      <c r="V115" s="71" t="str">
        <f>VLOOKUP(B115,NUTS_Europa!$B$2:$F$41,5,FALSE)</f>
        <v>Andalucía</v>
      </c>
      <c r="W115" s="71" t="str">
        <f>VLOOKUP(C115,Puertos!$N$3:$O$27,2,FALSE)</f>
        <v>Cádiz</v>
      </c>
      <c r="X115" s="71" t="str">
        <f>VLOOKUP(D115,NUTS_Europa!$B$2:$F$41,5,FALSE)</f>
        <v>País Vasco</v>
      </c>
      <c r="Y115" s="71" t="str">
        <f>VLOOKUP(E115,Puertos!$N$3:$O$27,2,FALSE)</f>
        <v>Barcelona</v>
      </c>
    </row>
    <row r="116" spans="2:25" s="71" customFormat="1" x14ac:dyDescent="0.25">
      <c r="B116" s="71" t="str">
        <f>VLOOKUP(F116,[1]NUTS_Europa!$A$2:$C$81,2,FALSE)</f>
        <v>ES21</v>
      </c>
      <c r="C116" s="71">
        <f>VLOOKUP(F116,[1]NUTS_Europa!$A$2:$C$81,3,FALSE)</f>
        <v>1063</v>
      </c>
      <c r="D116" s="71" t="str">
        <f>VLOOKUP(G116,[1]NUTS_Europa!$A$2:$C$81,2,FALSE)</f>
        <v>FRD2</v>
      </c>
      <c r="E116" s="71">
        <f>VLOOKUP(G116,[1]NUTS_Europa!$A$2:$C$81,3,FALSE)</f>
        <v>271</v>
      </c>
      <c r="F116" s="71">
        <v>54</v>
      </c>
      <c r="G116" s="71">
        <v>60</v>
      </c>
      <c r="H116" s="73">
        <v>293019.68951325573</v>
      </c>
      <c r="I116" s="73">
        <v>6047344.1729399078</v>
      </c>
      <c r="J116" s="73">
        <f t="shared" si="9"/>
        <v>431953.15520999342</v>
      </c>
      <c r="K116" s="74">
        <v>159445.52860932166</v>
      </c>
      <c r="L116" s="75">
        <v>77.990654205607484</v>
      </c>
      <c r="M116" s="75">
        <v>11.516961814985253</v>
      </c>
      <c r="N116" s="75">
        <v>1.8658305505088066</v>
      </c>
      <c r="O116" s="74">
        <v>335.54418604651164</v>
      </c>
      <c r="P116" s="75">
        <f t="shared" si="10"/>
        <v>1.8658305505088066</v>
      </c>
      <c r="Q116" s="75">
        <f t="shared" si="11"/>
        <v>91.373446571101539</v>
      </c>
      <c r="R116" s="74">
        <f t="shared" si="12"/>
        <v>335.54418604651164</v>
      </c>
      <c r="S116" s="73">
        <f t="shared" si="13"/>
        <v>293019.68951325573</v>
      </c>
      <c r="T116" s="73">
        <f t="shared" si="14"/>
        <v>1295859.4656299802</v>
      </c>
      <c r="U116" s="73">
        <f t="shared" si="15"/>
        <v>1588879.1551432358</v>
      </c>
      <c r="V116" s="71" t="str">
        <f>VLOOKUP(B116,NUTS_Europa!$B$2:$F$41,5,FALSE)</f>
        <v>País Vasco</v>
      </c>
      <c r="W116" s="71" t="str">
        <f>VLOOKUP(C116,Puertos!$N$3:$O$27,2,FALSE)</f>
        <v>Barcelona</v>
      </c>
      <c r="X116" s="71" t="str">
        <f>VLOOKUP(D116,NUTS_Europa!$B$2:$F$41,5,FALSE)</f>
        <v xml:space="preserve">Haute-Normandie </v>
      </c>
      <c r="Y116" s="71" t="str">
        <f>VLOOKUP(E116,Puertos!$N$3:$O$27,2,FALSE)</f>
        <v>Lyon</v>
      </c>
    </row>
    <row r="117" spans="2:25" s="71" customFormat="1" x14ac:dyDescent="0.25">
      <c r="B117" s="71" t="str">
        <f>VLOOKUP(G117,[1]NUTS_Europa!$A$2:$C$81,2,FALSE)</f>
        <v>FRD2</v>
      </c>
      <c r="C117" s="71">
        <f>VLOOKUP(G117,[1]NUTS_Europa!$A$2:$C$81,3,FALSE)</f>
        <v>271</v>
      </c>
      <c r="D117" s="71" t="str">
        <f>VLOOKUP(F117,[1]NUTS_Europa!$A$2:$C$81,2,FALSE)</f>
        <v>DE60</v>
      </c>
      <c r="E117" s="71">
        <f>VLOOKUP(F117,[1]NUTS_Europa!$A$2:$C$81,3,FALSE)</f>
        <v>245</v>
      </c>
      <c r="F117" s="71">
        <v>45</v>
      </c>
      <c r="G117" s="71">
        <v>60</v>
      </c>
      <c r="H117" s="73">
        <v>1273426.4174798925</v>
      </c>
      <c r="I117" s="73">
        <v>10476734.794607785</v>
      </c>
      <c r="J117" s="73">
        <f t="shared" si="9"/>
        <v>748338.19961484172</v>
      </c>
      <c r="K117" s="74">
        <v>141734.02658349604</v>
      </c>
      <c r="L117" s="75">
        <v>130.70093457943926</v>
      </c>
      <c r="M117" s="75">
        <v>13.764506390365943</v>
      </c>
      <c r="N117" s="75">
        <v>2.1529822967369752</v>
      </c>
      <c r="O117" s="74">
        <v>335.54418604651164</v>
      </c>
      <c r="P117" s="75">
        <f t="shared" si="10"/>
        <v>2.1529822967369752</v>
      </c>
      <c r="Q117" s="75">
        <f t="shared" si="11"/>
        <v>146.61842326654218</v>
      </c>
      <c r="R117" s="74">
        <f t="shared" si="12"/>
        <v>335.54418604651164</v>
      </c>
      <c r="S117" s="73">
        <f>H117</f>
        <v>1273426.4174798925</v>
      </c>
      <c r="T117" s="73">
        <f t="shared" si="14"/>
        <v>2245014.5988445254</v>
      </c>
      <c r="U117" s="73">
        <f t="shared" si="15"/>
        <v>3518441.0163244177</v>
      </c>
      <c r="V117" s="71" t="str">
        <f>VLOOKUP(B117,NUTS_Europa!$B$2:$F$41,5,FALSE)</f>
        <v xml:space="preserve">Haute-Normandie </v>
      </c>
      <c r="W117" s="71" t="str">
        <f>VLOOKUP(C117,Puertos!$N$3:$O$27,2,FALSE)</f>
        <v>Lyon</v>
      </c>
      <c r="X117" s="71" t="str">
        <f>VLOOKUP(D117,NUTS_Europa!$B$2:$F$41,5,FALSE)</f>
        <v>Hamburg</v>
      </c>
      <c r="Y117" s="71" t="str">
        <f>VLOOKUP(E117,Puertos!$N$3:$O$27,2,FALSE)</f>
        <v>Bremerhaven</v>
      </c>
    </row>
    <row r="118" spans="2:25" s="71" customFormat="1" x14ac:dyDescent="0.25">
      <c r="Q118" s="75">
        <f>Q117+Q116+Q113+Q112+Q111+Q108</f>
        <v>435.48966011949108</v>
      </c>
    </row>
    <row r="119" spans="2:25" s="71" customFormat="1" x14ac:dyDescent="0.25">
      <c r="B119" s="71" t="s">
        <v>147</v>
      </c>
      <c r="Q119" s="71">
        <f>Q118/24</f>
        <v>18.145402504978794</v>
      </c>
    </row>
    <row r="120" spans="2:25" s="71" customFormat="1" x14ac:dyDescent="0.25">
      <c r="B120" s="71" t="s">
        <v>134</v>
      </c>
      <c r="C120" s="71" t="s">
        <v>135</v>
      </c>
      <c r="D120" s="71" t="s">
        <v>131</v>
      </c>
      <c r="E120" s="71" t="s">
        <v>136</v>
      </c>
      <c r="F120" s="71" t="s">
        <v>39</v>
      </c>
      <c r="G120" s="71" t="s">
        <v>40</v>
      </c>
      <c r="H120" s="71" t="s">
        <v>137</v>
      </c>
      <c r="I120" s="71" t="s">
        <v>133</v>
      </c>
      <c r="J120" s="71" t="s">
        <v>41</v>
      </c>
      <c r="K120" s="71" t="s">
        <v>42</v>
      </c>
      <c r="L120" s="71" t="s">
        <v>43</v>
      </c>
      <c r="M120" s="71" t="s">
        <v>44</v>
      </c>
      <c r="N120" s="71" t="s">
        <v>45</v>
      </c>
      <c r="Q120" s="71">
        <f>Q119/7</f>
        <v>2.5922003578541135</v>
      </c>
    </row>
    <row r="121" spans="2:25" s="71" customFormat="1" x14ac:dyDescent="0.25">
      <c r="B121" s="71" t="str">
        <f>VLOOKUP(F121,[1]NUTS_Europa!$A$2:$C$81,2,FALSE)</f>
        <v>DE60</v>
      </c>
      <c r="C121" s="71">
        <f>VLOOKUP(F121,[1]NUTS_Europa!$A$2:$C$81,3,FALSE)</f>
        <v>1069</v>
      </c>
      <c r="D121" s="71" t="str">
        <f>VLOOKUP(G121,[1]NUTS_Europa!$A$2:$C$81,2,FALSE)</f>
        <v>NL32</v>
      </c>
      <c r="E121" s="71">
        <f>VLOOKUP(G121,[1]NUTS_Europa!$A$2:$C$81,3,FALSE)</f>
        <v>218</v>
      </c>
      <c r="F121" s="71">
        <v>5</v>
      </c>
      <c r="G121" s="71">
        <v>32</v>
      </c>
      <c r="H121" s="71">
        <v>301238.42678866506</v>
      </c>
      <c r="I121" s="71">
        <v>1178914.0554693798</v>
      </c>
      <c r="J121" s="71">
        <v>119215.96904421839</v>
      </c>
      <c r="K121" s="71">
        <v>12.615420560747665</v>
      </c>
      <c r="L121" s="71">
        <v>7.539722996971344</v>
      </c>
      <c r="M121" s="71">
        <v>21.854386986606851</v>
      </c>
      <c r="N121" s="71">
        <v>4963.1764433597036</v>
      </c>
    </row>
    <row r="122" spans="2:25" s="71" customFormat="1" x14ac:dyDescent="0.25">
      <c r="B122" s="71" t="str">
        <f>VLOOKUP(G122,[1]NUTS_Europa!$A$2:$C$81,2,FALSE)</f>
        <v>NL32</v>
      </c>
      <c r="C122" s="71">
        <f>VLOOKUP(G122,[1]NUTS_Europa!$A$2:$C$81,3,FALSE)</f>
        <v>218</v>
      </c>
      <c r="D122" s="71" t="str">
        <f>VLOOKUP(F122,[1]NUTS_Europa!$A$2:$C$81,2,FALSE)</f>
        <v>DE93</v>
      </c>
      <c r="E122" s="71">
        <f>VLOOKUP(F122,[1]NUTS_Europa!$A$2:$C$81,3,FALSE)</f>
        <v>1069</v>
      </c>
      <c r="F122" s="71">
        <v>7</v>
      </c>
      <c r="G122" s="71">
        <v>32</v>
      </c>
      <c r="H122" s="71">
        <v>558646.12825885101</v>
      </c>
      <c r="I122" s="71">
        <v>1178914.0554693798</v>
      </c>
      <c r="J122" s="71">
        <v>199058.85825050285</v>
      </c>
      <c r="K122" s="71">
        <v>12.615420560747665</v>
      </c>
      <c r="L122" s="71">
        <v>7.539722996971344</v>
      </c>
      <c r="M122" s="71">
        <v>21.854386986606851</v>
      </c>
      <c r="N122" s="71">
        <v>4963.1764433597036</v>
      </c>
    </row>
    <row r="123" spans="2:25" s="71" customFormat="1" x14ac:dyDescent="0.25">
      <c r="B123" s="71" t="str">
        <f>VLOOKUP(F123,[1]NUTS_Europa!$A$2:$C$81,2,FALSE)</f>
        <v>DE93</v>
      </c>
      <c r="C123" s="71">
        <f>VLOOKUP(F123,[1]NUTS_Europa!$A$2:$C$81,3,FALSE)</f>
        <v>1069</v>
      </c>
      <c r="D123" s="71" t="str">
        <f>VLOOKUP(G123,[1]NUTS_Europa!$A$2:$C$81,2,FALSE)</f>
        <v>NL12</v>
      </c>
      <c r="E123" s="71">
        <f>VLOOKUP(G123,[1]NUTS_Europa!$A$2:$C$81,3,FALSE)</f>
        <v>218</v>
      </c>
      <c r="F123" s="71">
        <v>7</v>
      </c>
      <c r="G123" s="71">
        <v>31</v>
      </c>
      <c r="H123" s="71">
        <v>1325655.9121333039</v>
      </c>
      <c r="I123" s="71">
        <v>1178914.0554693798</v>
      </c>
      <c r="J123" s="71">
        <v>163171.48832599766</v>
      </c>
      <c r="K123" s="71">
        <v>12.615420560747665</v>
      </c>
      <c r="L123" s="71">
        <v>7.539722996971344</v>
      </c>
      <c r="M123" s="71">
        <v>21.854386986606851</v>
      </c>
      <c r="N123" s="71">
        <v>4963.1764433597036</v>
      </c>
    </row>
    <row r="124" spans="2:25" s="71" customFormat="1" x14ac:dyDescent="0.25">
      <c r="B124" s="71" t="s">
        <v>111</v>
      </c>
      <c r="C124" s="71">
        <v>218</v>
      </c>
      <c r="D124" s="71" t="s">
        <v>107</v>
      </c>
      <c r="E124" s="71">
        <v>269</v>
      </c>
      <c r="F124" s="71">
        <v>29</v>
      </c>
      <c r="G124" s="71">
        <v>31</v>
      </c>
      <c r="H124" s="71">
        <v>2392088.1361974189</v>
      </c>
      <c r="I124" s="71">
        <v>1244454.1589280269</v>
      </c>
      <c r="J124" s="71">
        <v>154854.30087154222</v>
      </c>
      <c r="K124" s="71">
        <v>12.850467289719626</v>
      </c>
      <c r="L124" s="71">
        <v>6.7078166675293174</v>
      </c>
      <c r="M124" s="71">
        <v>26.101770317372409</v>
      </c>
      <c r="N124" s="71">
        <v>4963.1764433597036</v>
      </c>
    </row>
    <row r="125" spans="2:25" s="71" customFormat="1" x14ac:dyDescent="0.25">
      <c r="B125" s="71" t="s">
        <v>107</v>
      </c>
      <c r="C125" s="71">
        <v>269</v>
      </c>
      <c r="D125" s="71" t="s">
        <v>93</v>
      </c>
      <c r="E125" s="71">
        <v>283</v>
      </c>
      <c r="F125" s="71">
        <v>29</v>
      </c>
      <c r="G125" s="71">
        <v>62</v>
      </c>
      <c r="H125" s="71">
        <v>1317969.0330337081</v>
      </c>
      <c r="I125" s="71">
        <v>1254059.0990755495</v>
      </c>
      <c r="J125" s="71">
        <v>118487.95435333898</v>
      </c>
      <c r="K125" s="71">
        <v>21.635514018691591</v>
      </c>
      <c r="L125" s="71">
        <v>7.3044607751724691</v>
      </c>
      <c r="M125" s="71">
        <v>12.574141167230453</v>
      </c>
      <c r="N125" s="71">
        <v>2188.5072142857148</v>
      </c>
    </row>
    <row r="126" spans="2:25" s="71" customFormat="1" x14ac:dyDescent="0.25">
      <c r="B126" s="71" t="s">
        <v>93</v>
      </c>
      <c r="C126" s="71">
        <v>283</v>
      </c>
      <c r="D126" s="71" t="s">
        <v>103</v>
      </c>
      <c r="E126" s="71">
        <v>269</v>
      </c>
      <c r="F126" s="71">
        <v>27</v>
      </c>
      <c r="G126" s="71">
        <v>62</v>
      </c>
      <c r="H126" s="71">
        <v>1306474.9931442796</v>
      </c>
      <c r="I126" s="71">
        <v>1254059.0990755495</v>
      </c>
      <c r="J126" s="71">
        <v>141512.315270936</v>
      </c>
      <c r="K126" s="71">
        <v>21.635514018691591</v>
      </c>
      <c r="L126" s="71">
        <v>7.3044607751724691</v>
      </c>
      <c r="M126" s="71">
        <v>12.574141167230453</v>
      </c>
      <c r="N126" s="71">
        <v>2188.5072142857148</v>
      </c>
    </row>
    <row r="127" spans="2:25" s="71" customFormat="1" x14ac:dyDescent="0.25">
      <c r="B127" s="71" t="s">
        <v>103</v>
      </c>
      <c r="C127" s="71">
        <v>269</v>
      </c>
      <c r="D127" s="71" t="s">
        <v>105</v>
      </c>
      <c r="E127" s="71">
        <v>283</v>
      </c>
      <c r="F127" s="71">
        <v>27</v>
      </c>
      <c r="G127" s="71">
        <v>28</v>
      </c>
      <c r="H127" s="71">
        <v>1817959.768223851</v>
      </c>
      <c r="I127" s="71">
        <v>1254059.0990755495</v>
      </c>
      <c r="J127" s="71">
        <v>176841.96373917855</v>
      </c>
      <c r="K127" s="71">
        <v>21.635514018691591</v>
      </c>
      <c r="L127" s="71">
        <v>7.3044607751724691</v>
      </c>
      <c r="M127" s="71">
        <v>12.574141167230453</v>
      </c>
      <c r="N127" s="71">
        <v>2188.5072142857148</v>
      </c>
    </row>
    <row r="128" spans="2:25" s="71" customFormat="1" x14ac:dyDescent="0.25">
      <c r="B128" s="71" t="s">
        <v>105</v>
      </c>
      <c r="C128" s="71">
        <v>283</v>
      </c>
      <c r="D128" s="71" t="s">
        <v>101</v>
      </c>
      <c r="E128" s="71">
        <v>1063</v>
      </c>
      <c r="F128" s="71">
        <v>26</v>
      </c>
      <c r="G128" s="71">
        <v>28</v>
      </c>
      <c r="H128" s="71">
        <v>2233444.5493986299</v>
      </c>
      <c r="I128" s="71">
        <v>5917193.3964281362</v>
      </c>
      <c r="J128" s="71">
        <v>142841.86171918266</v>
      </c>
      <c r="K128" s="71">
        <v>72.137242990654215</v>
      </c>
      <c r="L128" s="71">
        <v>10.527854842599794</v>
      </c>
      <c r="M128" s="71">
        <v>10.701262141610925</v>
      </c>
      <c r="N128" s="71">
        <v>2188.5072142857148</v>
      </c>
    </row>
    <row r="129" spans="2:14" s="71" customFormat="1" x14ac:dyDescent="0.25">
      <c r="B129" s="71" t="s">
        <v>101</v>
      </c>
      <c r="C129" s="71">
        <v>1063</v>
      </c>
      <c r="D129" s="71" t="s">
        <v>127</v>
      </c>
      <c r="E129" s="71">
        <v>294</v>
      </c>
      <c r="F129" s="71">
        <v>26</v>
      </c>
      <c r="G129" s="71">
        <v>39</v>
      </c>
      <c r="H129" s="71">
        <v>1689922.0173776895</v>
      </c>
      <c r="I129" s="71">
        <v>5400433.9142925264</v>
      </c>
      <c r="J129" s="71">
        <v>137713.62258431225</v>
      </c>
      <c r="K129" s="71">
        <v>38.037383177570099</v>
      </c>
      <c r="L129" s="71">
        <v>10.091732412431021</v>
      </c>
      <c r="M129" s="71">
        <v>15.0647215149215</v>
      </c>
      <c r="N129" s="71">
        <v>3201.9684466753083</v>
      </c>
    </row>
    <row r="130" spans="2:14" s="71" customFormat="1" x14ac:dyDescent="0.25">
      <c r="B130" s="71" t="s">
        <v>127</v>
      </c>
      <c r="C130" s="71">
        <v>294</v>
      </c>
      <c r="D130" s="71" t="s">
        <v>85</v>
      </c>
      <c r="E130" s="71">
        <v>1064</v>
      </c>
      <c r="F130" s="71">
        <v>18</v>
      </c>
      <c r="G130" s="71">
        <v>39</v>
      </c>
      <c r="H130" s="71">
        <v>1274707.9424609854</v>
      </c>
      <c r="I130" s="71">
        <v>1305269.7542708158</v>
      </c>
      <c r="J130" s="71">
        <v>191087.21980936834</v>
      </c>
      <c r="K130" s="71">
        <v>28.94065420560748</v>
      </c>
      <c r="L130" s="71">
        <v>7.2837555111210346</v>
      </c>
      <c r="M130" s="71">
        <v>15.0647215149215</v>
      </c>
      <c r="N130" s="71">
        <v>3201.9684466753083</v>
      </c>
    </row>
    <row r="131" spans="2:14" s="71" customFormat="1" x14ac:dyDescent="0.25">
      <c r="B131" s="71" t="s">
        <v>85</v>
      </c>
      <c r="C131" s="71">
        <v>1064</v>
      </c>
      <c r="D131" s="71" t="s">
        <v>93</v>
      </c>
      <c r="E131" s="71">
        <v>282</v>
      </c>
      <c r="F131" s="71">
        <v>18</v>
      </c>
      <c r="G131" s="71">
        <v>22</v>
      </c>
      <c r="H131" s="71">
        <v>495916.44017648249</v>
      </c>
      <c r="I131" s="71">
        <v>1778114.5850286868</v>
      </c>
      <c r="J131" s="71">
        <v>135416.16142478216</v>
      </c>
      <c r="K131" s="71">
        <v>58.739205607476642</v>
      </c>
      <c r="L131" s="71">
        <v>8.2348442856334003</v>
      </c>
      <c r="M131" s="71">
        <v>4.3837784737066023</v>
      </c>
      <c r="N131" s="71">
        <v>788.36279069767454</v>
      </c>
    </row>
    <row r="132" spans="2:14" s="71" customFormat="1" x14ac:dyDescent="0.25">
      <c r="B132" s="71" t="str">
        <f>VLOOKUP(G132,[1]NUTS_Europa!$A$2:$C$81,2,FALSE)</f>
        <v>FRG0</v>
      </c>
      <c r="C132" s="71">
        <f>VLOOKUP(G132,[1]NUTS_Europa!$A$2:$C$81,3,FALSE)</f>
        <v>282</v>
      </c>
      <c r="D132" s="71" t="str">
        <f>VLOOKUP(F132,[1]NUTS_Europa!$A$2:$C$81,2,FALSE)</f>
        <v>ES61</v>
      </c>
      <c r="E132" s="71">
        <f>VLOOKUP(F132,[1]NUTS_Europa!$A$2:$C$81,3,FALSE)</f>
        <v>61</v>
      </c>
      <c r="F132" s="71">
        <v>17</v>
      </c>
      <c r="G132" s="71">
        <v>22</v>
      </c>
      <c r="H132" s="71">
        <v>517275.57774220122</v>
      </c>
      <c r="I132" s="71">
        <v>1605815.1206395342</v>
      </c>
      <c r="J132" s="71">
        <v>115262.59218235347</v>
      </c>
      <c r="K132" s="71">
        <v>49.15121495327103</v>
      </c>
      <c r="L132" s="71">
        <v>7.5082816059433428</v>
      </c>
      <c r="M132" s="71">
        <v>4.127188552957139</v>
      </c>
      <c r="N132" s="71">
        <v>788.36279069767454</v>
      </c>
    </row>
    <row r="133" spans="2:14" s="71" customFormat="1" x14ac:dyDescent="0.25">
      <c r="B133" s="71" t="str">
        <f>VLOOKUP(F133,[1]NUTS_Europa!$A$2:$C$81,2,FALSE)</f>
        <v>ES61</v>
      </c>
      <c r="C133" s="71">
        <f>VLOOKUP(F133,[1]NUTS_Europa!$A$2:$C$81,3,FALSE)</f>
        <v>61</v>
      </c>
      <c r="D133" s="71" t="str">
        <f>VLOOKUP(G133,[1]NUTS_Europa!$A$2:$C$81,2,FALSE)</f>
        <v>PT11</v>
      </c>
      <c r="E133" s="71">
        <f>VLOOKUP(G133,[1]NUTS_Europa!$A$2:$C$81,3,FALSE)</f>
        <v>111</v>
      </c>
      <c r="F133" s="71">
        <v>17</v>
      </c>
      <c r="G133" s="71">
        <v>36</v>
      </c>
      <c r="H133" s="71">
        <v>1710349.8089015279</v>
      </c>
      <c r="I133" s="71">
        <v>1070146.3777705687</v>
      </c>
      <c r="J133" s="71">
        <v>507158.32774652442</v>
      </c>
      <c r="K133" s="71">
        <v>14.962149532710281</v>
      </c>
      <c r="L133" s="71">
        <v>7.2806202717677273</v>
      </c>
      <c r="M133" s="71">
        <v>12.785285159644387</v>
      </c>
      <c r="N133" s="71">
        <v>2919.4418190274873</v>
      </c>
    </row>
    <row r="134" spans="2:14" s="71" customFormat="1" x14ac:dyDescent="0.25">
      <c r="B134" s="71" t="str">
        <f>VLOOKUP(G134,[1]NUTS_Europa!$A$2:$C$81,2,FALSE)</f>
        <v>PT11</v>
      </c>
      <c r="C134" s="71">
        <f>VLOOKUP(G134,[1]NUTS_Europa!$A$2:$C$81,3,FALSE)</f>
        <v>111</v>
      </c>
      <c r="D134" s="71" t="str">
        <f>VLOOKUP(F134,[1]NUTS_Europa!$A$2:$C$81,2,FALSE)</f>
        <v>NL34</v>
      </c>
      <c r="E134" s="71">
        <f>VLOOKUP(F134,[1]NUTS_Europa!$A$2:$C$81,3,FALSE)</f>
        <v>250</v>
      </c>
      <c r="F134" s="71">
        <v>34</v>
      </c>
      <c r="G134" s="71">
        <v>36</v>
      </c>
      <c r="H134" s="71">
        <v>1276270.4571603141</v>
      </c>
      <c r="I134" s="71">
        <v>1784482.4523999153</v>
      </c>
      <c r="J134" s="71">
        <v>176841.96373917855</v>
      </c>
      <c r="K134" s="71">
        <v>45.038317757009352</v>
      </c>
      <c r="L134" s="71">
        <v>13.743301107956562</v>
      </c>
      <c r="M134" s="71">
        <v>16.233879062411841</v>
      </c>
      <c r="N134" s="71">
        <v>2919.4418190274873</v>
      </c>
    </row>
    <row r="135" spans="2:14" s="71" customFormat="1" x14ac:dyDescent="0.25">
      <c r="B135" s="71" t="str">
        <f>VLOOKUP(F135,[1]NUTS_Europa!$A$2:$C$81,2,FALSE)</f>
        <v>NL34</v>
      </c>
      <c r="C135" s="71">
        <f>VLOOKUP(F135,[1]NUTS_Europa!$A$2:$C$81,3,FALSE)</f>
        <v>250</v>
      </c>
      <c r="D135" s="71" t="str">
        <f>VLOOKUP(G135,[1]NUTS_Europa!$A$2:$C$81,2,FALSE)</f>
        <v>PT16</v>
      </c>
      <c r="E135" s="71">
        <f>VLOOKUP(G135,[1]NUTS_Europa!$A$2:$C$81,3,FALSE)</f>
        <v>111</v>
      </c>
      <c r="F135" s="71">
        <v>34</v>
      </c>
      <c r="G135" s="71">
        <v>38</v>
      </c>
      <c r="H135" s="71">
        <v>1180439.7794507367</v>
      </c>
      <c r="I135" s="71">
        <v>1784482.4523999153</v>
      </c>
      <c r="J135" s="71">
        <v>199058.85825050285</v>
      </c>
      <c r="K135" s="71">
        <v>45.038317757009352</v>
      </c>
      <c r="L135" s="71">
        <v>13.743301107956562</v>
      </c>
      <c r="M135" s="71">
        <v>16.233879062411841</v>
      </c>
      <c r="N135" s="71">
        <v>2919.4418190274873</v>
      </c>
    </row>
    <row r="136" spans="2:14" s="71" customFormat="1" x14ac:dyDescent="0.25">
      <c r="B136" s="71" t="str">
        <f>VLOOKUP(G136,[1]NUTS_Europa!$A$2:$C$81,2,FALSE)</f>
        <v>PT16</v>
      </c>
      <c r="C136" s="71">
        <f>VLOOKUP(G136,[1]NUTS_Europa!$A$2:$C$81,3,FALSE)</f>
        <v>111</v>
      </c>
      <c r="D136" s="71" t="str">
        <f>VLOOKUP(F136,[1]NUTS_Europa!$A$2:$C$81,2,FALSE)</f>
        <v>NL41</v>
      </c>
      <c r="E136" s="71">
        <f>VLOOKUP(F136,[1]NUTS_Europa!$A$2:$C$81,3,FALSE)</f>
        <v>253</v>
      </c>
      <c r="F136" s="71">
        <v>35</v>
      </c>
      <c r="G136" s="71">
        <v>38</v>
      </c>
      <c r="H136" s="71">
        <v>897351.62698545959</v>
      </c>
      <c r="I136" s="71">
        <v>1631618.5885152908</v>
      </c>
      <c r="J136" s="71">
        <v>122072.63094995193</v>
      </c>
      <c r="K136" s="71">
        <v>45.088785046728972</v>
      </c>
      <c r="L136" s="71">
        <v>11.029519298873055</v>
      </c>
      <c r="M136" s="71">
        <v>16.233879062411841</v>
      </c>
      <c r="N136" s="71">
        <v>2919.4418190274873</v>
      </c>
    </row>
    <row r="137" spans="2:14" s="71" customFormat="1" x14ac:dyDescent="0.25">
      <c r="B137" s="71" t="str">
        <f>VLOOKUP(F137,[1]NUTS_Europa!$A$2:$C$81,2,FALSE)</f>
        <v>NL41</v>
      </c>
      <c r="C137" s="71">
        <f>VLOOKUP(F137,[1]NUTS_Europa!$A$2:$C$81,3,FALSE)</f>
        <v>253</v>
      </c>
      <c r="D137" s="71" t="str">
        <f>VLOOKUP(G137,[1]NUTS_Europa!$A$2:$C$81,2,FALSE)</f>
        <v>PT18</v>
      </c>
      <c r="E137" s="71">
        <f>VLOOKUP(G137,[1]NUTS_Europa!$A$2:$C$81,3,FALSE)</f>
        <v>1065</v>
      </c>
      <c r="F137" s="71">
        <v>35</v>
      </c>
      <c r="G137" s="71">
        <v>40</v>
      </c>
      <c r="H137" s="71">
        <v>2407020.2975285887</v>
      </c>
      <c r="I137" s="71">
        <v>1834940.1730206239</v>
      </c>
      <c r="J137" s="71">
        <v>120437.35243536306</v>
      </c>
      <c r="K137" s="71">
        <v>54.475093457943935</v>
      </c>
      <c r="L137" s="71">
        <v>13.138087071148227</v>
      </c>
      <c r="M137" s="71">
        <v>40.700354496724465</v>
      </c>
      <c r="N137" s="71">
        <v>7319.4038535191366</v>
      </c>
    </row>
    <row r="138" spans="2:14" s="71" customFormat="1" x14ac:dyDescent="0.25">
      <c r="B138" s="71" t="str">
        <f>VLOOKUP(G138,[1]NUTS_Europa!$A$2:$C$81,2,FALSE)</f>
        <v>PT18</v>
      </c>
      <c r="C138" s="71">
        <f>VLOOKUP(G138,[1]NUTS_Europa!$A$2:$C$81,3,FALSE)</f>
        <v>1065</v>
      </c>
      <c r="D138" s="71" t="str">
        <f>VLOOKUP(F138,[1]NUTS_Europa!$A$2:$C$81,2,FALSE)</f>
        <v>ES52</v>
      </c>
      <c r="E138" s="71">
        <f>VLOOKUP(F138,[1]NUTS_Europa!$A$2:$C$81,3,FALSE)</f>
        <v>1064</v>
      </c>
      <c r="F138" s="71">
        <v>16</v>
      </c>
      <c r="G138" s="71">
        <v>40</v>
      </c>
      <c r="H138" s="71">
        <v>2222497.2245213278</v>
      </c>
      <c r="I138" s="71">
        <v>1325791.0382116765</v>
      </c>
      <c r="J138" s="71">
        <v>117923.68175590989</v>
      </c>
      <c r="K138" s="71">
        <v>26.92196261682243</v>
      </c>
      <c r="L138" s="71">
        <v>10.115750723732958</v>
      </c>
      <c r="M138" s="71">
        <v>34.436560679728125</v>
      </c>
      <c r="N138" s="71">
        <v>7319.4038535191366</v>
      </c>
    </row>
    <row r="139" spans="2:14" s="71" customFormat="1" x14ac:dyDescent="0.25">
      <c r="B139" s="71" t="str">
        <f>VLOOKUP(G139,[1]NUTS_Europa!$A$2:$C$81,2,FALSE)</f>
        <v>ES52</v>
      </c>
      <c r="C139" s="71">
        <f>VLOOKUP(G139,[1]NUTS_Europa!$A$2:$C$81,3,FALSE)</f>
        <v>1064</v>
      </c>
      <c r="D139" s="71" t="str">
        <f>VLOOKUP(F139,[1]NUTS_Europa!$A$2:$C$81,2,FALSE)</f>
        <v>ES51</v>
      </c>
      <c r="E139" s="71">
        <f>VLOOKUP(F139,[1]NUTS_Europa!$A$2:$C$81,3,FALSE)</f>
        <v>1063</v>
      </c>
      <c r="F139" s="71">
        <v>15</v>
      </c>
      <c r="G139" s="71">
        <v>16</v>
      </c>
      <c r="H139" s="71">
        <v>3223049.8550334461</v>
      </c>
      <c r="I139" s="71">
        <v>4911079.7250226075</v>
      </c>
      <c r="J139" s="71">
        <v>135416.16142478216</v>
      </c>
      <c r="K139" s="71">
        <v>7.5700934579439254</v>
      </c>
      <c r="L139" s="71">
        <v>9.8929885291763586</v>
      </c>
      <c r="M139" s="71">
        <v>58.678476884415012</v>
      </c>
      <c r="N139" s="71">
        <v>12471.961814678283</v>
      </c>
    </row>
    <row r="140" spans="2:14" s="71" customFormat="1" x14ac:dyDescent="0.25">
      <c r="B140" s="71" t="str">
        <f>VLOOKUP(F140,[1]NUTS_Europa!$A$2:$C$81,2,FALSE)</f>
        <v>ES51</v>
      </c>
      <c r="C140" s="71">
        <f>VLOOKUP(F140,[1]NUTS_Europa!$A$2:$C$81,3,FALSE)</f>
        <v>1063</v>
      </c>
      <c r="D140" s="71" t="str">
        <f>VLOOKUP(G140,[1]NUTS_Europa!$A$2:$C$81,2,FALSE)</f>
        <v>PT15</v>
      </c>
      <c r="E140" s="71">
        <f>VLOOKUP(G140,[1]NUTS_Europa!$A$2:$C$81,3,FALSE)</f>
        <v>1065</v>
      </c>
      <c r="F140" s="71">
        <v>15</v>
      </c>
      <c r="G140" s="71">
        <v>37</v>
      </c>
      <c r="H140" s="71">
        <v>3121664.2523196125</v>
      </c>
      <c r="I140" s="71">
        <v>5457240.5847079167</v>
      </c>
      <c r="J140" s="71">
        <v>123614.25510828695</v>
      </c>
      <c r="K140" s="71">
        <v>37.336448598130843</v>
      </c>
      <c r="L140" s="71">
        <v>12.923727625042943</v>
      </c>
      <c r="M140" s="71">
        <v>34.436560679728125</v>
      </c>
      <c r="N140" s="71">
        <v>7319.4038535191366</v>
      </c>
    </row>
    <row r="141" spans="2:14" s="71" customFormat="1" x14ac:dyDescent="0.25">
      <c r="B141" s="71" t="str">
        <f>VLOOKUP(G141,[1]NUTS_Europa!$A$2:$C$81,2,FALSE)</f>
        <v>PT15</v>
      </c>
      <c r="C141" s="71">
        <f>VLOOKUP(G141,[1]NUTS_Europa!$A$2:$C$81,3,FALSE)</f>
        <v>1065</v>
      </c>
      <c r="D141" s="71" t="str">
        <f>VLOOKUP(F141,[1]NUTS_Europa!$A$2:$C$81,2,FALSE)</f>
        <v>NL33</v>
      </c>
      <c r="E141" s="71">
        <f>VLOOKUP(F141,[1]NUTS_Europa!$A$2:$C$81,3,FALSE)</f>
        <v>250</v>
      </c>
      <c r="F141" s="71">
        <v>33</v>
      </c>
      <c r="G141" s="71">
        <v>37</v>
      </c>
      <c r="H141" s="71">
        <v>2836134.4993031924</v>
      </c>
      <c r="I141" s="71">
        <v>2010739.7989157946</v>
      </c>
      <c r="J141" s="71">
        <v>114346.85142443764</v>
      </c>
      <c r="K141" s="71">
        <v>54.47476635514019</v>
      </c>
      <c r="L141" s="71">
        <v>15.851868880231734</v>
      </c>
      <c r="M141" s="71">
        <v>40.700354496724465</v>
      </c>
      <c r="N141" s="71">
        <v>7319.4038535191366</v>
      </c>
    </row>
    <row r="142" spans="2:14" s="71" customFormat="1" x14ac:dyDescent="0.25">
      <c r="B142" s="71" t="str">
        <f>VLOOKUP(F142,[1]NUTS_Europa!$A$2:$C$81,2,FALSE)</f>
        <v>NL33</v>
      </c>
      <c r="C142" s="71">
        <f>VLOOKUP(F142,[1]NUTS_Europa!$A$2:$C$81,3,FALSE)</f>
        <v>250</v>
      </c>
      <c r="D142" s="71" t="str">
        <f>VLOOKUP(G142,[1]NUTS_Europa!$A$2:$C$81,2,FALSE)</f>
        <v>NL11</v>
      </c>
      <c r="E142" s="71">
        <f>VLOOKUP(G142,[1]NUTS_Europa!$A$2:$C$81,3,FALSE)</f>
        <v>218</v>
      </c>
      <c r="F142" s="71">
        <v>33</v>
      </c>
      <c r="G142" s="71">
        <v>70</v>
      </c>
      <c r="H142" s="71">
        <v>1779869.6319379453</v>
      </c>
      <c r="I142" s="71">
        <v>1217472.5725670783</v>
      </c>
      <c r="J142" s="71">
        <v>135416.16142478216</v>
      </c>
      <c r="K142" s="71">
        <v>3.1775700934579443</v>
      </c>
      <c r="L142" s="71">
        <v>12.859351990145434</v>
      </c>
      <c r="M142" s="71">
        <v>26.101770317372409</v>
      </c>
      <c r="N142" s="71">
        <v>4963.1764433597036</v>
      </c>
    </row>
    <row r="143" spans="2:14" s="71" customFormat="1" x14ac:dyDescent="0.25">
      <c r="B143" s="71" t="str">
        <f>VLOOKUP(G143,[1]NUTS_Europa!$A$2:$C$81,2,FALSE)</f>
        <v>NL11</v>
      </c>
      <c r="C143" s="71">
        <f>VLOOKUP(G143,[1]NUTS_Europa!$A$2:$C$81,3,FALSE)</f>
        <v>218</v>
      </c>
      <c r="D143" s="71" t="str">
        <f>VLOOKUP(F143,[1]NUTS_Europa!$A$2:$C$81,2,FALSE)</f>
        <v>DE50</v>
      </c>
      <c r="E143" s="71">
        <f>VLOOKUP(F143,[1]NUTS_Europa!$A$2:$C$81,3,FALSE)</f>
        <v>1069</v>
      </c>
      <c r="F143" s="71">
        <v>44</v>
      </c>
      <c r="G143" s="71">
        <v>70</v>
      </c>
      <c r="H143" s="71">
        <v>2006645.9071620239</v>
      </c>
      <c r="I143" s="71">
        <v>1178914.0554693798</v>
      </c>
      <c r="J143" s="71">
        <v>120437.35243536306</v>
      </c>
      <c r="K143" s="71">
        <v>12.615420560747665</v>
      </c>
      <c r="L143" s="71">
        <v>7.539722996971344</v>
      </c>
      <c r="M143" s="71">
        <v>21.854386986606851</v>
      </c>
      <c r="N143" s="71">
        <v>4963.1764433597036</v>
      </c>
    </row>
    <row r="144" spans="2:14" s="71" customFormat="1" x14ac:dyDescent="0.25">
      <c r="B144" s="71" t="str">
        <f>VLOOKUP(F144,[1]NUTS_Europa!$A$2:$C$81,2,FALSE)</f>
        <v>DE50</v>
      </c>
      <c r="C144" s="71">
        <f>VLOOKUP(F144,[1]NUTS_Europa!$A$2:$C$81,3,FALSE)</f>
        <v>1069</v>
      </c>
      <c r="D144" s="71" t="str">
        <f>VLOOKUP(G144,[1]NUTS_Europa!$A$2:$C$81,2,FALSE)</f>
        <v>ES12</v>
      </c>
      <c r="E144" s="71">
        <f>VLOOKUP(G144,[1]NUTS_Europa!$A$2:$C$81,3,FALSE)</f>
        <v>163</v>
      </c>
      <c r="F144" s="71">
        <v>44</v>
      </c>
      <c r="G144" s="71">
        <v>52</v>
      </c>
      <c r="H144" s="71">
        <v>1859505.8500019119</v>
      </c>
      <c r="I144" s="71">
        <v>1689515.9285574164</v>
      </c>
      <c r="J144" s="71">
        <v>120125.80522925351</v>
      </c>
      <c r="K144" s="71">
        <v>48.97429906542056</v>
      </c>
      <c r="L144" s="71">
        <v>11.522119443935621</v>
      </c>
      <c r="M144" s="71">
        <v>18.762962363580304</v>
      </c>
      <c r="N144" s="71">
        <v>3374.2629695885503</v>
      </c>
    </row>
    <row r="145" spans="2:14" s="71" customFormat="1" x14ac:dyDescent="0.25">
      <c r="B145" s="71" t="str">
        <f>VLOOKUP(G145,[1]NUTS_Europa!$A$2:$C$81,2,FALSE)</f>
        <v>ES12</v>
      </c>
      <c r="C145" s="71">
        <f>VLOOKUP(G145,[1]NUTS_Europa!$A$2:$C$81,3,FALSE)</f>
        <v>163</v>
      </c>
      <c r="D145" s="71" t="str">
        <f>VLOOKUP(F145,[1]NUTS_Europa!$A$2:$C$81,2,FALSE)</f>
        <v>BE23</v>
      </c>
      <c r="E145" s="71">
        <f>VLOOKUP(F145,[1]NUTS_Europa!$A$2:$C$81,3,FALSE)</f>
        <v>220</v>
      </c>
      <c r="F145" s="71">
        <v>42</v>
      </c>
      <c r="G145" s="71">
        <v>52</v>
      </c>
      <c r="H145" s="71">
        <v>1698976.8070557942</v>
      </c>
      <c r="I145" s="71">
        <v>1435734.00409798</v>
      </c>
      <c r="J145" s="71">
        <v>137713.62258431225</v>
      </c>
      <c r="K145" s="71">
        <v>34.112149532710283</v>
      </c>
      <c r="L145" s="71">
        <v>12.679306053427783</v>
      </c>
      <c r="M145" s="71">
        <v>19.739418074474756</v>
      </c>
      <c r="N145" s="71">
        <v>3374.2629695885503</v>
      </c>
    </row>
    <row r="146" spans="2:14" s="71" customFormat="1" x14ac:dyDescent="0.25">
      <c r="B146" s="71" t="str">
        <f>VLOOKUP(F146,[1]NUTS_Europa!$A$2:$C$81,2,FALSE)</f>
        <v>BE23</v>
      </c>
      <c r="C146" s="71">
        <f>VLOOKUP(F146,[1]NUTS_Europa!$A$2:$C$81,3,FALSE)</f>
        <v>220</v>
      </c>
      <c r="D146" s="71" t="str">
        <f>VLOOKUP(G146,[1]NUTS_Europa!$A$2:$C$81,2,FALSE)</f>
        <v>FRJ2</v>
      </c>
      <c r="E146" s="71">
        <f>VLOOKUP(G146,[1]NUTS_Europa!$A$2:$C$81,3,FALSE)</f>
        <v>163</v>
      </c>
      <c r="F146" s="71">
        <v>42</v>
      </c>
      <c r="G146" s="71">
        <v>68</v>
      </c>
      <c r="H146" s="71">
        <v>2819869.8486604448</v>
      </c>
      <c r="I146" s="71">
        <v>1435734.00409798</v>
      </c>
      <c r="J146" s="71">
        <v>156784.57749147405</v>
      </c>
      <c r="K146" s="71">
        <v>34.112149532710283</v>
      </c>
      <c r="L146" s="71">
        <v>12.679306053427783</v>
      </c>
      <c r="M146" s="71">
        <v>19.739418074474756</v>
      </c>
      <c r="N146" s="71">
        <v>3374.2629695885503</v>
      </c>
    </row>
    <row r="147" spans="2:14" s="71" customFormat="1" x14ac:dyDescent="0.25">
      <c r="B147" s="71" t="str">
        <f>VLOOKUP(G147,[1]NUTS_Europa!$A$2:$C$81,2,FALSE)</f>
        <v>FRJ2</v>
      </c>
      <c r="C147" s="71">
        <f>VLOOKUP(G147,[1]NUTS_Europa!$A$2:$C$81,3,FALSE)</f>
        <v>163</v>
      </c>
      <c r="D147" s="71" t="str">
        <f>VLOOKUP(F147,[1]NUTS_Europa!$A$2:$C$81,2,FALSE)</f>
        <v>FRD1</v>
      </c>
      <c r="E147" s="71">
        <f>VLOOKUP(F147,[1]NUTS_Europa!$A$2:$C$81,3,FALSE)</f>
        <v>269</v>
      </c>
      <c r="F147" s="71">
        <v>59</v>
      </c>
      <c r="G147" s="71">
        <v>68</v>
      </c>
      <c r="H147" s="71">
        <v>3073374.5978590269</v>
      </c>
      <c r="I147" s="71">
        <v>1426374.601479159</v>
      </c>
      <c r="J147" s="71">
        <v>145277.79316174539</v>
      </c>
      <c r="K147" s="71">
        <v>28.410747663551405</v>
      </c>
      <c r="L147" s="71">
        <v>10.690213114493593</v>
      </c>
      <c r="M147" s="71">
        <v>21.650586540194972</v>
      </c>
      <c r="N147" s="71">
        <v>3374.2629695885503</v>
      </c>
    </row>
    <row r="148" spans="2:14" s="71" customFormat="1" x14ac:dyDescent="0.25">
      <c r="B148" s="71" t="str">
        <f>VLOOKUP(G148,[1]NUTS_Europa!$A$2:$C$81,2,FALSE)</f>
        <v>FRD1</v>
      </c>
      <c r="C148" s="71">
        <f>VLOOKUP(G148,[1]NUTS_Europa!$A$2:$C$81,3,FALSE)</f>
        <v>269</v>
      </c>
      <c r="D148" s="71" t="str">
        <f>VLOOKUP(F148,[1]NUTS_Europa!$A$2:$C$81,2,FALSE)</f>
        <v>BE25</v>
      </c>
      <c r="E148" s="71">
        <f>VLOOKUP(F148,[1]NUTS_Europa!$A$2:$C$81,3,FALSE)</f>
        <v>220</v>
      </c>
      <c r="F148" s="71">
        <v>43</v>
      </c>
      <c r="G148" s="71">
        <v>59</v>
      </c>
      <c r="H148" s="71">
        <v>3950648.3135760175</v>
      </c>
      <c r="I148" s="71">
        <v>1063581.4467317988</v>
      </c>
      <c r="J148" s="71">
        <v>199058.85825050285</v>
      </c>
      <c r="K148" s="71">
        <v>8.4574766355140198</v>
      </c>
      <c r="L148" s="71">
        <v>8.2432702345658839</v>
      </c>
      <c r="M148" s="71">
        <v>89.958047032962384</v>
      </c>
      <c r="N148" s="71">
        <v>15377.459749552776</v>
      </c>
    </row>
    <row r="149" spans="2:14" s="71" customFormat="1" x14ac:dyDescent="0.25">
      <c r="B149" s="71" t="str">
        <f>VLOOKUP(F149,[1]NUTS_Europa!$A$2:$C$81,2,FALSE)</f>
        <v>BE25</v>
      </c>
      <c r="C149" s="71">
        <f>VLOOKUP(F149,[1]NUTS_Europa!$A$2:$C$81,3,FALSE)</f>
        <v>220</v>
      </c>
      <c r="D149" s="71" t="str">
        <f>VLOOKUP(G149,[1]NUTS_Europa!$A$2:$C$81,2,FALSE)</f>
        <v>PT18</v>
      </c>
      <c r="E149" s="71">
        <f>VLOOKUP(G149,[1]NUTS_Europa!$A$2:$C$81,3,FALSE)</f>
        <v>61</v>
      </c>
      <c r="F149" s="71">
        <v>43</v>
      </c>
      <c r="G149" s="71">
        <v>80</v>
      </c>
      <c r="H149" s="71">
        <v>13641093.316340309</v>
      </c>
      <c r="I149" s="71">
        <v>1820546.3024560201</v>
      </c>
      <c r="J149" s="71">
        <v>117768.50934211678</v>
      </c>
      <c r="K149" s="71">
        <v>63.255607476635518</v>
      </c>
      <c r="L149" s="71">
        <v>7.9321247209931656</v>
      </c>
      <c r="M149" s="71">
        <v>94.659378032007623</v>
      </c>
      <c r="N149" s="71">
        <v>20275.132014860137</v>
      </c>
    </row>
    <row r="150" spans="2:14" s="71" customFormat="1" x14ac:dyDescent="0.25">
      <c r="B150" s="71" t="str">
        <f>VLOOKUP(G150,[1]NUTS_Europa!$A$2:$C$81,2,FALSE)</f>
        <v>PT18</v>
      </c>
      <c r="C150" s="71">
        <f>VLOOKUP(G150,[1]NUTS_Europa!$A$2:$C$81,3,FALSE)</f>
        <v>61</v>
      </c>
      <c r="D150" s="71" t="str">
        <f>VLOOKUP(F150,[1]NUTS_Europa!$A$2:$C$81,2,FALSE)</f>
        <v>DE60</v>
      </c>
      <c r="E150" s="71">
        <f>VLOOKUP(F150,[1]NUTS_Europa!$A$2:$C$81,3,FALSE)</f>
        <v>1069</v>
      </c>
      <c r="F150" s="71">
        <v>5</v>
      </c>
      <c r="G150" s="71">
        <v>80</v>
      </c>
      <c r="H150" s="71">
        <v>12667566.868798733</v>
      </c>
      <c r="I150" s="71">
        <v>2077204.3830544683</v>
      </c>
      <c r="J150" s="71">
        <v>118487.95435333898</v>
      </c>
      <c r="K150" s="71">
        <v>78.167289719626169</v>
      </c>
      <c r="L150" s="71">
        <v>6.7749381115010037</v>
      </c>
      <c r="M150" s="71">
        <v>88.792091272356132</v>
      </c>
      <c r="N150" s="71">
        <v>20275.132014860137</v>
      </c>
    </row>
    <row r="151" spans="2:14" s="71" customFormat="1" x14ac:dyDescent="0.25"/>
    <row r="152" spans="2:14" s="71" customFormat="1" x14ac:dyDescent="0.25"/>
    <row r="153" spans="2:14" s="71" customFormat="1" x14ac:dyDescent="0.25"/>
    <row r="154" spans="2:14" s="71" customFormat="1" x14ac:dyDescent="0.25"/>
    <row r="155" spans="2:14" s="71" customFormat="1" x14ac:dyDescent="0.25"/>
    <row r="156" spans="2:14" s="71" customFormat="1" x14ac:dyDescent="0.25"/>
  </sheetData>
  <autoFilter ref="B3:I83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5E6-B99D-4ED2-AA2F-103623108DAC}">
  <dimension ref="B3:AF138"/>
  <sheetViews>
    <sheetView topLeftCell="A34" workbookViewId="0">
      <selection activeCell="Q131" sqref="Q131:Q133"/>
    </sheetView>
  </sheetViews>
  <sheetFormatPr baseColWidth="10" defaultRowHeight="15" x14ac:dyDescent="0.25"/>
  <cols>
    <col min="3" max="3" width="11.5703125" bestFit="1" customWidth="1"/>
    <col min="5" max="5" width="11.5703125" bestFit="1" customWidth="1"/>
    <col min="6" max="7" width="5.140625" bestFit="1" customWidth="1"/>
    <col min="8" max="9" width="14.85546875" bestFit="1" customWidth="1"/>
    <col min="10" max="10" width="16.28515625" bestFit="1" customWidth="1"/>
    <col min="11" max="12" width="11.85546875" bestFit="1" customWidth="1"/>
    <col min="13" max="13" width="13.85546875" bestFit="1" customWidth="1"/>
    <col min="14" max="14" width="11.85546875" bestFit="1" customWidth="1"/>
    <col min="15" max="15" width="11.5703125" bestFit="1" customWidth="1"/>
    <col min="16" max="16" width="12.140625" customWidth="1"/>
    <col min="17" max="18" width="11.5703125" bestFit="1" customWidth="1"/>
    <col min="19" max="19" width="13.85546875" bestFit="1" customWidth="1"/>
    <col min="20" max="21" width="14" bestFit="1" customWidth="1"/>
    <col min="26" max="28" width="11.5703125" bestFit="1" customWidth="1"/>
  </cols>
  <sheetData>
    <row r="3" spans="2:14" x14ac:dyDescent="0.25">
      <c r="B3" t="s">
        <v>134</v>
      </c>
      <c r="C3" t="s">
        <v>135</v>
      </c>
      <c r="D3" t="s">
        <v>131</v>
      </c>
      <c r="E3" t="s">
        <v>136</v>
      </c>
      <c r="F3" t="s">
        <v>39</v>
      </c>
      <c r="G3" t="s">
        <v>40</v>
      </c>
      <c r="H3" t="s">
        <v>137</v>
      </c>
      <c r="I3" t="s">
        <v>133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76" customFormat="1" x14ac:dyDescent="0.25">
      <c r="B4" s="76" t="str">
        <f>VLOOKUP(F4,[1]NUTS_Europa!$A$2:$C$81,2,FALSE)</f>
        <v>BE21</v>
      </c>
      <c r="C4" s="76">
        <f>VLOOKUP(F4,[1]NUTS_Europa!$A$2:$C$81,3,FALSE)</f>
        <v>253</v>
      </c>
      <c r="D4" s="76" t="str">
        <f>VLOOKUP(G4,[1]NUTS_Europa!$A$2:$C$81,2,FALSE)</f>
        <v>BE25</v>
      </c>
      <c r="E4" s="76">
        <f>VLOOKUP(G4,[1]NUTS_Europa!$A$2:$C$81,3,FALSE)</f>
        <v>235</v>
      </c>
      <c r="F4" s="76">
        <v>1</v>
      </c>
      <c r="G4" s="76">
        <v>3</v>
      </c>
      <c r="H4" s="77">
        <v>332522.60866222891</v>
      </c>
      <c r="I4" s="77">
        <v>978260.25943651237</v>
      </c>
      <c r="J4" s="76">
        <v>135416.16142478216</v>
      </c>
      <c r="K4" s="76">
        <v>8.9857142857142858</v>
      </c>
      <c r="L4" s="76">
        <v>10.887749052676508</v>
      </c>
      <c r="M4" s="76">
        <v>9.8362642499456925</v>
      </c>
      <c r="N4" s="76">
        <v>1766.2818805981751</v>
      </c>
    </row>
    <row r="5" spans="2:14" s="76" customFormat="1" x14ac:dyDescent="0.25">
      <c r="B5" s="76" t="str">
        <f>VLOOKUP(F5,[1]NUTS_Europa!$A$2:$C$81,2,FALSE)</f>
        <v>BE21</v>
      </c>
      <c r="C5" s="76">
        <f>VLOOKUP(F5,[1]NUTS_Europa!$A$2:$C$81,3,FALSE)</f>
        <v>253</v>
      </c>
      <c r="D5" s="76" t="str">
        <f>VLOOKUP(G5,[1]NUTS_Europa!$A$2:$C$81,2,FALSE)</f>
        <v>ES13</v>
      </c>
      <c r="E5" s="76">
        <f>VLOOKUP(G5,[1]NUTS_Europa!$A$2:$C$81,3,FALSE)</f>
        <v>163</v>
      </c>
      <c r="F5" s="76">
        <v>1</v>
      </c>
      <c r="G5" s="76">
        <v>13</v>
      </c>
      <c r="H5" s="76">
        <v>811308.86704906553</v>
      </c>
      <c r="I5" s="76">
        <v>1419008.220308346</v>
      </c>
      <c r="J5" s="76">
        <v>117923.68175590989</v>
      </c>
      <c r="K5" s="76">
        <v>55.422142857142852</v>
      </c>
      <c r="L5" s="76">
        <v>12.480736152845669</v>
      </c>
      <c r="M5" s="76">
        <v>19.79482197960683</v>
      </c>
      <c r="N5" s="76">
        <v>3085.040429338103</v>
      </c>
    </row>
    <row r="6" spans="2:14" s="76" customFormat="1" x14ac:dyDescent="0.25">
      <c r="B6" s="76" t="str">
        <f>VLOOKUP(F6,[1]NUTS_Europa!$A$2:$C$81,2,FALSE)</f>
        <v>BE23</v>
      </c>
      <c r="C6" s="76">
        <f>VLOOKUP(F6,[1]NUTS_Europa!$A$2:$C$81,3,FALSE)</f>
        <v>253</v>
      </c>
      <c r="D6" s="76" t="str">
        <f>VLOOKUP(G6,[1]NUTS_Europa!$A$2:$C$81,2,FALSE)</f>
        <v>BE25</v>
      </c>
      <c r="E6" s="76">
        <f>VLOOKUP(G6,[1]NUTS_Europa!$A$2:$C$81,3,FALSE)</f>
        <v>235</v>
      </c>
      <c r="F6" s="76">
        <v>2</v>
      </c>
      <c r="G6" s="76">
        <v>3</v>
      </c>
      <c r="H6" s="76">
        <v>411372.96437589265</v>
      </c>
      <c r="I6" s="76">
        <v>978260.25943651237</v>
      </c>
      <c r="J6" s="76">
        <v>135416.16142478216</v>
      </c>
      <c r="K6" s="76">
        <v>8.9857142857142858</v>
      </c>
      <c r="L6" s="76">
        <v>10.887749052676508</v>
      </c>
      <c r="M6" s="76">
        <v>9.8362642499456925</v>
      </c>
      <c r="N6" s="76">
        <v>1766.2818805981751</v>
      </c>
    </row>
    <row r="7" spans="2:14" s="76" customFormat="1" x14ac:dyDescent="0.25">
      <c r="B7" s="76" t="str">
        <f>VLOOKUP(F7,[1]NUTS_Europa!$A$2:$C$81,2,FALSE)</f>
        <v>BE23</v>
      </c>
      <c r="C7" s="76">
        <f>VLOOKUP(F7,[1]NUTS_Europa!$A$2:$C$81,3,FALSE)</f>
        <v>253</v>
      </c>
      <c r="D7" s="76" t="str">
        <f>VLOOKUP(G7,[1]NUTS_Europa!$A$2:$C$81,2,FALSE)</f>
        <v>ES21</v>
      </c>
      <c r="E7" s="76">
        <f>VLOOKUP(G7,[1]NUTS_Europa!$A$2:$C$81,3,FALSE)</f>
        <v>163</v>
      </c>
      <c r="F7" s="76">
        <v>2</v>
      </c>
      <c r="G7" s="76">
        <v>14</v>
      </c>
      <c r="H7" s="76">
        <v>767561.75974487944</v>
      </c>
      <c r="I7" s="76">
        <v>1419008.220308346</v>
      </c>
      <c r="J7" s="76">
        <v>145277.79316174539</v>
      </c>
      <c r="K7" s="76">
        <v>55.422142857142852</v>
      </c>
      <c r="L7" s="76">
        <v>12.480736152845669</v>
      </c>
      <c r="M7" s="76">
        <v>19.79482197960683</v>
      </c>
      <c r="N7" s="76">
        <v>3085.040429338103</v>
      </c>
    </row>
    <row r="8" spans="2:14" s="76" customFormat="1" x14ac:dyDescent="0.25">
      <c r="B8" s="76" t="str">
        <f>VLOOKUP(F8,[1]NUTS_Europa!$A$2:$C$81,2,FALSE)</f>
        <v>DE50</v>
      </c>
      <c r="C8" s="76">
        <f>VLOOKUP(F8,[1]NUTS_Europa!$A$2:$C$81,3,FALSE)</f>
        <v>245</v>
      </c>
      <c r="D8" s="76" t="str">
        <f>VLOOKUP(G8,[1]NUTS_Europa!$A$2:$C$81,2,FALSE)</f>
        <v>ES12</v>
      </c>
      <c r="E8" s="76">
        <f>VLOOKUP(G8,[1]NUTS_Europa!$A$2:$C$81,3,FALSE)</f>
        <v>285</v>
      </c>
      <c r="F8" s="76">
        <v>4</v>
      </c>
      <c r="G8" s="76">
        <v>12</v>
      </c>
      <c r="H8" s="76">
        <v>55467.590571060922</v>
      </c>
      <c r="I8" s="76">
        <v>8457202.0946942959</v>
      </c>
      <c r="J8" s="76">
        <v>114346.85142443764</v>
      </c>
      <c r="K8" s="76">
        <v>71.852857142857147</v>
      </c>
      <c r="L8" s="76">
        <v>12.741825624196444</v>
      </c>
      <c r="M8" s="76">
        <v>8.6798247044985843E-2</v>
      </c>
      <c r="N8" s="76">
        <v>15.60948133635801</v>
      </c>
    </row>
    <row r="9" spans="2:14" s="76" customFormat="1" x14ac:dyDescent="0.25">
      <c r="B9" s="76" t="str">
        <f>VLOOKUP(F9,[1]NUTS_Europa!$A$2:$C$81,2,FALSE)</f>
        <v>DE50</v>
      </c>
      <c r="C9" s="76">
        <f>VLOOKUP(F9,[1]NUTS_Europa!$A$2:$C$81,3,FALSE)</f>
        <v>245</v>
      </c>
      <c r="D9" s="76" t="str">
        <f>VLOOKUP(G9,[1]NUTS_Europa!$A$2:$C$81,2,FALSE)</f>
        <v>FRD1</v>
      </c>
      <c r="E9" s="76">
        <f>VLOOKUP(G9,[1]NUTS_Europa!$A$2:$C$81,3,FALSE)</f>
        <v>268</v>
      </c>
      <c r="F9" s="76">
        <v>4</v>
      </c>
      <c r="G9" s="76">
        <v>19</v>
      </c>
      <c r="H9" s="76">
        <v>412344.71550805948</v>
      </c>
      <c r="I9" s="76">
        <v>7310016.5212661587</v>
      </c>
      <c r="J9" s="76">
        <v>163171.48832599766</v>
      </c>
      <c r="K9" s="76">
        <v>41.638571428571431</v>
      </c>
      <c r="L9" s="76">
        <v>10.962928021936897</v>
      </c>
      <c r="M9" s="76">
        <v>0.66574348672780248</v>
      </c>
      <c r="N9" s="76">
        <v>103.75670840787119</v>
      </c>
    </row>
    <row r="10" spans="2:14" s="76" customFormat="1" x14ac:dyDescent="0.25">
      <c r="B10" s="76" t="str">
        <f>VLOOKUP(F10,[1]NUTS_Europa!$A$2:$C$81,2,FALSE)</f>
        <v>DE60</v>
      </c>
      <c r="C10" s="76">
        <f>VLOOKUP(F10,[1]NUTS_Europa!$A$2:$C$81,3,FALSE)</f>
        <v>1069</v>
      </c>
      <c r="D10" s="76" t="str">
        <f>VLOOKUP(G10,[1]NUTS_Europa!$A$2:$C$81,2,FALSE)</f>
        <v>FRD2</v>
      </c>
      <c r="E10" s="76">
        <f>VLOOKUP(G10,[1]NUTS_Europa!$A$2:$C$81,3,FALSE)</f>
        <v>269</v>
      </c>
      <c r="F10" s="76">
        <v>5</v>
      </c>
      <c r="G10" s="76">
        <v>20</v>
      </c>
      <c r="H10" s="76">
        <v>2185284.7530158344</v>
      </c>
      <c r="I10" s="76">
        <v>1327154.5617321809</v>
      </c>
      <c r="J10" s="76">
        <v>145277.79316174539</v>
      </c>
      <c r="K10" s="76">
        <v>37.217857142857142</v>
      </c>
      <c r="L10" s="76">
        <v>13.230656340782472</v>
      </c>
      <c r="M10" s="76">
        <v>88.561924831901521</v>
      </c>
      <c r="N10" s="76">
        <v>15926.654740608226</v>
      </c>
    </row>
    <row r="11" spans="2:14" s="76" customFormat="1" x14ac:dyDescent="0.25">
      <c r="B11" s="76" t="str">
        <f>VLOOKUP(F11,[1]NUTS_Europa!$A$2:$C$81,2,FALSE)</f>
        <v>DE60</v>
      </c>
      <c r="C11" s="76">
        <f>VLOOKUP(F11,[1]NUTS_Europa!$A$2:$C$81,3,FALSE)</f>
        <v>1069</v>
      </c>
      <c r="D11" s="76" t="str">
        <f>VLOOKUP(G11,[1]NUTS_Europa!$A$2:$C$81,2,FALSE)</f>
        <v>PT18</v>
      </c>
      <c r="E11" s="76">
        <f>VLOOKUP(G11,[1]NUTS_Europa!$A$2:$C$81,3,FALSE)</f>
        <v>61</v>
      </c>
      <c r="F11" s="76">
        <v>5</v>
      </c>
      <c r="G11" s="76">
        <v>80</v>
      </c>
      <c r="H11" s="76">
        <v>11581775.422901699</v>
      </c>
      <c r="I11" s="76">
        <v>1893908.8063911465</v>
      </c>
      <c r="J11" s="76">
        <v>118487.95435333898</v>
      </c>
      <c r="K11" s="76">
        <v>119.48428571428572</v>
      </c>
      <c r="L11" s="76">
        <v>9.1744640931022019</v>
      </c>
      <c r="M11" s="76">
        <v>81.181340591868462</v>
      </c>
      <c r="N11" s="76">
        <v>18537.263556443555</v>
      </c>
    </row>
    <row r="12" spans="2:14" s="76" customFormat="1" x14ac:dyDescent="0.25">
      <c r="B12" s="76" t="str">
        <f>VLOOKUP(F12,[1]NUTS_Europa!$A$2:$C$81,2,FALSE)</f>
        <v>DE80</v>
      </c>
      <c r="C12" s="76">
        <f>VLOOKUP(F12,[1]NUTS_Europa!$A$2:$C$81,3,FALSE)</f>
        <v>1069</v>
      </c>
      <c r="D12" s="76" t="str">
        <f>VLOOKUP(G12,[1]NUTS_Europa!$A$2:$C$81,2,FALSE)</f>
        <v>ES11</v>
      </c>
      <c r="E12" s="76">
        <f>VLOOKUP(G12,[1]NUTS_Europa!$A$2:$C$81,3,FALSE)</f>
        <v>288</v>
      </c>
      <c r="F12" s="76">
        <v>6</v>
      </c>
      <c r="G12" s="76">
        <v>11</v>
      </c>
      <c r="H12" s="76">
        <v>517213.26083615399</v>
      </c>
      <c r="I12" s="76">
        <v>1657830.9714807135</v>
      </c>
      <c r="J12" s="76">
        <v>142841.86171918266</v>
      </c>
      <c r="K12" s="76">
        <v>82.767857142857139</v>
      </c>
      <c r="L12" s="76">
        <v>9.8249852279432695</v>
      </c>
      <c r="M12" s="76">
        <v>4.5189062009214327</v>
      </c>
      <c r="N12" s="76">
        <v>960.4820809003329</v>
      </c>
    </row>
    <row r="13" spans="2:14" s="76" customFormat="1" x14ac:dyDescent="0.25">
      <c r="B13" s="76" t="str">
        <f>VLOOKUP(F13,[1]NUTS_Europa!$A$2:$C$81,2,FALSE)</f>
        <v>DE80</v>
      </c>
      <c r="C13" s="76">
        <f>VLOOKUP(F13,[1]NUTS_Europa!$A$2:$C$81,3,FALSE)</f>
        <v>1069</v>
      </c>
      <c r="D13" s="76" t="str">
        <f>VLOOKUP(G13,[1]NUTS_Europa!$A$2:$C$81,2,FALSE)</f>
        <v>FRH0</v>
      </c>
      <c r="E13" s="76">
        <f>VLOOKUP(G13,[1]NUTS_Europa!$A$2:$C$81,3,FALSE)</f>
        <v>283</v>
      </c>
      <c r="F13" s="76">
        <v>6</v>
      </c>
      <c r="G13" s="76">
        <v>23</v>
      </c>
      <c r="H13" s="76">
        <v>1567109.4503684265</v>
      </c>
      <c r="I13" s="76">
        <v>1474870.7897017468</v>
      </c>
      <c r="J13" s="76">
        <v>117923.68175590989</v>
      </c>
      <c r="K13" s="76">
        <v>68.42</v>
      </c>
      <c r="L13" s="76">
        <v>11.301471728193395</v>
      </c>
      <c r="M13" s="76">
        <v>11.083450075239885</v>
      </c>
      <c r="N13" s="76">
        <v>2266.66818622449</v>
      </c>
    </row>
    <row r="14" spans="2:14" s="76" customFormat="1" x14ac:dyDescent="0.25">
      <c r="B14" s="76" t="str">
        <f>VLOOKUP(F14,[1]NUTS_Europa!$A$2:$C$81,2,FALSE)</f>
        <v>DE93</v>
      </c>
      <c r="C14" s="76">
        <f>VLOOKUP(F14,[1]NUTS_Europa!$A$2:$C$81,3,FALSE)</f>
        <v>1069</v>
      </c>
      <c r="D14" s="76" t="str">
        <f>VLOOKUP(G14,[1]NUTS_Europa!$A$2:$C$81,2,FALSE)</f>
        <v>NL12</v>
      </c>
      <c r="E14" s="76">
        <f>VLOOKUP(G14,[1]NUTS_Europa!$A$2:$C$81,3,FALSE)</f>
        <v>218</v>
      </c>
      <c r="F14" s="76">
        <v>7</v>
      </c>
      <c r="G14" s="76">
        <v>31</v>
      </c>
      <c r="H14" s="76">
        <v>1368419.0060730875</v>
      </c>
      <c r="I14" s="76">
        <v>1153104.243550295</v>
      </c>
      <c r="J14" s="76">
        <v>163171.48832599766</v>
      </c>
      <c r="K14" s="76">
        <v>19.283571428571431</v>
      </c>
      <c r="L14" s="76">
        <v>8.9608865007274687</v>
      </c>
      <c r="M14" s="76">
        <v>22.559367211981254</v>
      </c>
      <c r="N14" s="76">
        <v>5123.2789092745306</v>
      </c>
    </row>
    <row r="15" spans="2:14" s="76" customFormat="1" x14ac:dyDescent="0.25">
      <c r="B15" s="76" t="str">
        <f>VLOOKUP(F15,[1]NUTS_Europa!$A$2:$C$81,2,FALSE)</f>
        <v>DE93</v>
      </c>
      <c r="C15" s="76">
        <f>VLOOKUP(F15,[1]NUTS_Europa!$A$2:$C$81,3,FALSE)</f>
        <v>1069</v>
      </c>
      <c r="D15" s="76" t="str">
        <f>VLOOKUP(G15,[1]NUTS_Europa!$A$2:$C$81,2,FALSE)</f>
        <v>NL32</v>
      </c>
      <c r="E15" s="76">
        <f>VLOOKUP(G15,[1]NUTS_Europa!$A$2:$C$81,3,FALSE)</f>
        <v>218</v>
      </c>
      <c r="F15" s="76">
        <v>7</v>
      </c>
      <c r="G15" s="76">
        <v>32</v>
      </c>
      <c r="H15" s="76">
        <v>576666.97110591049</v>
      </c>
      <c r="I15" s="76">
        <v>1153104.243550295</v>
      </c>
      <c r="J15" s="76">
        <v>199058.85825050285</v>
      </c>
      <c r="K15" s="76">
        <v>19.283571428571431</v>
      </c>
      <c r="L15" s="76">
        <v>8.9608865007274687</v>
      </c>
      <c r="M15" s="76">
        <v>22.559367211981254</v>
      </c>
      <c r="N15" s="76">
        <v>5123.2789092745306</v>
      </c>
    </row>
    <row r="16" spans="2:14" s="76" customFormat="1" x14ac:dyDescent="0.25">
      <c r="B16" s="76" t="str">
        <f>VLOOKUP(F16,[1]NUTS_Europa!$A$2:$C$81,2,FALSE)</f>
        <v>DE94</v>
      </c>
      <c r="C16" s="76">
        <f>VLOOKUP(F16,[1]NUTS_Europa!$A$2:$C$81,3,FALSE)</f>
        <v>245</v>
      </c>
      <c r="D16" s="76" t="str">
        <f>VLOOKUP(G16,[1]NUTS_Europa!$A$2:$C$81,2,FALSE)</f>
        <v>ES12</v>
      </c>
      <c r="E16" s="76">
        <f>VLOOKUP(G16,[1]NUTS_Europa!$A$2:$C$81,3,FALSE)</f>
        <v>285</v>
      </c>
      <c r="F16" s="76">
        <v>8</v>
      </c>
      <c r="G16" s="76">
        <v>12</v>
      </c>
      <c r="H16" s="76">
        <v>55750.425007186932</v>
      </c>
      <c r="I16" s="76">
        <v>8457202.0946942959</v>
      </c>
      <c r="J16" s="76">
        <v>117061.71481038857</v>
      </c>
      <c r="K16" s="76">
        <v>71.852857142857147</v>
      </c>
      <c r="L16" s="76">
        <v>12.741825624196444</v>
      </c>
      <c r="M16" s="76">
        <v>8.6798247044985843E-2</v>
      </c>
      <c r="N16" s="76">
        <v>15.60948133635801</v>
      </c>
    </row>
    <row r="17" spans="2:14" s="76" customFormat="1" x14ac:dyDescent="0.25">
      <c r="B17" s="76" t="str">
        <f>VLOOKUP(F17,[1]NUTS_Europa!$A$2:$C$81,2,FALSE)</f>
        <v>DE94</v>
      </c>
      <c r="C17" s="76">
        <f>VLOOKUP(F17,[1]NUTS_Europa!$A$2:$C$81,3,FALSE)</f>
        <v>245</v>
      </c>
      <c r="D17" s="76" t="str">
        <f>VLOOKUP(G17,[1]NUTS_Europa!$A$2:$C$81,2,FALSE)</f>
        <v>FRD1</v>
      </c>
      <c r="E17" s="76">
        <f>VLOOKUP(G17,[1]NUTS_Europa!$A$2:$C$81,3,FALSE)</f>
        <v>268</v>
      </c>
      <c r="F17" s="76">
        <v>8</v>
      </c>
      <c r="G17" s="76">
        <v>19</v>
      </c>
      <c r="H17" s="76">
        <v>414224.72481038503</v>
      </c>
      <c r="I17" s="76">
        <v>7310016.5212661587</v>
      </c>
      <c r="J17" s="76">
        <v>113696.3812050019</v>
      </c>
      <c r="K17" s="76">
        <v>41.638571428571431</v>
      </c>
      <c r="L17" s="76">
        <v>10.962928021936897</v>
      </c>
      <c r="M17" s="76">
        <v>0.66574348672780248</v>
      </c>
      <c r="N17" s="76">
        <v>103.75670840787119</v>
      </c>
    </row>
    <row r="18" spans="2:14" s="76" customFormat="1" x14ac:dyDescent="0.25">
      <c r="B18" s="76" t="str">
        <f>VLOOKUP(F18,[1]NUTS_Europa!$A$2:$C$81,2,FALSE)</f>
        <v>DEA1</v>
      </c>
      <c r="C18" s="76">
        <f>VLOOKUP(F18,[1]NUTS_Europa!$A$2:$C$81,3,FALSE)</f>
        <v>253</v>
      </c>
      <c r="D18" s="76" t="str">
        <f>VLOOKUP(G18,[1]NUTS_Europa!$A$2:$C$81,2,FALSE)</f>
        <v>ES11</v>
      </c>
      <c r="E18" s="76">
        <f>VLOOKUP(G18,[1]NUTS_Europa!$A$2:$C$81,3,FALSE)</f>
        <v>288</v>
      </c>
      <c r="F18" s="76">
        <v>9</v>
      </c>
      <c r="G18" s="76">
        <v>11</v>
      </c>
      <c r="H18" s="76">
        <v>538562.41891311097</v>
      </c>
      <c r="I18" s="76">
        <v>1493934.9976021862</v>
      </c>
      <c r="J18" s="76">
        <v>142392.8717171422</v>
      </c>
      <c r="K18" s="76">
        <v>63.36785714285714</v>
      </c>
      <c r="L18" s="76">
        <v>8.9047403867139714</v>
      </c>
      <c r="M18" s="76">
        <v>5.3408668195839333</v>
      </c>
      <c r="N18" s="76">
        <v>960.4820809003329</v>
      </c>
    </row>
    <row r="19" spans="2:14" s="76" customFormat="1" x14ac:dyDescent="0.25">
      <c r="B19" s="76" t="str">
        <f>VLOOKUP(F19,[1]NUTS_Europa!$A$2:$C$81,2,FALSE)</f>
        <v>DEA1</v>
      </c>
      <c r="C19" s="76">
        <f>VLOOKUP(F19,[1]NUTS_Europa!$A$2:$C$81,3,FALSE)</f>
        <v>253</v>
      </c>
      <c r="D19" s="76" t="str">
        <f>VLOOKUP(G19,[1]NUTS_Europa!$A$2:$C$81,2,FALSE)</f>
        <v>FRI1</v>
      </c>
      <c r="E19" s="76">
        <f>VLOOKUP(G19,[1]NUTS_Europa!$A$2:$C$81,3,FALSE)</f>
        <v>283</v>
      </c>
      <c r="F19" s="76">
        <v>9</v>
      </c>
      <c r="G19" s="76">
        <v>24</v>
      </c>
      <c r="H19" s="76">
        <v>1421160.0709220909</v>
      </c>
      <c r="I19" s="76">
        <v>1316915.3810281891</v>
      </c>
      <c r="J19" s="76">
        <v>118487.95435333898</v>
      </c>
      <c r="K19" s="76">
        <v>49.328571428571429</v>
      </c>
      <c r="L19" s="76">
        <v>10.381226886964095</v>
      </c>
      <c r="M19" s="76">
        <v>13.023217637488681</v>
      </c>
      <c r="N19" s="76">
        <v>2266.66818622449</v>
      </c>
    </row>
    <row r="20" spans="2:14" s="76" customFormat="1" x14ac:dyDescent="0.25">
      <c r="B20" s="76" t="str">
        <f>VLOOKUP(F20,[1]NUTS_Europa!$A$2:$C$81,2,FALSE)</f>
        <v>DEF0</v>
      </c>
      <c r="C20" s="76">
        <f>VLOOKUP(F20,[1]NUTS_Europa!$A$2:$C$81,3,FALSE)</f>
        <v>1069</v>
      </c>
      <c r="D20" s="76" t="str">
        <f>VLOOKUP(G20,[1]NUTS_Europa!$A$2:$C$81,2,FALSE)</f>
        <v>ES13</v>
      </c>
      <c r="E20" s="76">
        <f>VLOOKUP(G20,[1]NUTS_Europa!$A$2:$C$81,3,FALSE)</f>
        <v>163</v>
      </c>
      <c r="F20" s="76">
        <v>10</v>
      </c>
      <c r="G20" s="76">
        <v>13</v>
      </c>
      <c r="H20" s="76">
        <v>1079963.8816697879</v>
      </c>
      <c r="I20" s="76">
        <v>1579256.9439380919</v>
      </c>
      <c r="J20" s="76">
        <v>163171.48832599766</v>
      </c>
      <c r="K20" s="76">
        <v>74.86071428571428</v>
      </c>
      <c r="L20" s="76">
        <v>13.400980994074967</v>
      </c>
      <c r="M20" s="76">
        <v>17.154708446701989</v>
      </c>
      <c r="N20" s="76">
        <v>3085.040429338103</v>
      </c>
    </row>
    <row r="21" spans="2:14" s="76" customFormat="1" x14ac:dyDescent="0.25">
      <c r="B21" s="76" t="str">
        <f>VLOOKUP(F21,[1]NUTS_Europa!$A$2:$C$81,2,FALSE)</f>
        <v>DEF0</v>
      </c>
      <c r="C21" s="76">
        <f>VLOOKUP(F21,[1]NUTS_Europa!$A$2:$C$81,3,FALSE)</f>
        <v>1069</v>
      </c>
      <c r="D21" s="76" t="str">
        <f>VLOOKUP(G21,[1]NUTS_Europa!$A$2:$C$81,2,FALSE)</f>
        <v>ES21</v>
      </c>
      <c r="E21" s="76">
        <f>VLOOKUP(G21,[1]NUTS_Europa!$A$2:$C$81,3,FALSE)</f>
        <v>163</v>
      </c>
      <c r="F21" s="76">
        <v>10</v>
      </c>
      <c r="G21" s="76">
        <v>14</v>
      </c>
      <c r="H21" s="76">
        <v>898494.39951909042</v>
      </c>
      <c r="I21" s="76">
        <v>1579256.9439380919</v>
      </c>
      <c r="J21" s="76">
        <v>199058.85825050285</v>
      </c>
      <c r="K21" s="76">
        <v>74.86071428571428</v>
      </c>
      <c r="L21" s="76">
        <v>13.400980994074967</v>
      </c>
      <c r="M21" s="76">
        <v>17.154708446701989</v>
      </c>
      <c r="N21" s="76">
        <v>3085.040429338103</v>
      </c>
    </row>
    <row r="22" spans="2:14" s="76" customFormat="1" x14ac:dyDescent="0.25">
      <c r="B22" s="76" t="str">
        <f>VLOOKUP(F22,[1]NUTS_Europa!$A$2:$C$81,2,FALSE)</f>
        <v>ES51</v>
      </c>
      <c r="C22" s="76">
        <f>VLOOKUP(F22,[1]NUTS_Europa!$A$2:$C$81,3,FALSE)</f>
        <v>1063</v>
      </c>
      <c r="D22" s="76" t="str">
        <f>VLOOKUP(G22,[1]NUTS_Europa!$A$2:$C$81,2,FALSE)</f>
        <v>ES52</v>
      </c>
      <c r="E22" s="76">
        <f>VLOOKUP(G22,[1]NUTS_Europa!$A$2:$C$81,3,FALSE)</f>
        <v>1064</v>
      </c>
      <c r="F22" s="76">
        <v>15</v>
      </c>
      <c r="G22" s="76">
        <v>16</v>
      </c>
      <c r="H22" s="76">
        <v>2946788.4388877219</v>
      </c>
      <c r="I22" s="76">
        <v>4869122.6421433939</v>
      </c>
      <c r="J22" s="76">
        <v>135416.16142478216</v>
      </c>
      <c r="K22" s="76">
        <v>11.571428571428571</v>
      </c>
      <c r="L22" s="76">
        <v>7.7085527472793824</v>
      </c>
      <c r="M22" s="76">
        <v>53.648893151465145</v>
      </c>
      <c r="N22" s="76">
        <v>11402.936516277287</v>
      </c>
    </row>
    <row r="23" spans="2:14" s="76" customFormat="1" x14ac:dyDescent="0.25">
      <c r="B23" s="76" t="str">
        <f>VLOOKUP(F23,[1]NUTS_Europa!$A$2:$C$81,2,FALSE)</f>
        <v>ES51</v>
      </c>
      <c r="C23" s="76">
        <f>VLOOKUP(F23,[1]NUTS_Europa!$A$2:$C$81,3,FALSE)</f>
        <v>1063</v>
      </c>
      <c r="D23" s="76" t="str">
        <f>VLOOKUP(G23,[1]NUTS_Europa!$A$2:$C$81,2,FALSE)</f>
        <v>PT15</v>
      </c>
      <c r="E23" s="76">
        <f>VLOOKUP(G23,[1]NUTS_Europa!$A$2:$C$81,3,FALSE)</f>
        <v>1065</v>
      </c>
      <c r="F23" s="76">
        <v>15</v>
      </c>
      <c r="G23" s="76">
        <v>37</v>
      </c>
      <c r="H23" s="76">
        <v>3222363.0991686317</v>
      </c>
      <c r="I23" s="76">
        <v>5311679.0656462451</v>
      </c>
      <c r="J23" s="76">
        <v>123614.25510828695</v>
      </c>
      <c r="K23" s="76">
        <v>57.071428571428569</v>
      </c>
      <c r="L23" s="76">
        <v>9.2640122174640034</v>
      </c>
      <c r="M23" s="76">
        <v>35.547417475848384</v>
      </c>
      <c r="N23" s="76">
        <v>7555.5136552455588</v>
      </c>
    </row>
    <row r="24" spans="2:14" s="76" customFormat="1" x14ac:dyDescent="0.25">
      <c r="B24" s="76" t="str">
        <f>VLOOKUP(F24,[1]NUTS_Europa!$A$2:$C$81,2,FALSE)</f>
        <v>ES52</v>
      </c>
      <c r="C24" s="76">
        <f>VLOOKUP(F24,[1]NUTS_Europa!$A$2:$C$81,3,FALSE)</f>
        <v>1064</v>
      </c>
      <c r="D24" s="76" t="str">
        <f>VLOOKUP(G24,[1]NUTS_Europa!$A$2:$C$81,2,FALSE)</f>
        <v>PT18</v>
      </c>
      <c r="E24" s="76">
        <f>VLOOKUP(G24,[1]NUTS_Europa!$A$2:$C$81,3,FALSE)</f>
        <v>1065</v>
      </c>
      <c r="F24" s="76">
        <v>16</v>
      </c>
      <c r="G24" s="76">
        <v>40</v>
      </c>
      <c r="H24" s="76">
        <v>2294190.6833768543</v>
      </c>
      <c r="I24" s="76">
        <v>1224991.5890217728</v>
      </c>
      <c r="J24" s="76">
        <v>117923.68175590989</v>
      </c>
      <c r="K24" s="76">
        <v>41.152142857142856</v>
      </c>
      <c r="L24" s="76">
        <v>7.2217517922582086</v>
      </c>
      <c r="M24" s="76">
        <v>35.547417475848384</v>
      </c>
      <c r="N24" s="76">
        <v>7555.5136552455588</v>
      </c>
    </row>
    <row r="25" spans="2:14" s="76" customFormat="1" x14ac:dyDescent="0.25">
      <c r="B25" s="76" t="str">
        <f>VLOOKUP(F25,[1]NUTS_Europa!$A$2:$C$81,2,FALSE)</f>
        <v>ES61</v>
      </c>
      <c r="C25" s="76">
        <f>VLOOKUP(F25,[1]NUTS_Europa!$A$2:$C$81,3,FALSE)</f>
        <v>61</v>
      </c>
      <c r="D25" s="76" t="str">
        <f>VLOOKUP(G25,[1]NUTS_Europa!$A$2:$C$81,2,FALSE)</f>
        <v>FRG0</v>
      </c>
      <c r="E25" s="76">
        <f>VLOOKUP(G25,[1]NUTS_Europa!$A$2:$C$81,3,FALSE)</f>
        <v>282</v>
      </c>
      <c r="F25" s="76">
        <v>17</v>
      </c>
      <c r="G25" s="76">
        <v>22</v>
      </c>
      <c r="H25" s="76">
        <v>535749.70551870822</v>
      </c>
      <c r="I25" s="76">
        <v>1480933.0676416915</v>
      </c>
      <c r="J25" s="76">
        <v>115262.59218235347</v>
      </c>
      <c r="K25" s="76">
        <v>75.131142857142862</v>
      </c>
      <c r="L25" s="76">
        <v>8.1100118220037842</v>
      </c>
      <c r="M25" s="76">
        <v>4.2745881441341789</v>
      </c>
      <c r="N25" s="76">
        <v>816.51860465116272</v>
      </c>
    </row>
    <row r="26" spans="2:14" s="76" customFormat="1" x14ac:dyDescent="0.25">
      <c r="B26" s="76" t="str">
        <f>VLOOKUP(F26,[1]NUTS_Europa!$A$2:$C$81,2,FALSE)</f>
        <v>ES61</v>
      </c>
      <c r="C26" s="76">
        <f>VLOOKUP(F26,[1]NUTS_Europa!$A$2:$C$81,3,FALSE)</f>
        <v>61</v>
      </c>
      <c r="D26" s="76" t="str">
        <f>VLOOKUP(G26,[1]NUTS_Europa!$A$2:$C$81,2,FALSE)</f>
        <v>FRH0</v>
      </c>
      <c r="E26" s="76">
        <f>VLOOKUP(G26,[1]NUTS_Europa!$A$2:$C$81,3,FALSE)</f>
        <v>283</v>
      </c>
      <c r="F26" s="76">
        <v>17</v>
      </c>
      <c r="G26" s="76">
        <v>23</v>
      </c>
      <c r="H26" s="76">
        <v>1675238.1294913557</v>
      </c>
      <c r="I26" s="76">
        <v>1454901.6966978395</v>
      </c>
      <c r="J26" s="76">
        <v>191087.21980936834</v>
      </c>
      <c r="K26" s="76">
        <v>73.28</v>
      </c>
      <c r="L26" s="76">
        <v>8.6698729758902608</v>
      </c>
      <c r="M26" s="76">
        <v>10.345713316058275</v>
      </c>
      <c r="N26" s="76">
        <v>2266.66818622449</v>
      </c>
    </row>
    <row r="27" spans="2:14" s="76" customFormat="1" x14ac:dyDescent="0.25">
      <c r="B27" s="76" t="str">
        <f>VLOOKUP(F27,[1]NUTS_Europa!$A$2:$C$81,2,FALSE)</f>
        <v>ES62</v>
      </c>
      <c r="C27" s="76">
        <f>VLOOKUP(F27,[1]NUTS_Europa!$A$2:$C$81,3,FALSE)</f>
        <v>1064</v>
      </c>
      <c r="D27" s="76" t="str">
        <f>VLOOKUP(G27,[1]NUTS_Europa!$A$2:$C$81,2,FALSE)</f>
        <v>FRG0</v>
      </c>
      <c r="E27" s="76">
        <f>VLOOKUP(G27,[1]NUTS_Europa!$A$2:$C$81,3,FALSE)</f>
        <v>282</v>
      </c>
      <c r="F27" s="76">
        <v>18</v>
      </c>
      <c r="G27" s="76">
        <v>22</v>
      </c>
      <c r="H27" s="76">
        <v>513627.74161135673</v>
      </c>
      <c r="I27" s="76">
        <v>1619131.4079886647</v>
      </c>
      <c r="J27" s="76">
        <v>135416.16142478216</v>
      </c>
      <c r="K27" s="76">
        <v>89.787071428571423</v>
      </c>
      <c r="L27" s="76">
        <v>7.6717253126410423</v>
      </c>
      <c r="M27" s="76">
        <v>4.540341990624694</v>
      </c>
      <c r="N27" s="76">
        <v>816.51860465116272</v>
      </c>
    </row>
    <row r="28" spans="2:14" s="76" customFormat="1" x14ac:dyDescent="0.25">
      <c r="B28" s="76" t="str">
        <f>VLOOKUP(F28,[1]NUTS_Europa!$A$2:$C$81,2,FALSE)</f>
        <v>ES62</v>
      </c>
      <c r="C28" s="76">
        <f>VLOOKUP(F28,[1]NUTS_Europa!$A$2:$C$81,3,FALSE)</f>
        <v>1064</v>
      </c>
      <c r="D28" s="76" t="str">
        <f>VLOOKUP(G28,[1]NUTS_Europa!$A$2:$C$81,2,FALSE)</f>
        <v>PT17</v>
      </c>
      <c r="E28" s="76">
        <f>VLOOKUP(G28,[1]NUTS_Europa!$A$2:$C$81,3,FALSE)</f>
        <v>294</v>
      </c>
      <c r="F28" s="76">
        <v>18</v>
      </c>
      <c r="G28" s="76">
        <v>39</v>
      </c>
      <c r="H28" s="76">
        <v>1124742.302171458</v>
      </c>
      <c r="I28" s="76">
        <v>1224765.9959214893</v>
      </c>
      <c r="J28" s="76">
        <v>191087.21980936834</v>
      </c>
      <c r="K28" s="76">
        <v>44.237857142857145</v>
      </c>
      <c r="L28" s="76">
        <v>6.716012856473748</v>
      </c>
      <c r="M28" s="76">
        <v>13.292401336695443</v>
      </c>
      <c r="N28" s="76">
        <v>2825.2662764782135</v>
      </c>
    </row>
    <row r="29" spans="2:14" s="76" customFormat="1" x14ac:dyDescent="0.25">
      <c r="B29" s="76" t="str">
        <f>VLOOKUP(F29,[1]NUTS_Europa!$A$2:$C$81,2,FALSE)</f>
        <v>FRD2</v>
      </c>
      <c r="C29" s="76">
        <f>VLOOKUP(F29,[1]NUTS_Europa!$A$2:$C$81,3,FALSE)</f>
        <v>269</v>
      </c>
      <c r="D29" s="76" t="str">
        <f>VLOOKUP(G29,[1]NUTS_Europa!$A$2:$C$81,2,FALSE)</f>
        <v>FRI3</v>
      </c>
      <c r="E29" s="76">
        <f>VLOOKUP(G29,[1]NUTS_Europa!$A$2:$C$81,3,FALSE)</f>
        <v>283</v>
      </c>
      <c r="F29" s="76">
        <v>20</v>
      </c>
      <c r="G29" s="76">
        <v>25</v>
      </c>
      <c r="H29" s="76">
        <v>541542.71024257515</v>
      </c>
      <c r="I29" s="76">
        <v>1249346.895491591</v>
      </c>
      <c r="J29" s="76">
        <v>141512.315270936</v>
      </c>
      <c r="K29" s="76">
        <v>33.071428571428569</v>
      </c>
      <c r="L29" s="76">
        <v>12.726065223570533</v>
      </c>
      <c r="M29" s="76">
        <v>13.023217637488681</v>
      </c>
      <c r="N29" s="76">
        <v>2266.66818622449</v>
      </c>
    </row>
    <row r="30" spans="2:14" s="76" customFormat="1" x14ac:dyDescent="0.25">
      <c r="B30" s="76" t="str">
        <f>VLOOKUP(F30,[1]NUTS_Europa!$A$2:$C$81,2,FALSE)</f>
        <v>FRE1</v>
      </c>
      <c r="C30" s="76">
        <f>VLOOKUP(F30,[1]NUTS_Europa!$A$2:$C$81,3,FALSE)</f>
        <v>220</v>
      </c>
      <c r="D30" s="76" t="str">
        <f>VLOOKUP(G30,[1]NUTS_Europa!$A$2:$C$81,2,FALSE)</f>
        <v>FRI1</v>
      </c>
      <c r="E30" s="76">
        <f>VLOOKUP(G30,[1]NUTS_Europa!$A$2:$C$81,3,FALSE)</f>
        <v>283</v>
      </c>
      <c r="F30" s="76">
        <v>21</v>
      </c>
      <c r="G30" s="76">
        <v>24</v>
      </c>
      <c r="H30" s="76">
        <v>1033951.4005746094</v>
      </c>
      <c r="I30" s="76">
        <v>1239693.1121128183</v>
      </c>
      <c r="J30" s="76">
        <v>123840.01515725654</v>
      </c>
      <c r="K30" s="76">
        <v>42.999285714285712</v>
      </c>
      <c r="L30" s="76">
        <v>13.412401212331527</v>
      </c>
      <c r="M30" s="76">
        <v>11.739386235251612</v>
      </c>
      <c r="N30" s="76">
        <v>2266.66818622449</v>
      </c>
    </row>
    <row r="31" spans="2:14" s="76" customFormat="1" x14ac:dyDescent="0.25">
      <c r="B31" s="76" t="str">
        <f>VLOOKUP(F31,[1]NUTS_Europa!$A$2:$C$81,2,FALSE)</f>
        <v>FRE1</v>
      </c>
      <c r="C31" s="76">
        <f>VLOOKUP(F31,[1]NUTS_Europa!$A$2:$C$81,3,FALSE)</f>
        <v>220</v>
      </c>
      <c r="D31" s="76" t="str">
        <f>VLOOKUP(G31,[1]NUTS_Europa!$A$2:$C$81,2,FALSE)</f>
        <v>FRI3</v>
      </c>
      <c r="E31" s="76">
        <f>VLOOKUP(G31,[1]NUTS_Europa!$A$2:$C$81,3,FALSE)</f>
        <v>283</v>
      </c>
      <c r="F31" s="76">
        <v>21</v>
      </c>
      <c r="G31" s="76">
        <v>25</v>
      </c>
      <c r="H31" s="76">
        <v>675327.09348882234</v>
      </c>
      <c r="I31" s="76">
        <v>1239693.1121128183</v>
      </c>
      <c r="J31" s="76">
        <v>117061.71481038857</v>
      </c>
      <c r="K31" s="76">
        <v>42.999285714285712</v>
      </c>
      <c r="L31" s="76">
        <v>13.412401212331527</v>
      </c>
      <c r="M31" s="76">
        <v>11.739386235251612</v>
      </c>
      <c r="N31" s="76">
        <v>2266.66818622449</v>
      </c>
    </row>
    <row r="32" spans="2:14" s="76" customFormat="1" x14ac:dyDescent="0.25">
      <c r="B32" s="76" t="str">
        <f>VLOOKUP(F32,[1]NUTS_Europa!$A$2:$C$81,2,FALSE)</f>
        <v>FRJ1</v>
      </c>
      <c r="C32" s="76">
        <f>VLOOKUP(F32,[1]NUTS_Europa!$A$2:$C$81,3,FALSE)</f>
        <v>1063</v>
      </c>
      <c r="D32" s="76" t="str">
        <f>VLOOKUP(G32,[1]NUTS_Europa!$A$2:$C$81,2,FALSE)</f>
        <v>FRJ2</v>
      </c>
      <c r="E32" s="76">
        <f>VLOOKUP(G32,[1]NUTS_Europa!$A$2:$C$81,3,FALSE)</f>
        <v>283</v>
      </c>
      <c r="F32" s="76">
        <v>26</v>
      </c>
      <c r="G32" s="76">
        <v>28</v>
      </c>
      <c r="H32" s="76">
        <v>2313210.4261628664</v>
      </c>
      <c r="I32" s="76">
        <v>5731895.8956082249</v>
      </c>
      <c r="J32" s="76">
        <v>142841.86171918266</v>
      </c>
      <c r="K32" s="76">
        <v>110.26692857142858</v>
      </c>
      <c r="L32" s="76">
        <v>10.273846891733315</v>
      </c>
      <c r="M32" s="76">
        <v>11.083450075239885</v>
      </c>
      <c r="N32" s="76">
        <v>2266.66818622449</v>
      </c>
    </row>
    <row r="33" spans="2:14" s="76" customFormat="1" x14ac:dyDescent="0.25">
      <c r="B33" s="76" t="str">
        <f>VLOOKUP(F33,[1]NUTS_Europa!$A$2:$C$81,2,FALSE)</f>
        <v>FRJ1</v>
      </c>
      <c r="C33" s="76">
        <f>VLOOKUP(F33,[1]NUTS_Europa!$A$2:$C$81,3,FALSE)</f>
        <v>1063</v>
      </c>
      <c r="D33" s="76" t="str">
        <f>VLOOKUP(G33,[1]NUTS_Europa!$A$2:$C$81,2,FALSE)</f>
        <v>PT17</v>
      </c>
      <c r="E33" s="76">
        <f>VLOOKUP(G33,[1]NUTS_Europa!$A$2:$C$81,3,FALSE)</f>
        <v>294</v>
      </c>
      <c r="F33" s="76">
        <v>26</v>
      </c>
      <c r="G33" s="76">
        <v>39</v>
      </c>
      <c r="H33" s="76">
        <v>1491107.6623920791</v>
      </c>
      <c r="I33" s="76">
        <v>5286886.2517782226</v>
      </c>
      <c r="J33" s="76">
        <v>137713.62258431225</v>
      </c>
      <c r="K33" s="76">
        <v>58.142857142857146</v>
      </c>
      <c r="L33" s="76">
        <v>8.7582732816795428</v>
      </c>
      <c r="M33" s="76">
        <v>13.292401336695443</v>
      </c>
      <c r="N33" s="76">
        <v>2825.2662764782135</v>
      </c>
    </row>
    <row r="34" spans="2:14" s="76" customFormat="1" x14ac:dyDescent="0.25">
      <c r="B34" s="76" t="str">
        <f>VLOOKUP(F34,[1]NUTS_Europa!$A$2:$C$81,2,FALSE)</f>
        <v>FRF2</v>
      </c>
      <c r="C34" s="76">
        <f>VLOOKUP(F34,[1]NUTS_Europa!$A$2:$C$81,3,FALSE)</f>
        <v>269</v>
      </c>
      <c r="D34" s="76" t="str">
        <f>VLOOKUP(G34,[1]NUTS_Europa!$A$2:$C$81,2,FALSE)</f>
        <v>FRJ2</v>
      </c>
      <c r="E34" s="76">
        <f>VLOOKUP(G34,[1]NUTS_Europa!$A$2:$C$81,3,FALSE)</f>
        <v>283</v>
      </c>
      <c r="F34" s="76">
        <v>27</v>
      </c>
      <c r="G34" s="76">
        <v>28</v>
      </c>
      <c r="H34" s="76">
        <v>1882886.9028032741</v>
      </c>
      <c r="I34" s="76">
        <v>1249346.895491591</v>
      </c>
      <c r="J34" s="76">
        <v>176841.96373917855</v>
      </c>
      <c r="K34" s="76">
        <v>33.071428571428569</v>
      </c>
      <c r="L34" s="76">
        <v>12.726065223570533</v>
      </c>
      <c r="M34" s="76">
        <v>13.023217637488681</v>
      </c>
      <c r="N34" s="76">
        <v>2266.66818622449</v>
      </c>
    </row>
    <row r="35" spans="2:14" s="76" customFormat="1" x14ac:dyDescent="0.25">
      <c r="B35" s="76" t="str">
        <f>VLOOKUP(F35,[1]NUTS_Europa!$A$2:$C$81,2,FALSE)</f>
        <v>FRF2</v>
      </c>
      <c r="C35" s="76">
        <f>VLOOKUP(F35,[1]NUTS_Europa!$A$2:$C$81,3,FALSE)</f>
        <v>269</v>
      </c>
      <c r="D35" s="76" t="str">
        <f>VLOOKUP(G35,[1]NUTS_Europa!$A$2:$C$81,2,FALSE)</f>
        <v>NL32</v>
      </c>
      <c r="E35" s="76">
        <f>VLOOKUP(G35,[1]NUTS_Europa!$A$2:$C$81,3,FALSE)</f>
        <v>218</v>
      </c>
      <c r="F35" s="76">
        <v>27</v>
      </c>
      <c r="G35" s="76">
        <v>32</v>
      </c>
      <c r="H35" s="76">
        <v>1650592.7738244538</v>
      </c>
      <c r="I35" s="76">
        <v>1234915.7215847543</v>
      </c>
      <c r="J35" s="76">
        <v>115262.59218235347</v>
      </c>
      <c r="K35" s="76">
        <v>19.642857142857142</v>
      </c>
      <c r="L35" s="76">
        <v>10.385479996104607</v>
      </c>
      <c r="M35" s="76">
        <v>26.943762908255376</v>
      </c>
      <c r="N35" s="76">
        <v>5123.2789092745306</v>
      </c>
    </row>
    <row r="36" spans="2:14" s="76" customFormat="1" x14ac:dyDescent="0.25">
      <c r="B36" s="76" t="str">
        <f>VLOOKUP(F36,[1]NUTS_Europa!$A$2:$C$81,2,FALSE)</f>
        <v>FRI2</v>
      </c>
      <c r="C36" s="76">
        <f>VLOOKUP(F36,[1]NUTS_Europa!$A$2:$C$81,3,FALSE)</f>
        <v>269</v>
      </c>
      <c r="D36" s="76" t="str">
        <f>VLOOKUP(G36,[1]NUTS_Europa!$A$2:$C$81,2,FALSE)</f>
        <v>NL12</v>
      </c>
      <c r="E36" s="76">
        <f>VLOOKUP(G36,[1]NUTS_Europa!$A$2:$C$81,3,FALSE)</f>
        <v>218</v>
      </c>
      <c r="F36" s="76">
        <v>29</v>
      </c>
      <c r="G36" s="76">
        <v>31</v>
      </c>
      <c r="H36" s="76">
        <v>2469252.2696231408</v>
      </c>
      <c r="I36" s="76">
        <v>1234915.7215847543</v>
      </c>
      <c r="J36" s="76">
        <v>154854.30087154222</v>
      </c>
      <c r="K36" s="76">
        <v>19.642857142857142</v>
      </c>
      <c r="L36" s="76">
        <v>10.385479996104607</v>
      </c>
      <c r="M36" s="76">
        <v>26.943762908255376</v>
      </c>
      <c r="N36" s="76">
        <v>5123.2789092745306</v>
      </c>
    </row>
    <row r="37" spans="2:14" s="76" customFormat="1" x14ac:dyDescent="0.25">
      <c r="B37" s="76" t="str">
        <f>VLOOKUP(F37,[1]NUTS_Europa!$A$2:$C$81,2,FALSE)</f>
        <v>FRI2</v>
      </c>
      <c r="C37" s="76">
        <f>VLOOKUP(F37,[1]NUTS_Europa!$A$2:$C$81,3,FALSE)</f>
        <v>269</v>
      </c>
      <c r="D37" s="76" t="str">
        <f>VLOOKUP(G37,[1]NUTS_Europa!$A$2:$C$81,2,FALSE)</f>
        <v>FRG0</v>
      </c>
      <c r="E37" s="76">
        <f>VLOOKUP(G37,[1]NUTS_Europa!$A$2:$C$81,3,FALSE)</f>
        <v>283</v>
      </c>
      <c r="F37" s="76">
        <v>29</v>
      </c>
      <c r="G37" s="76">
        <v>62</v>
      </c>
      <c r="H37" s="76">
        <v>1365039.3556420547</v>
      </c>
      <c r="I37" s="76">
        <v>1249346.895491591</v>
      </c>
      <c r="J37" s="76">
        <v>118487.95435333898</v>
      </c>
      <c r="K37" s="76">
        <v>33.071428571428569</v>
      </c>
      <c r="L37" s="76">
        <v>12.726065223570533</v>
      </c>
      <c r="M37" s="76">
        <v>13.023217637488681</v>
      </c>
      <c r="N37" s="76">
        <v>2266.66818622449</v>
      </c>
    </row>
    <row r="38" spans="2:14" s="76" customFormat="1" x14ac:dyDescent="0.25">
      <c r="B38" s="76" t="str">
        <f>VLOOKUP(F38,[1]NUTS_Europa!$A$2:$C$81,2,FALSE)</f>
        <v>NL11</v>
      </c>
      <c r="C38" s="76">
        <f>VLOOKUP(F38,[1]NUTS_Europa!$A$2:$C$81,3,FALSE)</f>
        <v>245</v>
      </c>
      <c r="D38" s="76" t="str">
        <f>VLOOKUP(G38,[1]NUTS_Europa!$A$2:$C$81,2,FALSE)</f>
        <v>FRI1</v>
      </c>
      <c r="E38" s="76">
        <f>VLOOKUP(G38,[1]NUTS_Europa!$A$2:$C$81,3,FALSE)</f>
        <v>275</v>
      </c>
      <c r="F38" s="76">
        <v>30</v>
      </c>
      <c r="G38" s="76">
        <v>64</v>
      </c>
      <c r="H38" s="76">
        <v>880223.15365674009</v>
      </c>
      <c r="I38" s="76">
        <v>7170412.4771429179</v>
      </c>
      <c r="J38" s="76">
        <v>114346.85142443764</v>
      </c>
      <c r="K38" s="76">
        <v>85</v>
      </c>
      <c r="L38" s="76">
        <v>10.228774260209034</v>
      </c>
      <c r="M38" s="76">
        <v>1.331486973455605</v>
      </c>
      <c r="N38" s="76">
        <v>207.51341681574237</v>
      </c>
    </row>
    <row r="39" spans="2:14" s="76" customFormat="1" x14ac:dyDescent="0.25">
      <c r="B39" s="76" t="str">
        <f>VLOOKUP(F39,[1]NUTS_Europa!$A$2:$C$81,2,FALSE)</f>
        <v>NL11</v>
      </c>
      <c r="C39" s="76">
        <f>VLOOKUP(F39,[1]NUTS_Europa!$A$2:$C$81,3,FALSE)</f>
        <v>245</v>
      </c>
      <c r="D39" s="76" t="str">
        <f>VLOOKUP(G39,[1]NUTS_Europa!$A$2:$C$81,2,FALSE)</f>
        <v>FRI2</v>
      </c>
      <c r="E39" s="76">
        <f>VLOOKUP(G39,[1]NUTS_Europa!$A$2:$C$81,3,FALSE)</f>
        <v>275</v>
      </c>
      <c r="F39" s="76">
        <v>30</v>
      </c>
      <c r="G39" s="76">
        <v>69</v>
      </c>
      <c r="H39" s="76">
        <v>844257.75830790272</v>
      </c>
      <c r="I39" s="76">
        <v>7170412.4771429179</v>
      </c>
      <c r="J39" s="76">
        <v>145277.79316174539</v>
      </c>
      <c r="K39" s="76">
        <v>85</v>
      </c>
      <c r="L39" s="76">
        <v>10.228774260209034</v>
      </c>
      <c r="M39" s="76">
        <v>1.331486973455605</v>
      </c>
      <c r="N39" s="76">
        <v>207.51341681574237</v>
      </c>
    </row>
    <row r="40" spans="2:14" s="76" customFormat="1" x14ac:dyDescent="0.25">
      <c r="B40" s="76" t="str">
        <f>VLOOKUP(F40,[1]NUTS_Europa!$A$2:$C$81,2,FALSE)</f>
        <v>NL33</v>
      </c>
      <c r="C40" s="76">
        <f>VLOOKUP(F40,[1]NUTS_Europa!$A$2:$C$81,3,FALSE)</f>
        <v>250</v>
      </c>
      <c r="D40" s="76" t="str">
        <f>VLOOKUP(G40,[1]NUTS_Europa!$A$2:$C$81,2,FALSE)</f>
        <v>PT15</v>
      </c>
      <c r="E40" s="76">
        <f>VLOOKUP(G40,[1]NUTS_Europa!$A$2:$C$81,3,FALSE)</f>
        <v>1065</v>
      </c>
      <c r="F40" s="76">
        <v>33</v>
      </c>
      <c r="G40" s="76">
        <v>37</v>
      </c>
      <c r="H40" s="76">
        <v>2927622.7089581336</v>
      </c>
      <c r="I40" s="76">
        <v>1746185.7551893122</v>
      </c>
      <c r="J40" s="76">
        <v>114346.85142443764</v>
      </c>
      <c r="K40" s="76">
        <v>83.268571428571434</v>
      </c>
      <c r="L40" s="76">
        <v>10.48410033044261</v>
      </c>
      <c r="M40" s="76">
        <v>42.013269157909114</v>
      </c>
      <c r="N40" s="76">
        <v>7555.5136552455588</v>
      </c>
    </row>
    <row r="41" spans="2:14" s="76" customFormat="1" x14ac:dyDescent="0.25">
      <c r="B41" s="76" t="str">
        <f>VLOOKUP(F41,[1]NUTS_Europa!$A$2:$C$81,2,FALSE)</f>
        <v>NL33</v>
      </c>
      <c r="C41" s="76">
        <f>VLOOKUP(F41,[1]NUTS_Europa!$A$2:$C$81,3,FALSE)</f>
        <v>250</v>
      </c>
      <c r="D41" s="76" t="str">
        <f>VLOOKUP(G41,[1]NUTS_Europa!$A$2:$C$81,2,FALSE)</f>
        <v>PT18</v>
      </c>
      <c r="E41" s="76">
        <f>VLOOKUP(G41,[1]NUTS_Europa!$A$2:$C$81,3,FALSE)</f>
        <v>1065</v>
      </c>
      <c r="F41" s="76">
        <v>33</v>
      </c>
      <c r="G41" s="76">
        <v>40</v>
      </c>
      <c r="H41" s="76">
        <v>2391921.6797739128</v>
      </c>
      <c r="I41" s="76">
        <v>1746185.7551893122</v>
      </c>
      <c r="J41" s="76">
        <v>137713.62258431225</v>
      </c>
      <c r="K41" s="76">
        <v>83.268571428571434</v>
      </c>
      <c r="L41" s="76">
        <v>10.48410033044261</v>
      </c>
      <c r="M41" s="76">
        <v>42.013269157909114</v>
      </c>
      <c r="N41" s="76">
        <v>7555.5136552455588</v>
      </c>
    </row>
    <row r="42" spans="2:14" s="76" customFormat="1" x14ac:dyDescent="0.25">
      <c r="B42" s="76" t="str">
        <f>VLOOKUP(F42,[1]NUTS_Europa!$A$2:$C$81,2,FALSE)</f>
        <v>NL34</v>
      </c>
      <c r="C42" s="76">
        <f>VLOOKUP(F42,[1]NUTS_Europa!$A$2:$C$81,3,FALSE)</f>
        <v>250</v>
      </c>
      <c r="D42" s="76" t="str">
        <f>VLOOKUP(G42,[1]NUTS_Europa!$A$2:$C$81,2,FALSE)</f>
        <v>PT11</v>
      </c>
      <c r="E42" s="76">
        <f>VLOOKUP(G42,[1]NUTS_Europa!$A$2:$C$81,3,FALSE)</f>
        <v>111</v>
      </c>
      <c r="F42" s="76">
        <v>34</v>
      </c>
      <c r="G42" s="76">
        <v>36</v>
      </c>
      <c r="H42" s="76">
        <v>1317440.4719074205</v>
      </c>
      <c r="I42" s="76">
        <v>1605725.0163664203</v>
      </c>
      <c r="J42" s="76">
        <v>176841.96373917855</v>
      </c>
      <c r="K42" s="76">
        <v>68.844285714285718</v>
      </c>
      <c r="L42" s="76">
        <v>11.477253565179289</v>
      </c>
      <c r="M42" s="76">
        <v>16.757552580554151</v>
      </c>
      <c r="N42" s="76">
        <v>3013.6173615767602</v>
      </c>
    </row>
    <row r="43" spans="2:14" s="76" customFormat="1" x14ac:dyDescent="0.25">
      <c r="B43" s="76" t="str">
        <f>VLOOKUP(F43,[1]NUTS_Europa!$A$2:$C$81,2,FALSE)</f>
        <v>NL34</v>
      </c>
      <c r="C43" s="76">
        <f>VLOOKUP(F43,[1]NUTS_Europa!$A$2:$C$81,3,FALSE)</f>
        <v>250</v>
      </c>
      <c r="D43" s="76" t="str">
        <f>VLOOKUP(G43,[1]NUTS_Europa!$A$2:$C$81,2,FALSE)</f>
        <v>PT16</v>
      </c>
      <c r="E43" s="76">
        <f>VLOOKUP(G43,[1]NUTS_Europa!$A$2:$C$81,3,FALSE)</f>
        <v>111</v>
      </c>
      <c r="F43" s="76">
        <v>34</v>
      </c>
      <c r="G43" s="76">
        <v>38</v>
      </c>
      <c r="H43" s="76">
        <v>1218518.4820136633</v>
      </c>
      <c r="I43" s="76">
        <v>1605725.0163664203</v>
      </c>
      <c r="J43" s="76">
        <v>199058.85825050285</v>
      </c>
      <c r="K43" s="76">
        <v>68.844285714285718</v>
      </c>
      <c r="L43" s="76">
        <v>11.477253565179289</v>
      </c>
      <c r="M43" s="76">
        <v>16.757552580554151</v>
      </c>
      <c r="N43" s="76">
        <v>3013.6173615767602</v>
      </c>
    </row>
    <row r="44" spans="2:14" s="76" customFormat="1" x14ac:dyDescent="0.25">
      <c r="B44" s="76" t="str">
        <f>VLOOKUP(F44,[1]NUTS_Europa!$A$2:$C$81,2,FALSE)</f>
        <v>NL41</v>
      </c>
      <c r="C44" s="76">
        <f>VLOOKUP(F44,[1]NUTS_Europa!$A$2:$C$81,3,FALSE)</f>
        <v>253</v>
      </c>
      <c r="D44" s="76" t="str">
        <f>VLOOKUP(G44,[1]NUTS_Europa!$A$2:$C$81,2,FALSE)</f>
        <v>PT11</v>
      </c>
      <c r="E44" s="76">
        <f>VLOOKUP(G44,[1]NUTS_Europa!$A$2:$C$81,3,FALSE)</f>
        <v>111</v>
      </c>
      <c r="F44" s="76">
        <v>35</v>
      </c>
      <c r="G44" s="76">
        <v>36</v>
      </c>
      <c r="H44" s="76">
        <v>1025220.4435561668</v>
      </c>
      <c r="I44" s="76">
        <v>1504897.5776079583</v>
      </c>
      <c r="J44" s="76">
        <v>163029.68053166996</v>
      </c>
      <c r="K44" s="76">
        <v>68.921428571428564</v>
      </c>
      <c r="L44" s="76">
        <v>10.364545447431462</v>
      </c>
      <c r="M44" s="76">
        <v>16.757552580554151</v>
      </c>
      <c r="N44" s="76">
        <v>3013.6173615767602</v>
      </c>
    </row>
    <row r="45" spans="2:14" s="76" customFormat="1" x14ac:dyDescent="0.25">
      <c r="B45" s="76" t="str">
        <f>VLOOKUP(F45,[1]NUTS_Europa!$A$2:$C$81,2,FALSE)</f>
        <v>NL41</v>
      </c>
      <c r="C45" s="76">
        <f>VLOOKUP(F45,[1]NUTS_Europa!$A$2:$C$81,3,FALSE)</f>
        <v>253</v>
      </c>
      <c r="D45" s="76" t="str">
        <f>VLOOKUP(G45,[1]NUTS_Europa!$A$2:$C$81,2,FALSE)</f>
        <v>PT16</v>
      </c>
      <c r="E45" s="76">
        <f>VLOOKUP(G45,[1]NUTS_Europa!$A$2:$C$81,3,FALSE)</f>
        <v>111</v>
      </c>
      <c r="F45" s="76">
        <v>35</v>
      </c>
      <c r="G45" s="76">
        <v>38</v>
      </c>
      <c r="H45" s="76">
        <v>926298.45366240968</v>
      </c>
      <c r="I45" s="76">
        <v>1504897.5776079583</v>
      </c>
      <c r="J45" s="76">
        <v>122072.63094995193</v>
      </c>
      <c r="K45" s="76">
        <v>68.921428571428564</v>
      </c>
      <c r="L45" s="76">
        <v>10.364545447431462</v>
      </c>
      <c r="M45" s="76">
        <v>16.757552580554151</v>
      </c>
      <c r="N45" s="76">
        <v>3013.6173615767602</v>
      </c>
    </row>
    <row r="46" spans="2:14" s="76" customFormat="1" x14ac:dyDescent="0.25">
      <c r="B46" s="76" t="str">
        <f>VLOOKUP(F46,[1]NUTS_Europa!$A$2:$C$81,2,FALSE)</f>
        <v>BE21</v>
      </c>
      <c r="C46" s="76">
        <f>VLOOKUP(F46,[1]NUTS_Europa!$A$2:$C$81,3,FALSE)</f>
        <v>250</v>
      </c>
      <c r="D46" s="76" t="str">
        <f>VLOOKUP(G46,[1]NUTS_Europa!$A$2:$C$81,2,FALSE)</f>
        <v>FRE1</v>
      </c>
      <c r="E46" s="76">
        <f>VLOOKUP(G46,[1]NUTS_Europa!$A$2:$C$81,3,FALSE)</f>
        <v>235</v>
      </c>
      <c r="F46" s="76">
        <v>41</v>
      </c>
      <c r="G46" s="76">
        <v>61</v>
      </c>
      <c r="H46" s="76">
        <v>636084.34870634775</v>
      </c>
      <c r="I46" s="76">
        <v>1092957.4996938303</v>
      </c>
      <c r="J46" s="76">
        <v>142392.8717171422</v>
      </c>
      <c r="K46" s="76">
        <v>10.071428571428571</v>
      </c>
      <c r="L46" s="76">
        <v>12.000457170424337</v>
      </c>
      <c r="M46" s="76">
        <v>9.8362642499456925</v>
      </c>
      <c r="N46" s="76">
        <v>1766.2818805981751</v>
      </c>
    </row>
    <row r="47" spans="2:14" s="76" customFormat="1" x14ac:dyDescent="0.25">
      <c r="B47" s="76" t="str">
        <f>VLOOKUP(F47,[1]NUTS_Europa!$A$2:$C$81,2,FALSE)</f>
        <v>BE21</v>
      </c>
      <c r="C47" s="76">
        <f>VLOOKUP(F47,[1]NUTS_Europa!$A$2:$C$81,3,FALSE)</f>
        <v>250</v>
      </c>
      <c r="D47" s="76" t="str">
        <f>VLOOKUP(G47,[1]NUTS_Europa!$A$2:$C$81,2,FALSE)</f>
        <v>FRF2</v>
      </c>
      <c r="E47" s="76">
        <f>VLOOKUP(G47,[1]NUTS_Europa!$A$2:$C$81,3,FALSE)</f>
        <v>235</v>
      </c>
      <c r="F47" s="76">
        <v>41</v>
      </c>
      <c r="G47" s="76">
        <v>67</v>
      </c>
      <c r="H47" s="76">
        <v>1212155.7710379381</v>
      </c>
      <c r="I47" s="76">
        <v>1092957.4996938303</v>
      </c>
      <c r="J47" s="76">
        <v>156784.57749147405</v>
      </c>
      <c r="K47" s="76">
        <v>10.071428571428571</v>
      </c>
      <c r="L47" s="76">
        <v>12.000457170424337</v>
      </c>
      <c r="M47" s="76">
        <v>9.8362642499456925</v>
      </c>
      <c r="N47" s="76">
        <v>1766.2818805981751</v>
      </c>
    </row>
    <row r="48" spans="2:14" s="76" customFormat="1" x14ac:dyDescent="0.25">
      <c r="B48" s="76" t="str">
        <f>VLOOKUP(F48,[1]NUTS_Europa!$A$2:$C$81,2,FALSE)</f>
        <v>BE23</v>
      </c>
      <c r="C48" s="76">
        <f>VLOOKUP(F48,[1]NUTS_Europa!$A$2:$C$81,3,FALSE)</f>
        <v>220</v>
      </c>
      <c r="D48" s="76" t="str">
        <f>VLOOKUP(G48,[1]NUTS_Europa!$A$2:$C$81,2,FALSE)</f>
        <v>ES12</v>
      </c>
      <c r="E48" s="76">
        <f>VLOOKUP(G48,[1]NUTS_Europa!$A$2:$C$81,3,FALSE)</f>
        <v>163</v>
      </c>
      <c r="F48" s="76">
        <v>42</v>
      </c>
      <c r="G48" s="76">
        <v>52</v>
      </c>
      <c r="H48" s="76">
        <v>1553350.2235938688</v>
      </c>
      <c r="I48" s="76">
        <v>1368112.5654701327</v>
      </c>
      <c r="J48" s="76">
        <v>137713.62258431225</v>
      </c>
      <c r="K48" s="76">
        <v>52.142857142857146</v>
      </c>
      <c r="L48" s="76">
        <v>15.5119104782131</v>
      </c>
      <c r="M48" s="76">
        <v>18.047467953805491</v>
      </c>
      <c r="N48" s="76">
        <v>3085.040429338103</v>
      </c>
    </row>
    <row r="49" spans="2:14" s="76" customFormat="1" x14ac:dyDescent="0.25">
      <c r="B49" s="76" t="str">
        <f>VLOOKUP(F49,[1]NUTS_Europa!$A$2:$C$81,2,FALSE)</f>
        <v>BE23</v>
      </c>
      <c r="C49" s="76">
        <f>VLOOKUP(F49,[1]NUTS_Europa!$A$2:$C$81,3,FALSE)</f>
        <v>220</v>
      </c>
      <c r="D49" s="76" t="str">
        <f>VLOOKUP(G49,[1]NUTS_Europa!$A$2:$C$81,2,FALSE)</f>
        <v>FRJ2</v>
      </c>
      <c r="E49" s="76">
        <f>VLOOKUP(G49,[1]NUTS_Europa!$A$2:$C$81,3,FALSE)</f>
        <v>163</v>
      </c>
      <c r="F49" s="76">
        <v>42</v>
      </c>
      <c r="G49" s="76">
        <v>68</v>
      </c>
      <c r="H49" s="76">
        <v>2578166.7187752635</v>
      </c>
      <c r="I49" s="76">
        <v>1368112.5654701327</v>
      </c>
      <c r="J49" s="76">
        <v>156784.57749147405</v>
      </c>
      <c r="K49" s="76">
        <v>52.142857142857146</v>
      </c>
      <c r="L49" s="76">
        <v>15.5119104782131</v>
      </c>
      <c r="M49" s="76">
        <v>18.047467953805491</v>
      </c>
      <c r="N49" s="76">
        <v>3085.040429338103</v>
      </c>
    </row>
    <row r="50" spans="2:14" s="76" customFormat="1" x14ac:dyDescent="0.25">
      <c r="B50" s="76" t="str">
        <f>VLOOKUP(F50,[1]NUTS_Europa!$A$2:$C$81,2,FALSE)</f>
        <v>BE25</v>
      </c>
      <c r="C50" s="76">
        <f>VLOOKUP(F50,[1]NUTS_Europa!$A$2:$C$81,3,FALSE)</f>
        <v>220</v>
      </c>
      <c r="D50" s="76" t="str">
        <f>VLOOKUP(G50,[1]NUTS_Europa!$A$2:$C$81,2,FALSE)</f>
        <v>NL11</v>
      </c>
      <c r="E50" s="76">
        <f>VLOOKUP(G50,[1]NUTS_Europa!$A$2:$C$81,3,FALSE)</f>
        <v>218</v>
      </c>
      <c r="F50" s="76">
        <v>43</v>
      </c>
      <c r="G50" s="76">
        <v>70</v>
      </c>
      <c r="H50" s="76">
        <v>1631363.7208123147</v>
      </c>
      <c r="I50" s="76">
        <v>1046388.0865191268</v>
      </c>
      <c r="J50" s="76">
        <v>156784.57749147405</v>
      </c>
      <c r="K50" s="76">
        <v>8.9285714285714288</v>
      </c>
      <c r="L50" s="76">
        <v>11.071815984865601</v>
      </c>
      <c r="M50" s="76">
        <v>24.041959112658233</v>
      </c>
      <c r="N50" s="76">
        <v>5123.2789092745306</v>
      </c>
    </row>
    <row r="51" spans="2:14" s="76" customFormat="1" x14ac:dyDescent="0.25">
      <c r="B51" s="76" t="str">
        <f>VLOOKUP(F51,[1]NUTS_Europa!$A$2:$C$81,2,FALSE)</f>
        <v>BE25</v>
      </c>
      <c r="C51" s="76">
        <f>VLOOKUP(F51,[1]NUTS_Europa!$A$2:$C$81,3,FALSE)</f>
        <v>220</v>
      </c>
      <c r="D51" s="76" t="str">
        <f>VLOOKUP(G51,[1]NUTS_Europa!$A$2:$C$81,2,FALSE)</f>
        <v>PT18</v>
      </c>
      <c r="E51" s="76">
        <f>VLOOKUP(G51,[1]NUTS_Europa!$A$2:$C$81,3,FALSE)</f>
        <v>61</v>
      </c>
      <c r="F51" s="76">
        <v>43</v>
      </c>
      <c r="G51" s="76">
        <v>80</v>
      </c>
      <c r="H51" s="76">
        <v>12471856.746368283</v>
      </c>
      <c r="I51" s="76">
        <v>1680236.4098581951</v>
      </c>
      <c r="J51" s="76">
        <v>117768.50934211678</v>
      </c>
      <c r="K51" s="76">
        <v>96.690714285714293</v>
      </c>
      <c r="L51" s="76">
        <v>11.285393577240335</v>
      </c>
      <c r="M51" s="76">
        <v>86.545717057835546</v>
      </c>
      <c r="N51" s="76">
        <v>18537.263556443555</v>
      </c>
    </row>
    <row r="52" spans="2:14" s="76" customFormat="1" x14ac:dyDescent="0.25">
      <c r="B52" s="76" t="str">
        <f>VLOOKUP(F52,[1]NUTS_Europa!$A$2:$C$81,2,FALSE)</f>
        <v>DE50</v>
      </c>
      <c r="C52" s="76">
        <f>VLOOKUP(F52,[1]NUTS_Europa!$A$2:$C$81,3,FALSE)</f>
        <v>1069</v>
      </c>
      <c r="D52" s="76" t="str">
        <f>VLOOKUP(G52,[1]NUTS_Europa!$A$2:$C$81,2,FALSE)</f>
        <v>ES12</v>
      </c>
      <c r="E52" s="76">
        <f>VLOOKUP(G52,[1]NUTS_Europa!$A$2:$C$81,3,FALSE)</f>
        <v>163</v>
      </c>
      <c r="F52" s="76">
        <v>44</v>
      </c>
      <c r="G52" s="76">
        <v>52</v>
      </c>
      <c r="H52" s="76">
        <v>1700119.6342874623</v>
      </c>
      <c r="I52" s="76">
        <v>1579256.9439380919</v>
      </c>
      <c r="J52" s="76">
        <v>120125.80522925351</v>
      </c>
      <c r="K52" s="76">
        <v>74.86071428571428</v>
      </c>
      <c r="L52" s="76">
        <v>13.400980994074967</v>
      </c>
      <c r="M52" s="76">
        <v>17.154708446701989</v>
      </c>
      <c r="N52" s="76">
        <v>3085.040429338103</v>
      </c>
    </row>
    <row r="53" spans="2:14" s="76" customFormat="1" x14ac:dyDescent="0.25">
      <c r="B53" s="76" t="str">
        <f>VLOOKUP(F53,[1]NUTS_Europa!$A$2:$C$81,2,FALSE)</f>
        <v>DE50</v>
      </c>
      <c r="C53" s="76">
        <f>VLOOKUP(F53,[1]NUTS_Europa!$A$2:$C$81,3,FALSE)</f>
        <v>1069</v>
      </c>
      <c r="D53" s="76" t="str">
        <f>VLOOKUP(G53,[1]NUTS_Europa!$A$2:$C$81,2,FALSE)</f>
        <v>NL11</v>
      </c>
      <c r="E53" s="76">
        <f>VLOOKUP(G53,[1]NUTS_Europa!$A$2:$C$81,3,FALSE)</f>
        <v>218</v>
      </c>
      <c r="F53" s="76">
        <v>44</v>
      </c>
      <c r="G53" s="76">
        <v>70</v>
      </c>
      <c r="H53" s="76">
        <v>2071376.4202962818</v>
      </c>
      <c r="I53" s="76">
        <v>1153104.243550295</v>
      </c>
      <c r="J53" s="76">
        <v>120437.35243536306</v>
      </c>
      <c r="K53" s="76">
        <v>19.283571428571431</v>
      </c>
      <c r="L53" s="76">
        <v>8.9608865007274687</v>
      </c>
      <c r="M53" s="76">
        <v>22.559367211981254</v>
      </c>
      <c r="N53" s="76">
        <v>5123.2789092745306</v>
      </c>
    </row>
    <row r="54" spans="2:14" s="76" customFormat="1" x14ac:dyDescent="0.25">
      <c r="B54" s="76" t="str">
        <f>VLOOKUP(F54,[1]NUTS_Europa!$A$2:$C$81,2,FALSE)</f>
        <v>DE60</v>
      </c>
      <c r="C54" s="76">
        <f>VLOOKUP(F54,[1]NUTS_Europa!$A$2:$C$81,3,FALSE)</f>
        <v>245</v>
      </c>
      <c r="D54" s="76" t="str">
        <f>VLOOKUP(G54,[1]NUTS_Europa!$A$2:$C$81,2,FALSE)</f>
        <v>FRH0</v>
      </c>
      <c r="E54" s="76">
        <f>VLOOKUP(G54,[1]NUTS_Europa!$A$2:$C$81,3,FALSE)</f>
        <v>282</v>
      </c>
      <c r="F54" s="76">
        <v>45</v>
      </c>
      <c r="G54" s="76">
        <v>63</v>
      </c>
      <c r="H54" s="76">
        <v>3241784.8085372346</v>
      </c>
      <c r="I54" s="76">
        <v>7378447.4517271277</v>
      </c>
      <c r="J54" s="76">
        <v>145277.79316174539</v>
      </c>
      <c r="K54" s="76">
        <v>63.290714285714287</v>
      </c>
      <c r="L54" s="76">
        <v>10.913876822588307</v>
      </c>
      <c r="M54" s="76">
        <v>5.2391016559787786</v>
      </c>
      <c r="N54" s="76">
        <v>816.51860465116272</v>
      </c>
    </row>
    <row r="55" spans="2:14" s="76" customFormat="1" x14ac:dyDescent="0.25">
      <c r="B55" s="76" t="str">
        <f>VLOOKUP(F55,[1]NUTS_Europa!$A$2:$C$81,2,FALSE)</f>
        <v>DE60</v>
      </c>
      <c r="C55" s="76">
        <f>VLOOKUP(F55,[1]NUTS_Europa!$A$2:$C$81,3,FALSE)</f>
        <v>245</v>
      </c>
      <c r="D55" s="76" t="str">
        <f>VLOOKUP(G55,[1]NUTS_Europa!$A$2:$C$81,2,FALSE)</f>
        <v>FRI3</v>
      </c>
      <c r="E55" s="76">
        <f>VLOOKUP(G55,[1]NUTS_Europa!$A$2:$C$81,3,FALSE)</f>
        <v>282</v>
      </c>
      <c r="F55" s="76">
        <v>45</v>
      </c>
      <c r="G55" s="76">
        <v>65</v>
      </c>
      <c r="H55" s="76">
        <v>3392949.3473721179</v>
      </c>
      <c r="I55" s="76">
        <v>7378447.4517271277</v>
      </c>
      <c r="J55" s="76">
        <v>163171.48832599766</v>
      </c>
      <c r="K55" s="76">
        <v>63.290714285714287</v>
      </c>
      <c r="L55" s="76">
        <v>10.913876822588307</v>
      </c>
      <c r="M55" s="76">
        <v>5.2391016559787786</v>
      </c>
      <c r="N55" s="76">
        <v>816.51860465116272</v>
      </c>
    </row>
    <row r="56" spans="2:14" s="76" customFormat="1" x14ac:dyDescent="0.25">
      <c r="B56" s="76" t="str">
        <f>VLOOKUP(F56,[1]NUTS_Europa!$A$2:$C$81,2,FALSE)</f>
        <v>DE80</v>
      </c>
      <c r="C56" s="76">
        <f>VLOOKUP(F56,[1]NUTS_Europa!$A$2:$C$81,3,FALSE)</f>
        <v>245</v>
      </c>
      <c r="D56" s="76" t="str">
        <f>VLOOKUP(G56,[1]NUTS_Europa!$A$2:$C$81,2,FALSE)</f>
        <v>ES11</v>
      </c>
      <c r="E56" s="76">
        <f>VLOOKUP(G56,[1]NUTS_Europa!$A$2:$C$81,3,FALSE)</f>
        <v>285</v>
      </c>
      <c r="F56" s="76">
        <v>46</v>
      </c>
      <c r="G56" s="76">
        <v>51</v>
      </c>
      <c r="H56" s="76">
        <v>59259.211635068961</v>
      </c>
      <c r="I56" s="76">
        <v>8457202.0946942959</v>
      </c>
      <c r="J56" s="76">
        <v>127001.21695280854</v>
      </c>
      <c r="K56" s="76">
        <v>71.852857142857147</v>
      </c>
      <c r="L56" s="76">
        <v>12.741825624196444</v>
      </c>
      <c r="M56" s="76">
        <v>8.6798247044985843E-2</v>
      </c>
      <c r="N56" s="76">
        <v>15.60948133635801</v>
      </c>
    </row>
    <row r="57" spans="2:14" s="76" customFormat="1" x14ac:dyDescent="0.25">
      <c r="B57" s="76" t="str">
        <f>VLOOKUP(F57,[1]NUTS_Europa!$A$2:$C$81,2,FALSE)</f>
        <v>DE80</v>
      </c>
      <c r="C57" s="76">
        <f>VLOOKUP(F57,[1]NUTS_Europa!$A$2:$C$81,3,FALSE)</f>
        <v>245</v>
      </c>
      <c r="D57" s="76" t="str">
        <f>VLOOKUP(G57,[1]NUTS_Europa!$A$2:$C$81,2,FALSE)</f>
        <v>ES13</v>
      </c>
      <c r="E57" s="76">
        <f>VLOOKUP(G57,[1]NUTS_Europa!$A$2:$C$81,3,FALSE)</f>
        <v>285</v>
      </c>
      <c r="F57" s="76">
        <v>46</v>
      </c>
      <c r="G57" s="76">
        <v>53</v>
      </c>
      <c r="H57" s="76">
        <v>66002.148554304891</v>
      </c>
      <c r="I57" s="76">
        <v>8457202.0946942959</v>
      </c>
      <c r="J57" s="76">
        <v>117768.50934211678</v>
      </c>
      <c r="K57" s="76">
        <v>71.852857142857147</v>
      </c>
      <c r="L57" s="76">
        <v>12.741825624196444</v>
      </c>
      <c r="M57" s="76">
        <v>8.6798247044985843E-2</v>
      </c>
      <c r="N57" s="76">
        <v>15.60948133635801</v>
      </c>
    </row>
    <row r="58" spans="2:14" s="76" customFormat="1" x14ac:dyDescent="0.25">
      <c r="B58" s="76" t="str">
        <f>VLOOKUP(F58,[1]NUTS_Europa!$A$2:$C$81,2,FALSE)</f>
        <v>DE93</v>
      </c>
      <c r="C58" s="76">
        <f>VLOOKUP(F58,[1]NUTS_Europa!$A$2:$C$81,3,FALSE)</f>
        <v>245</v>
      </c>
      <c r="D58" s="76" t="str">
        <f>VLOOKUP(G58,[1]NUTS_Europa!$A$2:$C$81,2,FALSE)</f>
        <v>FRI1</v>
      </c>
      <c r="E58" s="76">
        <f>VLOOKUP(G58,[1]NUTS_Europa!$A$2:$C$81,3,FALSE)</f>
        <v>275</v>
      </c>
      <c r="F58" s="76">
        <v>47</v>
      </c>
      <c r="G58" s="76">
        <v>64</v>
      </c>
      <c r="H58" s="76">
        <v>882402.87458697241</v>
      </c>
      <c r="I58" s="76">
        <v>7170412.4771429179</v>
      </c>
      <c r="J58" s="76">
        <v>154854.30087154222</v>
      </c>
      <c r="K58" s="76">
        <v>85</v>
      </c>
      <c r="L58" s="76">
        <v>10.228774260209034</v>
      </c>
      <c r="M58" s="76">
        <v>1.331486973455605</v>
      </c>
      <c r="N58" s="76">
        <v>207.51341681574237</v>
      </c>
    </row>
    <row r="59" spans="2:14" s="76" customFormat="1" x14ac:dyDescent="0.25">
      <c r="B59" s="76" t="str">
        <f>VLOOKUP(F59,[1]NUTS_Europa!$A$2:$C$81,2,FALSE)</f>
        <v>DE93</v>
      </c>
      <c r="C59" s="76">
        <f>VLOOKUP(F59,[1]NUTS_Europa!$A$2:$C$81,3,FALSE)</f>
        <v>245</v>
      </c>
      <c r="D59" s="76" t="str">
        <f>VLOOKUP(G59,[1]NUTS_Europa!$A$2:$C$81,2,FALSE)</f>
        <v>FRI2</v>
      </c>
      <c r="E59" s="76">
        <f>VLOOKUP(G59,[1]NUTS_Europa!$A$2:$C$81,3,FALSE)</f>
        <v>275</v>
      </c>
      <c r="F59" s="76">
        <v>47</v>
      </c>
      <c r="G59" s="76">
        <v>69</v>
      </c>
      <c r="H59" s="76">
        <v>846437.47923813527</v>
      </c>
      <c r="I59" s="76">
        <v>7170412.4771429179</v>
      </c>
      <c r="J59" s="76">
        <v>114346.85142443764</v>
      </c>
      <c r="K59" s="76">
        <v>85</v>
      </c>
      <c r="L59" s="76">
        <v>10.228774260209034</v>
      </c>
      <c r="M59" s="76">
        <v>1.331486973455605</v>
      </c>
      <c r="N59" s="76">
        <v>207.51341681574237</v>
      </c>
    </row>
    <row r="60" spans="2:14" s="76" customFormat="1" x14ac:dyDescent="0.25">
      <c r="B60" s="76" t="str">
        <f>VLOOKUP(F60,[1]NUTS_Europa!$A$2:$C$81,2,FALSE)</f>
        <v>DE94</v>
      </c>
      <c r="C60" s="76">
        <f>VLOOKUP(F60,[1]NUTS_Europa!$A$2:$C$81,3,FALSE)</f>
        <v>1069</v>
      </c>
      <c r="D60" s="76" t="str">
        <f>VLOOKUP(G60,[1]NUTS_Europa!$A$2:$C$81,2,FALSE)</f>
        <v>FRE1</v>
      </c>
      <c r="E60" s="76">
        <f>VLOOKUP(G60,[1]NUTS_Europa!$A$2:$C$81,3,FALSE)</f>
        <v>235</v>
      </c>
      <c r="F60" s="76">
        <v>48</v>
      </c>
      <c r="G60" s="76">
        <v>61</v>
      </c>
      <c r="H60" s="76">
        <v>663219.81624221196</v>
      </c>
      <c r="I60" s="76">
        <v>1145277.4149275818</v>
      </c>
      <c r="J60" s="76">
        <v>507158.32774652442</v>
      </c>
      <c r="K60" s="76">
        <v>29.118571428571432</v>
      </c>
      <c r="L60" s="76">
        <v>11.807993893905808</v>
      </c>
      <c r="M60" s="76">
        <v>8.3247168966125162</v>
      </c>
      <c r="N60" s="76">
        <v>1766.2818805981751</v>
      </c>
    </row>
    <row r="61" spans="2:14" s="76" customFormat="1" x14ac:dyDescent="0.25">
      <c r="B61" s="76" t="str">
        <f>VLOOKUP(F61,[1]NUTS_Europa!$A$2:$C$81,2,FALSE)</f>
        <v>DE94</v>
      </c>
      <c r="C61" s="76">
        <f>VLOOKUP(F61,[1]NUTS_Europa!$A$2:$C$81,3,FALSE)</f>
        <v>1069</v>
      </c>
      <c r="D61" s="76" t="str">
        <f>VLOOKUP(G61,[1]NUTS_Europa!$A$2:$C$81,2,FALSE)</f>
        <v>FRF2</v>
      </c>
      <c r="E61" s="76">
        <f>VLOOKUP(G61,[1]NUTS_Europa!$A$2:$C$81,3,FALSE)</f>
        <v>235</v>
      </c>
      <c r="F61" s="76">
        <v>48</v>
      </c>
      <c r="G61" s="76">
        <v>67</v>
      </c>
      <c r="H61" s="76">
        <v>1239291.2385738024</v>
      </c>
      <c r="I61" s="76">
        <v>1145277.4149275818</v>
      </c>
      <c r="J61" s="76">
        <v>126450.71705482846</v>
      </c>
      <c r="K61" s="76">
        <v>29.118571428571432</v>
      </c>
      <c r="L61" s="76">
        <v>11.807993893905808</v>
      </c>
      <c r="M61" s="76">
        <v>8.3247168966125162</v>
      </c>
      <c r="N61" s="76">
        <v>1766.2818805981751</v>
      </c>
    </row>
    <row r="62" spans="2:14" s="76" customFormat="1" x14ac:dyDescent="0.25">
      <c r="B62" s="76" t="str">
        <f>VLOOKUP(F62,[1]NUTS_Europa!$A$2:$C$81,2,FALSE)</f>
        <v>DEA1</v>
      </c>
      <c r="C62" s="76">
        <f>VLOOKUP(F62,[1]NUTS_Europa!$A$2:$C$81,3,FALSE)</f>
        <v>245</v>
      </c>
      <c r="D62" s="76" t="str">
        <f>VLOOKUP(G62,[1]NUTS_Europa!$A$2:$C$81,2,FALSE)</f>
        <v>ES11</v>
      </c>
      <c r="E62" s="76">
        <f>VLOOKUP(G62,[1]NUTS_Europa!$A$2:$C$81,3,FALSE)</f>
        <v>285</v>
      </c>
      <c r="F62" s="76">
        <v>49</v>
      </c>
      <c r="G62" s="76">
        <v>51</v>
      </c>
      <c r="H62" s="76">
        <v>58049.991944385321</v>
      </c>
      <c r="I62" s="76">
        <v>8457202.0946942959</v>
      </c>
      <c r="J62" s="76">
        <v>176841.96373917855</v>
      </c>
      <c r="K62" s="76">
        <v>71.852857142857147</v>
      </c>
      <c r="L62" s="76">
        <v>12.741825624196444</v>
      </c>
      <c r="M62" s="76">
        <v>8.6798247044985843E-2</v>
      </c>
      <c r="N62" s="76">
        <v>15.60948133635801</v>
      </c>
    </row>
    <row r="63" spans="2:14" s="76" customFormat="1" x14ac:dyDescent="0.25">
      <c r="B63" s="76" t="str">
        <f>VLOOKUP(F63,[1]NUTS_Europa!$A$2:$C$81,2,FALSE)</f>
        <v>DEA1</v>
      </c>
      <c r="C63" s="76">
        <f>VLOOKUP(F63,[1]NUTS_Europa!$A$2:$C$81,3,FALSE)</f>
        <v>245</v>
      </c>
      <c r="D63" s="76" t="str">
        <f>VLOOKUP(G63,[1]NUTS_Europa!$A$2:$C$81,2,FALSE)</f>
        <v>ES13</v>
      </c>
      <c r="E63" s="76">
        <f>VLOOKUP(G63,[1]NUTS_Europa!$A$2:$C$81,3,FALSE)</f>
        <v>285</v>
      </c>
      <c r="F63" s="76">
        <v>49</v>
      </c>
      <c r="G63" s="76">
        <v>53</v>
      </c>
      <c r="H63" s="76">
        <v>64792.928863621244</v>
      </c>
      <c r="I63" s="76">
        <v>8457202.0946942959</v>
      </c>
      <c r="J63" s="76">
        <v>199058.85825050285</v>
      </c>
      <c r="K63" s="76">
        <v>71.852857142857147</v>
      </c>
      <c r="L63" s="76">
        <v>12.741825624196444</v>
      </c>
      <c r="M63" s="76">
        <v>8.6798247044985843E-2</v>
      </c>
      <c r="N63" s="76">
        <v>15.60948133635801</v>
      </c>
    </row>
    <row r="64" spans="2:14" s="76" customFormat="1" x14ac:dyDescent="0.25">
      <c r="B64" s="76" t="str">
        <f>VLOOKUP(F64,[1]NUTS_Europa!$A$2:$C$81,2,FALSE)</f>
        <v>DEF0</v>
      </c>
      <c r="C64" s="76">
        <f>VLOOKUP(F64,[1]NUTS_Europa!$A$2:$C$81,3,FALSE)</f>
        <v>245</v>
      </c>
      <c r="D64" s="76" t="str">
        <f>VLOOKUP(G64,[1]NUTS_Europa!$A$2:$C$81,2,FALSE)</f>
        <v>FRH0</v>
      </c>
      <c r="E64" s="76">
        <f>VLOOKUP(G64,[1]NUTS_Europa!$A$2:$C$81,3,FALSE)</f>
        <v>282</v>
      </c>
      <c r="F64" s="76">
        <v>50</v>
      </c>
      <c r="G64" s="76">
        <v>63</v>
      </c>
      <c r="H64" s="76">
        <v>3199973.3403488626</v>
      </c>
      <c r="I64" s="76">
        <v>7378447.4517271277</v>
      </c>
      <c r="J64" s="76">
        <v>145035.59769143321</v>
      </c>
      <c r="K64" s="76">
        <v>63.290714285714287</v>
      </c>
      <c r="L64" s="76">
        <v>10.913876822588307</v>
      </c>
      <c r="M64" s="76">
        <v>5.2391016559787786</v>
      </c>
      <c r="N64" s="76">
        <v>816.51860465116272</v>
      </c>
    </row>
    <row r="65" spans="2:26" s="76" customFormat="1" x14ac:dyDescent="0.25">
      <c r="B65" s="76" t="str">
        <f>VLOOKUP(F65,[1]NUTS_Europa!$A$2:$C$81,2,FALSE)</f>
        <v>DEF0</v>
      </c>
      <c r="C65" s="76">
        <f>VLOOKUP(F65,[1]NUTS_Europa!$A$2:$C$81,3,FALSE)</f>
        <v>245</v>
      </c>
      <c r="D65" s="76" t="str">
        <f>VLOOKUP(G65,[1]NUTS_Europa!$A$2:$C$81,2,FALSE)</f>
        <v>FRI3</v>
      </c>
      <c r="E65" s="76">
        <f>VLOOKUP(G65,[1]NUTS_Europa!$A$2:$C$81,3,FALSE)</f>
        <v>282</v>
      </c>
      <c r="F65" s="76">
        <v>50</v>
      </c>
      <c r="G65" s="76">
        <v>65</v>
      </c>
      <c r="H65" s="76">
        <v>3351137.8791837455</v>
      </c>
      <c r="I65" s="76">
        <v>7378447.4517271277</v>
      </c>
      <c r="J65" s="76">
        <v>191087.21980936834</v>
      </c>
      <c r="K65" s="76">
        <v>63.290714285714287</v>
      </c>
      <c r="L65" s="76">
        <v>10.913876822588307</v>
      </c>
      <c r="M65" s="76">
        <v>5.2391016559787786</v>
      </c>
      <c r="N65" s="76">
        <v>816.51860465116272</v>
      </c>
    </row>
    <row r="66" spans="2:26" s="76" customFormat="1" x14ac:dyDescent="0.25">
      <c r="B66" s="76" t="str">
        <f>VLOOKUP(F66,[1]NUTS_Europa!$A$2:$C$81,2,FALSE)</f>
        <v>ES21</v>
      </c>
      <c r="C66" s="76">
        <f>VLOOKUP(F66,[1]NUTS_Europa!$A$2:$C$81,3,FALSE)</f>
        <v>1063</v>
      </c>
      <c r="D66" s="76" t="str">
        <f>VLOOKUP(G66,[1]NUTS_Europa!$A$2:$C$81,2,FALSE)</f>
        <v>ES61</v>
      </c>
      <c r="E66" s="76">
        <f>VLOOKUP(G66,[1]NUTS_Europa!$A$2:$C$81,3,FALSE)</f>
        <v>297</v>
      </c>
      <c r="F66" s="76">
        <v>54</v>
      </c>
      <c r="G66" s="76">
        <v>57</v>
      </c>
      <c r="H66" s="76">
        <v>1063739.3476351984</v>
      </c>
      <c r="I66" s="76">
        <v>5136596.7017583139</v>
      </c>
      <c r="J66" s="76">
        <v>199597.7643046609</v>
      </c>
      <c r="K66" s="76">
        <v>41.857142857142854</v>
      </c>
      <c r="L66" s="76">
        <v>10.7682207865553</v>
      </c>
      <c r="M66" s="76">
        <v>4.2432952240920203</v>
      </c>
      <c r="N66" s="76">
        <v>901.90166502666227</v>
      </c>
    </row>
    <row r="67" spans="2:26" s="76" customFormat="1" x14ac:dyDescent="0.25">
      <c r="B67" s="76" t="str">
        <f>VLOOKUP(F67,[1]NUTS_Europa!$A$2:$C$81,2,FALSE)</f>
        <v>ES21</v>
      </c>
      <c r="C67" s="76">
        <f>VLOOKUP(F67,[1]NUTS_Europa!$A$2:$C$81,3,FALSE)</f>
        <v>1063</v>
      </c>
      <c r="D67" s="76" t="str">
        <f>VLOOKUP(G67,[1]NUTS_Europa!$A$2:$C$81,2,FALSE)</f>
        <v>FRD2</v>
      </c>
      <c r="E67" s="76">
        <f>VLOOKUP(G67,[1]NUTS_Europa!$A$2:$C$81,3,FALSE)</f>
        <v>271</v>
      </c>
      <c r="F67" s="76">
        <v>54</v>
      </c>
      <c r="G67" s="76">
        <v>60</v>
      </c>
      <c r="H67" s="76">
        <v>303484.67842444341</v>
      </c>
      <c r="I67" s="76">
        <v>5831016.3031798173</v>
      </c>
      <c r="J67" s="76">
        <v>159445.52860932166</v>
      </c>
      <c r="K67" s="76">
        <v>119.21428571428571</v>
      </c>
      <c r="L67" s="76">
        <v>10.919395076438706</v>
      </c>
      <c r="M67" s="76">
        <v>1.9324673558841208</v>
      </c>
      <c r="N67" s="76">
        <v>347.52790697674413</v>
      </c>
    </row>
    <row r="68" spans="2:26" s="76" customFormat="1" x14ac:dyDescent="0.25">
      <c r="B68" s="76" t="str">
        <f>VLOOKUP(F68,[1]NUTS_Europa!$A$2:$C$81,2,FALSE)</f>
        <v>ES51</v>
      </c>
      <c r="C68" s="76">
        <f>VLOOKUP(F68,[1]NUTS_Europa!$A$2:$C$81,3,FALSE)</f>
        <v>1064</v>
      </c>
      <c r="D68" s="76" t="str">
        <f>VLOOKUP(G68,[1]NUTS_Europa!$A$2:$C$81,2,FALSE)</f>
        <v>ES61</v>
      </c>
      <c r="E68" s="76">
        <f>VLOOKUP(G68,[1]NUTS_Europa!$A$2:$C$81,3,FALSE)</f>
        <v>297</v>
      </c>
      <c r="F68" s="76">
        <v>55</v>
      </c>
      <c r="G68" s="76">
        <v>57</v>
      </c>
      <c r="H68" s="76">
        <v>758498.27765137691</v>
      </c>
      <c r="I68" s="76">
        <v>1113277.8173380538</v>
      </c>
      <c r="J68" s="76">
        <v>117061.71481038857</v>
      </c>
      <c r="K68" s="76">
        <v>33.071428571428569</v>
      </c>
      <c r="L68" s="76">
        <v>8.7259603613495056</v>
      </c>
      <c r="M68" s="76">
        <v>4.2432952240920203</v>
      </c>
      <c r="N68" s="76">
        <v>901.90166502666227</v>
      </c>
    </row>
    <row r="69" spans="2:26" s="76" customFormat="1" x14ac:dyDescent="0.25">
      <c r="B69" s="76" t="str">
        <f>VLOOKUP(F69,[1]NUTS_Europa!$A$2:$C$81,2,FALSE)</f>
        <v>ES51</v>
      </c>
      <c r="C69" s="76">
        <f>VLOOKUP(F69,[1]NUTS_Europa!$A$2:$C$81,3,FALSE)</f>
        <v>1064</v>
      </c>
      <c r="D69" s="76" t="str">
        <f>VLOOKUP(G69,[1]NUTS_Europa!$A$2:$C$81,2,FALSE)</f>
        <v>ES62</v>
      </c>
      <c r="E69" s="76">
        <f>VLOOKUP(G69,[1]NUTS_Europa!$A$2:$C$81,3,FALSE)</f>
        <v>462</v>
      </c>
      <c r="F69" s="76">
        <v>55</v>
      </c>
      <c r="G69" s="76">
        <v>58</v>
      </c>
      <c r="H69" s="76">
        <v>1052995.6815304749</v>
      </c>
      <c r="I69" s="76">
        <v>1052964.1460079195</v>
      </c>
      <c r="J69" s="76">
        <v>114203.52260471623</v>
      </c>
      <c r="K69" s="76">
        <v>23.785714285714285</v>
      </c>
      <c r="L69" s="76">
        <v>8.0295269208980429</v>
      </c>
      <c r="M69" s="76">
        <v>4.5878681908245769</v>
      </c>
      <c r="N69" s="76">
        <v>975.13977739150903</v>
      </c>
    </row>
    <row r="70" spans="2:26" s="76" customFormat="1" x14ac:dyDescent="0.25">
      <c r="B70" s="76" t="str">
        <f>VLOOKUP(F70,[1]NUTS_Europa!$A$2:$C$81,2,FALSE)</f>
        <v>ES52</v>
      </c>
      <c r="C70" s="76">
        <f>VLOOKUP(F70,[1]NUTS_Europa!$A$2:$C$81,3,FALSE)</f>
        <v>1063</v>
      </c>
      <c r="D70" s="76" t="str">
        <f>VLOOKUP(G70,[1]NUTS_Europa!$A$2:$C$81,2,FALSE)</f>
        <v>ES62</v>
      </c>
      <c r="E70" s="76">
        <f>VLOOKUP(G70,[1]NUTS_Europa!$A$2:$C$81,3,FALSE)</f>
        <v>462</v>
      </c>
      <c r="F70" s="76">
        <v>56</v>
      </c>
      <c r="G70" s="76">
        <v>58</v>
      </c>
      <c r="H70" s="76">
        <v>1070616.0969089533</v>
      </c>
      <c r="I70" s="76">
        <v>5080859.8239805689</v>
      </c>
      <c r="J70" s="76">
        <v>163171.48832599766</v>
      </c>
      <c r="K70" s="76">
        <v>32.857142857142854</v>
      </c>
      <c r="L70" s="76">
        <v>10.071787346103839</v>
      </c>
      <c r="M70" s="76">
        <v>4.5878681908245769</v>
      </c>
      <c r="N70" s="76">
        <v>975.13977739150903</v>
      </c>
    </row>
    <row r="71" spans="2:26" s="76" customFormat="1" x14ac:dyDescent="0.25">
      <c r="B71" s="76" t="str">
        <f>VLOOKUP(F71,[1]NUTS_Europa!$A$2:$C$81,2,FALSE)</f>
        <v>ES52</v>
      </c>
      <c r="C71" s="76">
        <f>VLOOKUP(F71,[1]NUTS_Europa!$A$2:$C$81,3,FALSE)</f>
        <v>1063</v>
      </c>
      <c r="D71" s="76" t="str">
        <f>VLOOKUP(G71,[1]NUTS_Europa!$A$2:$C$81,2,FALSE)</f>
        <v>FRD2</v>
      </c>
      <c r="E71" s="76">
        <f>VLOOKUP(G71,[1]NUTS_Europa!$A$2:$C$81,3,FALSE)</f>
        <v>271</v>
      </c>
      <c r="F71" s="76">
        <v>56</v>
      </c>
      <c r="G71" s="76">
        <v>60</v>
      </c>
      <c r="H71" s="76">
        <v>192146.46781048991</v>
      </c>
      <c r="I71" s="76">
        <v>5831016.3031798173</v>
      </c>
      <c r="J71" s="76">
        <v>145035.59769143321</v>
      </c>
      <c r="K71" s="76">
        <v>119.21428571428571</v>
      </c>
      <c r="L71" s="76">
        <v>10.919395076438706</v>
      </c>
      <c r="M71" s="76">
        <v>1.9324673558841208</v>
      </c>
      <c r="N71" s="76">
        <v>347.52790697674413</v>
      </c>
    </row>
    <row r="72" spans="2:26" s="76" customFormat="1" x14ac:dyDescent="0.25">
      <c r="B72" s="76" t="str">
        <f>VLOOKUP(F72,[1]NUTS_Europa!$A$2:$C$81,2,FALSE)</f>
        <v>FRD1</v>
      </c>
      <c r="C72" s="76">
        <f>VLOOKUP(F72,[1]NUTS_Europa!$A$2:$C$81,3,FALSE)</f>
        <v>269</v>
      </c>
      <c r="D72" s="76" t="str">
        <f>VLOOKUP(G72,[1]NUTS_Europa!$A$2:$C$81,2,FALSE)</f>
        <v>FRG0</v>
      </c>
      <c r="E72" s="76">
        <f>VLOOKUP(G72,[1]NUTS_Europa!$A$2:$C$81,3,FALSE)</f>
        <v>283</v>
      </c>
      <c r="F72" s="76">
        <v>59</v>
      </c>
      <c r="G72" s="76">
        <v>62</v>
      </c>
      <c r="H72" s="76">
        <v>1126948.529361034</v>
      </c>
      <c r="I72" s="76">
        <v>1249346.895491591</v>
      </c>
      <c r="J72" s="76">
        <v>159445.52860932166</v>
      </c>
      <c r="K72" s="76">
        <v>33.071428571428569</v>
      </c>
      <c r="L72" s="76">
        <v>12.726065223570533</v>
      </c>
      <c r="M72" s="76">
        <v>13.023217637488681</v>
      </c>
      <c r="N72" s="76">
        <v>2266.66818622449</v>
      </c>
    </row>
    <row r="73" spans="2:26" s="76" customFormat="1" x14ac:dyDescent="0.25">
      <c r="B73" s="76" t="str">
        <f>VLOOKUP(F73,[1]NUTS_Europa!$A$2:$C$81,2,FALSE)</f>
        <v>FRD1</v>
      </c>
      <c r="C73" s="76">
        <f>VLOOKUP(F73,[1]NUTS_Europa!$A$2:$C$81,3,FALSE)</f>
        <v>269</v>
      </c>
      <c r="D73" s="76" t="str">
        <f>VLOOKUP(G73,[1]NUTS_Europa!$A$2:$C$81,2,FALSE)</f>
        <v>FRJ2</v>
      </c>
      <c r="E73" s="76">
        <f>VLOOKUP(G73,[1]NUTS_Europa!$A$2:$C$81,3,FALSE)</f>
        <v>163</v>
      </c>
      <c r="F73" s="76">
        <v>59</v>
      </c>
      <c r="G73" s="76">
        <v>68</v>
      </c>
      <c r="H73" s="76">
        <v>2809942.48947111</v>
      </c>
      <c r="I73" s="76">
        <v>1386991.2887933955</v>
      </c>
      <c r="J73" s="76">
        <v>145277.79316174539</v>
      </c>
      <c r="K73" s="76">
        <v>43.427857142857142</v>
      </c>
      <c r="L73" s="76">
        <v>14.825574489452105</v>
      </c>
      <c r="M73" s="76">
        <v>19.79482197960683</v>
      </c>
      <c r="N73" s="76">
        <v>3085.040429338103</v>
      </c>
    </row>
    <row r="74" spans="2:26" s="76" customFormat="1" x14ac:dyDescent="0.25">
      <c r="B74" s="76" t="str">
        <f>VLOOKUP(F74,[1]NUTS_Europa!$A$2:$C$81,2,FALSE)</f>
        <v>FRJ1</v>
      </c>
      <c r="C74" s="76">
        <f>VLOOKUP(F74,[1]NUTS_Europa!$A$2:$C$81,3,FALSE)</f>
        <v>1064</v>
      </c>
      <c r="D74" s="76" t="str">
        <f>VLOOKUP(G74,[1]NUTS_Europa!$A$2:$C$81,2,FALSE)</f>
        <v>PT11</v>
      </c>
      <c r="E74" s="76">
        <f>VLOOKUP(G74,[1]NUTS_Europa!$A$2:$C$81,3,FALSE)</f>
        <v>288</v>
      </c>
      <c r="F74" s="76">
        <v>66</v>
      </c>
      <c r="G74" s="76">
        <v>76</v>
      </c>
      <c r="H74" s="76">
        <v>807990.87382197916</v>
      </c>
      <c r="I74" s="76">
        <v>1447488.6550741084</v>
      </c>
      <c r="J74" s="76">
        <v>123614.25510828695</v>
      </c>
      <c r="K74" s="76">
        <v>65.142857142857139</v>
      </c>
      <c r="L74" s="76">
        <v>6.7550999662773963</v>
      </c>
      <c r="M74" s="76">
        <v>4.5189062009214327</v>
      </c>
      <c r="N74" s="76">
        <v>960.4820809003329</v>
      </c>
    </row>
    <row r="75" spans="2:26" s="76" customFormat="1" x14ac:dyDescent="0.25">
      <c r="B75" s="76" t="str">
        <f>VLOOKUP(F75,[1]NUTS_Europa!$A$2:$C$81,2,FALSE)</f>
        <v>FRJ1</v>
      </c>
      <c r="C75" s="76">
        <f>VLOOKUP(F75,[1]NUTS_Europa!$A$2:$C$81,3,FALSE)</f>
        <v>1064</v>
      </c>
      <c r="D75" s="76" t="str">
        <f>VLOOKUP(G75,[1]NUTS_Europa!$A$2:$C$81,2,FALSE)</f>
        <v>PT17</v>
      </c>
      <c r="E75" s="76">
        <f>VLOOKUP(G75,[1]NUTS_Europa!$A$2:$C$81,3,FALSE)</f>
        <v>297</v>
      </c>
      <c r="F75" s="76">
        <v>66</v>
      </c>
      <c r="G75" s="76">
        <v>79</v>
      </c>
      <c r="H75" s="76">
        <v>840207.86279779742</v>
      </c>
      <c r="I75" s="76">
        <v>1113277.8173380538</v>
      </c>
      <c r="J75" s="76">
        <v>192445.71807502842</v>
      </c>
      <c r="K75" s="76">
        <v>33.071428571428569</v>
      </c>
      <c r="L75" s="76">
        <v>8.7259603613495056</v>
      </c>
      <c r="M75" s="76">
        <v>4.2432952240920203</v>
      </c>
      <c r="N75" s="76">
        <v>901.90166502666227</v>
      </c>
    </row>
    <row r="76" spans="2:26" s="76" customFormat="1" x14ac:dyDescent="0.25">
      <c r="B76" s="76" t="str">
        <f>VLOOKUP(F76,[1]NUTS_Europa!$A$2:$C$81,2,FALSE)</f>
        <v>NL12</v>
      </c>
      <c r="C76" s="76">
        <f>VLOOKUP(F76,[1]NUTS_Europa!$A$2:$C$81,3,FALSE)</f>
        <v>250</v>
      </c>
      <c r="D76" s="76" t="str">
        <f>VLOOKUP(G76,[1]NUTS_Europa!$A$2:$C$81,2,FALSE)</f>
        <v>PT11</v>
      </c>
      <c r="E76" s="76">
        <f>VLOOKUP(G76,[1]NUTS_Europa!$A$2:$C$81,3,FALSE)</f>
        <v>288</v>
      </c>
      <c r="F76" s="76">
        <v>71</v>
      </c>
      <c r="G76" s="76">
        <v>76</v>
      </c>
      <c r="H76" s="76">
        <v>703958.80993704603</v>
      </c>
      <c r="I76" s="76">
        <v>1602646.1451494468</v>
      </c>
      <c r="J76" s="76">
        <v>142841.86171918266</v>
      </c>
      <c r="K76" s="76">
        <v>64.987142857142857</v>
      </c>
      <c r="L76" s="76">
        <v>10.017448504461798</v>
      </c>
      <c r="M76" s="76">
        <v>5.3408668195839333</v>
      </c>
      <c r="N76" s="76">
        <v>960.4820809003329</v>
      </c>
    </row>
    <row r="77" spans="2:26" s="76" customFormat="1" x14ac:dyDescent="0.25">
      <c r="B77" s="76" t="str">
        <f>VLOOKUP(F77,[1]NUTS_Europa!$A$2:$C$81,2,FALSE)</f>
        <v>NL12</v>
      </c>
      <c r="C77" s="76">
        <f>VLOOKUP(F77,[1]NUTS_Europa!$A$2:$C$81,3,FALSE)</f>
        <v>250</v>
      </c>
      <c r="D77" s="76" t="str">
        <f>VLOOKUP(G77,[1]NUTS_Europa!$A$2:$C$81,2,FALSE)</f>
        <v>PT16</v>
      </c>
      <c r="E77" s="76">
        <f>VLOOKUP(G77,[1]NUTS_Europa!$A$2:$C$81,3,FALSE)</f>
        <v>294</v>
      </c>
      <c r="F77" s="76">
        <v>71</v>
      </c>
      <c r="G77" s="76">
        <v>78</v>
      </c>
      <c r="H77" s="76">
        <v>2281594.6620497401</v>
      </c>
      <c r="I77" s="76">
        <v>1676772.6716613681</v>
      </c>
      <c r="J77" s="76">
        <v>135416.16142478216</v>
      </c>
      <c r="K77" s="76">
        <v>79.83642857142857</v>
      </c>
      <c r="L77" s="76">
        <v>9.9783613946581493</v>
      </c>
      <c r="M77" s="76">
        <v>15.710205544269522</v>
      </c>
      <c r="N77" s="76">
        <v>2825.2662764782135</v>
      </c>
    </row>
    <row r="78" spans="2:26" s="76" customFormat="1" x14ac:dyDescent="0.25">
      <c r="B78" s="76" t="str">
        <f>VLOOKUP(F78,[1]NUTS_Europa!$A$2:$C$81,2,FALSE)</f>
        <v>NL32</v>
      </c>
      <c r="C78" s="76">
        <f>VLOOKUP(F78,[1]NUTS_Europa!$A$2:$C$81,3,FALSE)</f>
        <v>253</v>
      </c>
      <c r="D78" s="76" t="str">
        <f>VLOOKUP(G78,[1]NUTS_Europa!$A$2:$C$81,2,FALSE)</f>
        <v>NL34</v>
      </c>
      <c r="E78" s="76">
        <f>VLOOKUP(G78,[1]NUTS_Europa!$A$2:$C$81,3,FALSE)</f>
        <v>218</v>
      </c>
      <c r="F78" s="76">
        <v>72</v>
      </c>
      <c r="G78" s="76">
        <v>74</v>
      </c>
      <c r="H78" s="76">
        <v>2608415.0291926917</v>
      </c>
      <c r="I78" s="76">
        <v>1102726.3513825459</v>
      </c>
      <c r="J78" s="76">
        <v>120125.80522925351</v>
      </c>
      <c r="K78" s="76">
        <v>12.785</v>
      </c>
      <c r="L78" s="76">
        <v>8.0406416594981689</v>
      </c>
      <c r="M78" s="76">
        <v>26.943762908255376</v>
      </c>
      <c r="N78" s="76">
        <v>5123.2789092745306</v>
      </c>
      <c r="W78" s="76" t="s">
        <v>82</v>
      </c>
      <c r="X78" s="76" t="s">
        <v>6</v>
      </c>
      <c r="Y78" s="76" t="s">
        <v>86</v>
      </c>
      <c r="Z78" s="76" t="s">
        <v>20</v>
      </c>
    </row>
    <row r="79" spans="2:26" s="76" customFormat="1" x14ac:dyDescent="0.25">
      <c r="B79" s="76" t="str">
        <f>VLOOKUP(F79,[1]NUTS_Europa!$A$2:$C$81,2,FALSE)</f>
        <v>NL32</v>
      </c>
      <c r="C79" s="76">
        <f>VLOOKUP(F79,[1]NUTS_Europa!$A$2:$C$81,3,FALSE)</f>
        <v>253</v>
      </c>
      <c r="D79" s="76" t="str">
        <f>VLOOKUP(G79,[1]NUTS_Europa!$A$2:$C$81,2,FALSE)</f>
        <v>NL41</v>
      </c>
      <c r="E79" s="76">
        <f>VLOOKUP(G79,[1]NUTS_Europa!$A$2:$C$81,3,FALSE)</f>
        <v>218</v>
      </c>
      <c r="F79" s="76">
        <v>72</v>
      </c>
      <c r="G79" s="76">
        <v>75</v>
      </c>
      <c r="H79" s="76">
        <v>2238437.4427594314</v>
      </c>
      <c r="I79" s="76">
        <v>1102726.3513825459</v>
      </c>
      <c r="J79" s="76">
        <v>159445.52860932166</v>
      </c>
      <c r="K79" s="76">
        <v>12.785</v>
      </c>
      <c r="L79" s="76">
        <v>8.0406416594981689</v>
      </c>
      <c r="M79" s="76">
        <v>26.943762908255376</v>
      </c>
      <c r="N79" s="76">
        <v>5123.2789092745306</v>
      </c>
      <c r="W79" s="76" t="s">
        <v>86</v>
      </c>
      <c r="X79" s="76" t="s">
        <v>20</v>
      </c>
      <c r="Y79" s="76" t="s">
        <v>80</v>
      </c>
      <c r="Z79" s="76" t="s">
        <v>3</v>
      </c>
    </row>
    <row r="80" spans="2:26" s="76" customFormat="1" x14ac:dyDescent="0.25">
      <c r="B80" s="76" t="str">
        <f>VLOOKUP(F80,[1]NUTS_Europa!$A$2:$C$81,2,FALSE)</f>
        <v>NL33</v>
      </c>
      <c r="C80" s="76">
        <f>VLOOKUP(F80,[1]NUTS_Europa!$A$2:$C$81,3,FALSE)</f>
        <v>220</v>
      </c>
      <c r="D80" s="76" t="str">
        <f>VLOOKUP(G80,[1]NUTS_Europa!$A$2:$C$81,2,FALSE)</f>
        <v>NL34</v>
      </c>
      <c r="E80" s="76">
        <f>VLOOKUP(G80,[1]NUTS_Europa!$A$2:$C$81,3,FALSE)</f>
        <v>218</v>
      </c>
      <c r="F80" s="76">
        <v>73</v>
      </c>
      <c r="G80" s="76">
        <v>74</v>
      </c>
      <c r="H80" s="76">
        <v>2762149.7622565157</v>
      </c>
      <c r="I80" s="76">
        <v>1046388.0865191268</v>
      </c>
      <c r="J80" s="76">
        <v>145277.79316174539</v>
      </c>
      <c r="K80" s="76">
        <v>8.9285714285714288</v>
      </c>
      <c r="L80" s="76">
        <v>11.071815984865601</v>
      </c>
      <c r="M80" s="76">
        <v>24.041959112658233</v>
      </c>
      <c r="N80" s="76">
        <v>5123.2789092745306</v>
      </c>
      <c r="W80" s="76" t="s">
        <v>80</v>
      </c>
      <c r="X80" s="76" t="s">
        <v>3</v>
      </c>
      <c r="Y80" s="76" t="s">
        <v>96</v>
      </c>
      <c r="Z80" s="76" t="s">
        <v>2</v>
      </c>
    </row>
    <row r="81" spans="2:26" s="76" customFormat="1" x14ac:dyDescent="0.25">
      <c r="B81" s="76" t="str">
        <f>VLOOKUP(F81,[1]NUTS_Europa!$A$2:$C$81,2,FALSE)</f>
        <v>NL33</v>
      </c>
      <c r="C81" s="76">
        <f>VLOOKUP(F81,[1]NUTS_Europa!$A$2:$C$81,3,FALSE)</f>
        <v>220</v>
      </c>
      <c r="D81" s="76" t="str">
        <f>VLOOKUP(G81,[1]NUTS_Europa!$A$2:$C$81,2,FALSE)</f>
        <v>NL41</v>
      </c>
      <c r="E81" s="76">
        <f>VLOOKUP(G81,[1]NUTS_Europa!$A$2:$C$81,3,FALSE)</f>
        <v>218</v>
      </c>
      <c r="F81" s="76">
        <v>73</v>
      </c>
      <c r="G81" s="76">
        <v>75</v>
      </c>
      <c r="H81" s="76">
        <v>2392172.1758232554</v>
      </c>
      <c r="I81" s="76">
        <v>1046388.0865191268</v>
      </c>
      <c r="J81" s="76">
        <v>176841.96373917855</v>
      </c>
      <c r="K81" s="76">
        <v>8.9285714285714288</v>
      </c>
      <c r="L81" s="76">
        <v>11.071815984865601</v>
      </c>
      <c r="M81" s="76">
        <v>24.041959112658233</v>
      </c>
      <c r="N81" s="76">
        <v>5123.2789092745306</v>
      </c>
      <c r="W81" s="76" t="s">
        <v>96</v>
      </c>
      <c r="X81" s="76" t="s">
        <v>2</v>
      </c>
      <c r="Y81" s="76" t="s">
        <v>108</v>
      </c>
      <c r="Z81" s="76" t="s">
        <v>4</v>
      </c>
    </row>
    <row r="82" spans="2:26" s="76" customFormat="1" x14ac:dyDescent="0.25">
      <c r="W82" s="76" t="s">
        <v>104</v>
      </c>
      <c r="X82" s="76" t="s">
        <v>4</v>
      </c>
      <c r="Y82" s="76" t="s">
        <v>106</v>
      </c>
      <c r="Z82" s="76" t="s">
        <v>36</v>
      </c>
    </row>
    <row r="83" spans="2:26" s="76" customFormat="1" x14ac:dyDescent="0.25">
      <c r="W83" s="76" t="s">
        <v>106</v>
      </c>
      <c r="X83" s="76" t="s">
        <v>36</v>
      </c>
      <c r="Y83" s="76" t="s">
        <v>102</v>
      </c>
      <c r="Z83" s="76" t="s">
        <v>6</v>
      </c>
    </row>
    <row r="84" spans="2:26" s="76" customFormat="1" x14ac:dyDescent="0.25"/>
    <row r="85" spans="2:26" s="76" customFormat="1" x14ac:dyDescent="0.25">
      <c r="B85" s="76" t="s">
        <v>132</v>
      </c>
    </row>
    <row r="86" spans="2:26" s="76" customFormat="1" x14ac:dyDescent="0.25">
      <c r="B86" s="76" t="s">
        <v>134</v>
      </c>
      <c r="C86" s="76" t="s">
        <v>135</v>
      </c>
      <c r="D86" s="76" t="s">
        <v>131</v>
      </c>
      <c r="E86" s="76" t="s">
        <v>136</v>
      </c>
      <c r="F86" s="76" t="s">
        <v>39</v>
      </c>
      <c r="G86" s="76" t="s">
        <v>40</v>
      </c>
      <c r="H86" s="76" t="s">
        <v>137</v>
      </c>
      <c r="I86" s="76" t="s">
        <v>133</v>
      </c>
      <c r="J86" s="76" t="s">
        <v>154</v>
      </c>
      <c r="K86" s="76" t="s">
        <v>41</v>
      </c>
      <c r="L86" s="76" t="s">
        <v>42</v>
      </c>
      <c r="M86" s="76" t="s">
        <v>43</v>
      </c>
      <c r="N86" s="76" t="s">
        <v>44</v>
      </c>
      <c r="O86" s="76" t="s">
        <v>45</v>
      </c>
      <c r="P86" s="76" t="s">
        <v>156</v>
      </c>
      <c r="Q86" s="76" t="s">
        <v>143</v>
      </c>
      <c r="R86" s="76" t="s">
        <v>155</v>
      </c>
      <c r="S86" s="76" t="s">
        <v>137</v>
      </c>
      <c r="T86" s="76" t="s">
        <v>133</v>
      </c>
      <c r="U86" s="76" t="s">
        <v>157</v>
      </c>
      <c r="V86" s="76" t="s">
        <v>160</v>
      </c>
    </row>
    <row r="87" spans="2:26" s="76" customFormat="1" x14ac:dyDescent="0.25">
      <c r="B87" s="76" t="str">
        <f>VLOOKUP(F87,[1]NUTS_Europa!$A$2:$C$81,2,FALSE)</f>
        <v>ES21</v>
      </c>
      <c r="C87" s="76">
        <f>VLOOKUP(F87,[1]NUTS_Europa!$A$2:$C$81,3,FALSE)</f>
        <v>1063</v>
      </c>
      <c r="D87" s="76" t="str">
        <f>VLOOKUP(G87,[1]NUTS_Europa!$A$2:$C$81,2,FALSE)</f>
        <v>ES61</v>
      </c>
      <c r="E87" s="76">
        <f>VLOOKUP(G87,[1]NUTS_Europa!$A$2:$C$81,3,FALSE)</f>
        <v>297</v>
      </c>
      <c r="F87" s="76">
        <v>54</v>
      </c>
      <c r="G87" s="76">
        <v>57</v>
      </c>
      <c r="H87" s="76">
        <v>1063739.3476351984</v>
      </c>
      <c r="I87" s="76">
        <v>5136596.7017583139</v>
      </c>
      <c r="J87" s="76">
        <f t="shared" ref="J87:J92" si="0">I87/14</f>
        <v>366899.76441130816</v>
      </c>
      <c r="K87" s="76">
        <v>199597.7643046609</v>
      </c>
      <c r="L87" s="76">
        <v>41.857142857142854</v>
      </c>
      <c r="M87" s="76">
        <v>10.7682207865553</v>
      </c>
      <c r="N87" s="76">
        <v>4.2432952240920203</v>
      </c>
      <c r="O87" s="76">
        <v>901.90166502666227</v>
      </c>
    </row>
    <row r="88" spans="2:26" s="76" customFormat="1" x14ac:dyDescent="0.25">
      <c r="B88" s="76" t="str">
        <f>VLOOKUP(G88,[1]NUTS_Europa!$A$2:$C$81,2,FALSE)</f>
        <v>ES61</v>
      </c>
      <c r="C88" s="76">
        <f>VLOOKUP(G88,[1]NUTS_Europa!$A$2:$C$81,3,FALSE)</f>
        <v>297</v>
      </c>
      <c r="D88" s="76" t="str">
        <f>VLOOKUP(F88,[1]NUTS_Europa!$A$2:$C$81,2,FALSE)</f>
        <v>ES51</v>
      </c>
      <c r="E88" s="76">
        <f>VLOOKUP(F88,[1]NUTS_Europa!$A$2:$C$81,3,FALSE)</f>
        <v>1064</v>
      </c>
      <c r="F88" s="76">
        <v>55</v>
      </c>
      <c r="G88" s="76">
        <v>57</v>
      </c>
      <c r="H88" s="76">
        <v>758498.27765137691</v>
      </c>
      <c r="I88" s="76">
        <v>1113277.8173380538</v>
      </c>
      <c r="J88" s="76">
        <f t="shared" si="0"/>
        <v>79519.844095575274</v>
      </c>
      <c r="K88" s="76">
        <v>117061.71481038857</v>
      </c>
      <c r="L88" s="76">
        <v>33.071428571428569</v>
      </c>
      <c r="M88" s="76">
        <v>8.7259603613495056</v>
      </c>
      <c r="N88" s="76">
        <v>4.2432952240920203</v>
      </c>
      <c r="O88" s="76">
        <v>901.90166502666227</v>
      </c>
    </row>
    <row r="89" spans="2:26" s="76" customFormat="1" x14ac:dyDescent="0.25">
      <c r="B89" s="76" t="str">
        <f>VLOOKUP(F89,[1]NUTS_Europa!$A$2:$C$81,2,FALSE)</f>
        <v>ES51</v>
      </c>
      <c r="C89" s="76">
        <f>VLOOKUP(F89,[1]NUTS_Europa!$A$2:$C$81,3,FALSE)</f>
        <v>1064</v>
      </c>
      <c r="D89" s="76" t="str">
        <f>VLOOKUP(G89,[1]NUTS_Europa!$A$2:$C$81,2,FALSE)</f>
        <v>ES62</v>
      </c>
      <c r="E89" s="76">
        <f>VLOOKUP(G89,[1]NUTS_Europa!$A$2:$C$81,3,FALSE)</f>
        <v>462</v>
      </c>
      <c r="F89" s="76">
        <v>55</v>
      </c>
      <c r="G89" s="76">
        <v>58</v>
      </c>
      <c r="H89" s="76">
        <v>1052995.6815304749</v>
      </c>
      <c r="I89" s="76">
        <v>1052964.1460079195</v>
      </c>
      <c r="J89" s="76">
        <f t="shared" si="0"/>
        <v>75211.724714851385</v>
      </c>
      <c r="K89" s="76">
        <v>114203.52260471623</v>
      </c>
      <c r="L89" s="76">
        <v>23.785714285714285</v>
      </c>
      <c r="M89" s="76">
        <v>8.0295269208980429</v>
      </c>
      <c r="N89" s="76">
        <v>4.5878681908245769</v>
      </c>
      <c r="O89" s="76">
        <v>975.13977739150903</v>
      </c>
    </row>
    <row r="90" spans="2:26" s="76" customFormat="1" x14ac:dyDescent="0.25">
      <c r="B90" s="76" t="str">
        <f>VLOOKUP(G90,[1]NUTS_Europa!$A$2:$C$81,2,FALSE)</f>
        <v>ES62</v>
      </c>
      <c r="C90" s="76">
        <f>VLOOKUP(G90,[1]NUTS_Europa!$A$2:$C$81,3,FALSE)</f>
        <v>462</v>
      </c>
      <c r="D90" s="76" t="str">
        <f>VLOOKUP(F90,[1]NUTS_Europa!$A$2:$C$81,2,FALSE)</f>
        <v>ES52</v>
      </c>
      <c r="E90" s="76">
        <f>VLOOKUP(F90,[1]NUTS_Europa!$A$2:$C$81,3,FALSE)</f>
        <v>1063</v>
      </c>
      <c r="F90" s="76">
        <v>56</v>
      </c>
      <c r="G90" s="76">
        <v>58</v>
      </c>
      <c r="H90" s="76">
        <v>1070616.0969089533</v>
      </c>
      <c r="I90" s="76">
        <v>5080859.8239805689</v>
      </c>
      <c r="J90" s="76">
        <f t="shared" si="0"/>
        <v>362918.55885575491</v>
      </c>
      <c r="K90" s="76">
        <v>163171.48832599766</v>
      </c>
      <c r="L90" s="76">
        <v>32.857142857142854</v>
      </c>
      <c r="M90" s="76">
        <v>10.071787346103839</v>
      </c>
      <c r="N90" s="76">
        <v>4.5878681908245769</v>
      </c>
      <c r="O90" s="76">
        <v>975.13977739150903</v>
      </c>
    </row>
    <row r="91" spans="2:26" s="76" customFormat="1" x14ac:dyDescent="0.25">
      <c r="B91" s="76" t="str">
        <f>VLOOKUP(F91,[1]NUTS_Europa!$A$2:$C$81,2,FALSE)</f>
        <v>ES52</v>
      </c>
      <c r="C91" s="76">
        <f>VLOOKUP(F91,[1]NUTS_Europa!$A$2:$C$81,3,FALSE)</f>
        <v>1063</v>
      </c>
      <c r="D91" s="76" t="str">
        <f>VLOOKUP(G91,[1]NUTS_Europa!$A$2:$C$81,2,FALSE)</f>
        <v>FRD2</v>
      </c>
      <c r="E91" s="76">
        <f>VLOOKUP(G91,[1]NUTS_Europa!$A$2:$C$81,3,FALSE)</f>
        <v>271</v>
      </c>
      <c r="F91" s="76">
        <v>56</v>
      </c>
      <c r="G91" s="76">
        <v>60</v>
      </c>
      <c r="H91" s="76">
        <v>192146.46781048991</v>
      </c>
      <c r="I91" s="76">
        <v>5831016.3031798173</v>
      </c>
      <c r="J91" s="76">
        <f t="shared" si="0"/>
        <v>416501.16451284412</v>
      </c>
      <c r="K91" s="76">
        <v>145035.59769143321</v>
      </c>
      <c r="L91" s="76">
        <v>119.21428571428571</v>
      </c>
      <c r="M91" s="76">
        <v>10.919395076438706</v>
      </c>
      <c r="N91" s="76">
        <v>1.9324673558841208</v>
      </c>
      <c r="O91" s="76">
        <v>347.52790697674413</v>
      </c>
    </row>
    <row r="92" spans="2:26" s="76" customFormat="1" x14ac:dyDescent="0.25">
      <c r="B92" s="76" t="str">
        <f>VLOOKUP(G92,[1]NUTS_Europa!$A$2:$C$81,2,FALSE)</f>
        <v>FRD2</v>
      </c>
      <c r="C92" s="76">
        <f>VLOOKUP(G92,[1]NUTS_Europa!$A$2:$C$81,3,FALSE)</f>
        <v>271</v>
      </c>
      <c r="D92" s="76" t="str">
        <f>VLOOKUP(F92,[1]NUTS_Europa!$A$2:$C$81,2,FALSE)</f>
        <v>ES21</v>
      </c>
      <c r="E92" s="76">
        <f>VLOOKUP(F92,[1]NUTS_Europa!$A$2:$C$81,3,FALSE)</f>
        <v>1063</v>
      </c>
      <c r="F92" s="76">
        <v>54</v>
      </c>
      <c r="G92" s="76">
        <v>60</v>
      </c>
      <c r="H92" s="76">
        <v>303484.67842444341</v>
      </c>
      <c r="I92" s="76">
        <v>5831016.3031798173</v>
      </c>
      <c r="J92" s="76">
        <f t="shared" si="0"/>
        <v>416501.16451284412</v>
      </c>
      <c r="K92" s="76">
        <v>159445.52860932166</v>
      </c>
      <c r="L92" s="76">
        <v>119.21428571428571</v>
      </c>
      <c r="M92" s="76">
        <v>10.919395076438706</v>
      </c>
      <c r="N92" s="76">
        <v>1.9324673558841208</v>
      </c>
      <c r="O92" s="76">
        <v>347.52790697674413</v>
      </c>
    </row>
    <row r="93" spans="2:26" s="76" customFormat="1" x14ac:dyDescent="0.25"/>
    <row r="94" spans="2:26" s="76" customFormat="1" x14ac:dyDescent="0.25">
      <c r="B94" s="76" t="s">
        <v>138</v>
      </c>
    </row>
    <row r="95" spans="2:26" s="76" customFormat="1" x14ac:dyDescent="0.25">
      <c r="B95" s="76" t="str">
        <f t="shared" ref="B95:O95" si="1">B86</f>
        <v>nodo inicial</v>
      </c>
      <c r="C95" s="76" t="str">
        <f t="shared" si="1"/>
        <v>puerto O</v>
      </c>
      <c r="D95" s="76" t="str">
        <f t="shared" si="1"/>
        <v>nodo final</v>
      </c>
      <c r="E95" s="76" t="str">
        <f t="shared" si="1"/>
        <v>puerto D</v>
      </c>
      <c r="F95" s="76" t="str">
        <f t="shared" si="1"/>
        <v>Var1</v>
      </c>
      <c r="G95" s="76" t="str">
        <f t="shared" si="1"/>
        <v>Var2</v>
      </c>
      <c r="H95" s="76" t="str">
        <f t="shared" si="1"/>
        <v>Coste variable</v>
      </c>
      <c r="I95" s="76" t="str">
        <f t="shared" si="1"/>
        <v>Coste fijo</v>
      </c>
      <c r="J95" s="76" t="str">
        <f t="shared" si="1"/>
        <v>Coste fijo/buque</v>
      </c>
      <c r="K95" s="76" t="str">
        <f t="shared" si="1"/>
        <v>flow</v>
      </c>
      <c r="L95" s="76" t="str">
        <f t="shared" si="1"/>
        <v>TiempoNav</v>
      </c>
      <c r="M95" s="76" t="str">
        <f t="shared" si="1"/>
        <v>TiempoPort</v>
      </c>
      <c r="N95" s="76" t="str">
        <f t="shared" si="1"/>
        <v>TiempoCD</v>
      </c>
      <c r="O95" s="76" t="str">
        <f t="shared" si="1"/>
        <v>offer</v>
      </c>
    </row>
    <row r="96" spans="2:26" s="76" customFormat="1" x14ac:dyDescent="0.25">
      <c r="B96" s="76" t="str">
        <f>VLOOKUP(F96,[1]NUTS_Europa!$A$2:$C$81,2,FALSE)</f>
        <v>FRJ1</v>
      </c>
      <c r="C96" s="76">
        <f>VLOOKUP(F96,[1]NUTS_Europa!$A$2:$C$81,3,FALSE)</f>
        <v>1064</v>
      </c>
      <c r="D96" s="76" t="str">
        <f>VLOOKUP(G96,[1]NUTS_Europa!$A$2:$C$81,2,FALSE)</f>
        <v>PT11</v>
      </c>
      <c r="E96" s="76">
        <f>VLOOKUP(G96,[1]NUTS_Europa!$A$2:$C$81,3,FALSE)</f>
        <v>288</v>
      </c>
      <c r="F96" s="76">
        <v>66</v>
      </c>
      <c r="G96" s="76">
        <v>76</v>
      </c>
      <c r="H96" s="76">
        <v>807990.87382197916</v>
      </c>
      <c r="I96" s="76">
        <v>1447488.6550741084</v>
      </c>
      <c r="J96" s="76">
        <f t="shared" ref="J96:J101" si="2">I96/14</f>
        <v>103392.04679100774</v>
      </c>
      <c r="K96" s="76">
        <v>123614.25510828695</v>
      </c>
      <c r="L96" s="76">
        <v>65.142857142857139</v>
      </c>
      <c r="M96" s="76">
        <v>6.7550999662773963</v>
      </c>
      <c r="N96" s="76">
        <v>4.5189062009214327</v>
      </c>
      <c r="O96" s="76">
        <v>960.4820809003329</v>
      </c>
    </row>
    <row r="97" spans="2:32" s="76" customFormat="1" x14ac:dyDescent="0.25">
      <c r="B97" s="76" t="str">
        <f>VLOOKUP(G97,[1]NUTS_Europa!$A$2:$C$81,2,FALSE)</f>
        <v>PT11</v>
      </c>
      <c r="C97" s="76">
        <f>VLOOKUP(G97,[1]NUTS_Europa!$A$2:$C$81,3,FALSE)</f>
        <v>288</v>
      </c>
      <c r="D97" s="76" t="str">
        <f>VLOOKUP(F97,[1]NUTS_Europa!$A$2:$C$81,2,FALSE)</f>
        <v>NL12</v>
      </c>
      <c r="E97" s="76">
        <f>VLOOKUP(F97,[1]NUTS_Europa!$A$2:$C$81,3,FALSE)</f>
        <v>250</v>
      </c>
      <c r="F97" s="76">
        <v>71</v>
      </c>
      <c r="G97" s="76">
        <v>76</v>
      </c>
      <c r="H97" s="76">
        <v>703958.80993704603</v>
      </c>
      <c r="I97" s="76">
        <v>1602646.1451494468</v>
      </c>
      <c r="J97" s="76">
        <f t="shared" si="2"/>
        <v>114474.72465353191</v>
      </c>
      <c r="K97" s="76">
        <v>142841.86171918266</v>
      </c>
      <c r="L97" s="76">
        <v>64.987142857142857</v>
      </c>
      <c r="M97" s="76">
        <v>10.017448504461798</v>
      </c>
      <c r="N97" s="76">
        <v>5.3408668195839333</v>
      </c>
      <c r="O97" s="76">
        <v>960.4820809003329</v>
      </c>
    </row>
    <row r="98" spans="2:32" s="76" customFormat="1" x14ac:dyDescent="0.25">
      <c r="B98" s="76" t="str">
        <f>VLOOKUP(F98,[1]NUTS_Europa!$A$2:$C$81,2,FALSE)</f>
        <v>NL12</v>
      </c>
      <c r="C98" s="76">
        <f>VLOOKUP(F98,[1]NUTS_Europa!$A$2:$C$81,3,FALSE)</f>
        <v>250</v>
      </c>
      <c r="D98" s="76" t="str">
        <f>VLOOKUP(G98,[1]NUTS_Europa!$A$2:$C$81,2,FALSE)</f>
        <v>PT16</v>
      </c>
      <c r="E98" s="76">
        <f>VLOOKUP(G98,[1]NUTS_Europa!$A$2:$C$81,3,FALSE)</f>
        <v>294</v>
      </c>
      <c r="F98" s="76">
        <v>71</v>
      </c>
      <c r="G98" s="76">
        <v>78</v>
      </c>
      <c r="H98" s="76">
        <v>2281594.6620497401</v>
      </c>
      <c r="I98" s="76">
        <v>1676772.6716613681</v>
      </c>
      <c r="J98" s="76">
        <f t="shared" si="2"/>
        <v>119769.47654724059</v>
      </c>
      <c r="K98" s="76">
        <v>135416.16142478216</v>
      </c>
      <c r="L98" s="76">
        <v>79.83642857142857</v>
      </c>
      <c r="M98" s="76">
        <v>9.9783613946581493</v>
      </c>
      <c r="N98" s="76">
        <v>15.710205544269522</v>
      </c>
      <c r="O98" s="76">
        <v>2825.2662764782135</v>
      </c>
    </row>
    <row r="99" spans="2:32" s="76" customFormat="1" x14ac:dyDescent="0.25">
      <c r="B99" s="76" t="str">
        <f>VLOOKUP(G99,[1]NUTS_Europa!$A$2:$C$81,2,FALSE)</f>
        <v>PT16</v>
      </c>
      <c r="C99" s="76">
        <f>VLOOKUP(G99,[1]NUTS_Europa!$A$2:$C$81,3,FALSE)</f>
        <v>294</v>
      </c>
      <c r="D99" s="76" t="str">
        <f>VLOOKUP(F99,[1]NUTS_Europa!$A$2:$C$81,2,FALSE)</f>
        <v>PT15</v>
      </c>
      <c r="E99" s="76">
        <f>VLOOKUP(F99,[1]NUTS_Europa!$A$2:$C$81,3,FALSE)</f>
        <v>61</v>
      </c>
      <c r="F99" s="76">
        <v>77</v>
      </c>
      <c r="G99" s="76">
        <v>78</v>
      </c>
      <c r="H99" s="76">
        <v>2371896.3776358208</v>
      </c>
      <c r="I99" s="76">
        <v>1021194.9995127101</v>
      </c>
      <c r="J99" s="76">
        <f t="shared" si="2"/>
        <v>72942.49996519358</v>
      </c>
      <c r="K99" s="76">
        <v>127001.21695280854</v>
      </c>
      <c r="L99" s="76">
        <v>21.978571428571428</v>
      </c>
      <c r="M99" s="76">
        <v>7.1542993658364891</v>
      </c>
      <c r="N99" s="76">
        <v>12.372856606107471</v>
      </c>
      <c r="O99" s="76">
        <v>2825.2662764782135</v>
      </c>
    </row>
    <row r="100" spans="2:32" s="76" customFormat="1" x14ac:dyDescent="0.25">
      <c r="B100" s="76" t="str">
        <f>VLOOKUP(F100,[1]NUTS_Europa!$A$2:$C$81,2,FALSE)</f>
        <v>PT15</v>
      </c>
      <c r="C100" s="76">
        <f>VLOOKUP(F100,[1]NUTS_Europa!$A$2:$C$81,3,FALSE)</f>
        <v>61</v>
      </c>
      <c r="D100" s="76" t="str">
        <f>VLOOKUP(G100,[1]NUTS_Europa!$A$2:$C$81,2,FALSE)</f>
        <v>PT17</v>
      </c>
      <c r="E100" s="76">
        <f>VLOOKUP(G100,[1]NUTS_Europa!$A$2:$C$81,3,FALSE)</f>
        <v>297</v>
      </c>
      <c r="F100" s="76">
        <v>77</v>
      </c>
      <c r="G100" s="76">
        <v>79</v>
      </c>
      <c r="H100" s="76">
        <v>768916.21823423519</v>
      </c>
      <c r="I100" s="76">
        <v>862533.5297136819</v>
      </c>
      <c r="J100" s="76">
        <f t="shared" si="2"/>
        <v>61609.537836691561</v>
      </c>
      <c r="K100" s="76">
        <v>113696.3812050019</v>
      </c>
      <c r="L100" s="76">
        <v>5.3571428571428568</v>
      </c>
      <c r="M100" s="76">
        <v>9.1642468707122475</v>
      </c>
      <c r="N100" s="76">
        <v>3.9497515922975746</v>
      </c>
      <c r="O100" s="76">
        <v>901.90166502666227</v>
      </c>
    </row>
    <row r="101" spans="2:32" s="76" customFormat="1" x14ac:dyDescent="0.25">
      <c r="B101" s="76" t="str">
        <f>VLOOKUP(G101,[1]NUTS_Europa!$A$2:$C$81,2,FALSE)</f>
        <v>PT17</v>
      </c>
      <c r="C101" s="76">
        <f>VLOOKUP(G101,[1]NUTS_Europa!$A$2:$C$81,3,FALSE)</f>
        <v>297</v>
      </c>
      <c r="D101" s="76" t="str">
        <f>VLOOKUP(F101,[1]NUTS_Europa!$A$2:$C$81,2,FALSE)</f>
        <v>FRJ1</v>
      </c>
      <c r="E101" s="76">
        <f>VLOOKUP(F101,[1]NUTS_Europa!$A$2:$C$81,3,FALSE)</f>
        <v>1064</v>
      </c>
      <c r="F101" s="76">
        <v>66</v>
      </c>
      <c r="G101" s="76">
        <v>79</v>
      </c>
      <c r="H101" s="76">
        <v>840207.86279779742</v>
      </c>
      <c r="I101" s="76">
        <v>1113277.8173380538</v>
      </c>
      <c r="J101" s="76">
        <f t="shared" si="2"/>
        <v>79519.844095575274</v>
      </c>
      <c r="K101" s="76">
        <v>192445.71807502842</v>
      </c>
      <c r="L101" s="76">
        <v>33.071428571428569</v>
      </c>
      <c r="M101" s="76">
        <v>8.7259603613495056</v>
      </c>
      <c r="N101" s="76">
        <v>4.2432952240920203</v>
      </c>
      <c r="O101" s="76">
        <v>901.90166502666227</v>
      </c>
    </row>
    <row r="102" spans="2:32" s="76" customFormat="1" x14ac:dyDescent="0.25"/>
    <row r="103" spans="2:32" s="76" customFormat="1" x14ac:dyDescent="0.25"/>
    <row r="104" spans="2:32" s="76" customFormat="1" x14ac:dyDescent="0.25">
      <c r="B104" s="76" t="s">
        <v>146</v>
      </c>
      <c r="Q104" s="80">
        <f>SUM(Q107:Q112)</f>
        <v>539.06153650954866</v>
      </c>
      <c r="R104" s="76">
        <f>Q104/24</f>
        <v>22.460897354564526</v>
      </c>
      <c r="S104" s="76">
        <f>R104/7</f>
        <v>3.2086996220806467</v>
      </c>
    </row>
    <row r="105" spans="2:32" s="76" customFormat="1" x14ac:dyDescent="0.25">
      <c r="B105" s="76" t="str">
        <f t="shared" ref="B105:V105" si="3">B86</f>
        <v>nodo inicial</v>
      </c>
      <c r="C105" s="76" t="str">
        <f t="shared" si="3"/>
        <v>puerto O</v>
      </c>
      <c r="D105" s="76" t="str">
        <f t="shared" si="3"/>
        <v>nodo final</v>
      </c>
      <c r="E105" s="76" t="str">
        <f t="shared" si="3"/>
        <v>puerto D</v>
      </c>
      <c r="F105" s="76" t="str">
        <f t="shared" si="3"/>
        <v>Var1</v>
      </c>
      <c r="G105" s="76" t="str">
        <f t="shared" si="3"/>
        <v>Var2</v>
      </c>
      <c r="H105" s="76" t="str">
        <f t="shared" si="3"/>
        <v>Coste variable</v>
      </c>
      <c r="I105" s="76" t="str">
        <f t="shared" si="3"/>
        <v>Coste fijo</v>
      </c>
      <c r="J105" s="76" t="str">
        <f t="shared" si="3"/>
        <v>Coste fijo/buque</v>
      </c>
      <c r="K105" s="76" t="str">
        <f t="shared" si="3"/>
        <v>flow</v>
      </c>
      <c r="L105" s="76" t="str">
        <f t="shared" si="3"/>
        <v>TiempoNav</v>
      </c>
      <c r="M105" s="76" t="str">
        <f t="shared" si="3"/>
        <v>TiempoPort</v>
      </c>
      <c r="N105" s="76" t="str">
        <f t="shared" si="3"/>
        <v>TiempoCD</v>
      </c>
      <c r="O105" s="76" t="str">
        <f t="shared" si="3"/>
        <v>offer</v>
      </c>
      <c r="P105" s="76" t="str">
        <f t="shared" si="3"/>
        <v>Tiempo C/D</v>
      </c>
      <c r="Q105" s="76" t="str">
        <f t="shared" si="3"/>
        <v>Tiempo total</v>
      </c>
      <c r="R105" s="76" t="str">
        <f t="shared" si="3"/>
        <v>TEUs/buque</v>
      </c>
      <c r="S105" s="76" t="str">
        <f t="shared" si="3"/>
        <v>Coste variable</v>
      </c>
      <c r="T105" s="76" t="str">
        <f t="shared" si="3"/>
        <v>Coste fijo</v>
      </c>
      <c r="U105" s="76" t="str">
        <f t="shared" si="3"/>
        <v>Coste Total</v>
      </c>
      <c r="V105" s="76" t="str">
        <f t="shared" si="3"/>
        <v>Nodo inicial</v>
      </c>
      <c r="W105" s="76" t="s">
        <v>158</v>
      </c>
      <c r="X105" s="76" t="s">
        <v>161</v>
      </c>
      <c r="Y105" s="76" t="s">
        <v>159</v>
      </c>
    </row>
    <row r="106" spans="2:32" s="76" customFormat="1" x14ac:dyDescent="0.25">
      <c r="B106" s="76" t="str">
        <f>VLOOKUP(F106,[1]NUTS_Europa!$A$2:$C$81,2,FALSE)</f>
        <v>DE80</v>
      </c>
      <c r="C106" s="76">
        <f>VLOOKUP(F106,[1]NUTS_Europa!$A$2:$C$81,3,FALSE)</f>
        <v>1069</v>
      </c>
      <c r="D106" s="76" t="str">
        <f>VLOOKUP(G106,[1]NUTS_Europa!$A$2:$C$81,2,FALSE)</f>
        <v>FRH0</v>
      </c>
      <c r="E106" s="76">
        <f>VLOOKUP(G106,[1]NUTS_Europa!$A$2:$C$81,3,FALSE)</f>
        <v>283</v>
      </c>
      <c r="F106" s="76">
        <v>6</v>
      </c>
      <c r="G106" s="76">
        <v>23</v>
      </c>
      <c r="H106" s="76">
        <v>1567109.4503684265</v>
      </c>
      <c r="I106" s="76">
        <v>1474870.7897017468</v>
      </c>
      <c r="K106" s="79">
        <v>117923.68175590989</v>
      </c>
      <c r="L106" s="76">
        <v>68.42</v>
      </c>
      <c r="M106" s="80">
        <v>11.301471728193395</v>
      </c>
      <c r="N106" s="80">
        <v>11.083450075239885</v>
      </c>
      <c r="O106" s="79">
        <v>2266.66818622449</v>
      </c>
    </row>
    <row r="107" spans="2:32" s="76" customFormat="1" x14ac:dyDescent="0.25">
      <c r="B107" s="76" t="str">
        <f>VLOOKUP(G107,[1]NUTS_Europa!$A$2:$C$81,2,FALSE)</f>
        <v>FRH0</v>
      </c>
      <c r="C107" s="76">
        <f>VLOOKUP(G107,[1]NUTS_Europa!$A$2:$C$81,3,FALSE)</f>
        <v>283</v>
      </c>
      <c r="D107" s="76" t="str">
        <f>VLOOKUP(F107,[1]NUTS_Europa!$A$2:$C$81,2,FALSE)</f>
        <v>ES61</v>
      </c>
      <c r="E107" s="76">
        <f>VLOOKUP(F107,[1]NUTS_Europa!$A$2:$C$81,3,FALSE)</f>
        <v>61</v>
      </c>
      <c r="F107" s="76">
        <v>17</v>
      </c>
      <c r="G107" s="76">
        <v>23</v>
      </c>
      <c r="H107" s="78">
        <v>1675238.1294913557</v>
      </c>
      <c r="I107" s="78">
        <v>1454901.6966978395</v>
      </c>
      <c r="J107" s="78">
        <f t="shared" ref="J107:J112" si="4">I107/14</f>
        <v>103921.5497641314</v>
      </c>
      <c r="K107" s="79">
        <v>191087.21980936834</v>
      </c>
      <c r="L107" s="76">
        <v>73.28</v>
      </c>
      <c r="M107" s="80">
        <v>8.6698729758902608</v>
      </c>
      <c r="N107" s="80">
        <v>10.345713316058275</v>
      </c>
      <c r="O107" s="79">
        <v>2266.66818622449</v>
      </c>
      <c r="P107" s="80">
        <f t="shared" ref="P107:P112" si="5">N107*(R107/O107)</f>
        <v>7.065508886827458</v>
      </c>
      <c r="Q107" s="80">
        <f t="shared" ref="Q107:Q112" si="6">P107+M107+L107</f>
        <v>89.015381862717717</v>
      </c>
      <c r="R107" s="76">
        <v>1548</v>
      </c>
      <c r="S107" s="78">
        <f t="shared" ref="S107:S112" si="7">H107*(R107/O107)</f>
        <v>1144088.3320342249</v>
      </c>
      <c r="T107" s="78">
        <f>J107*3</f>
        <v>311764.64929239417</v>
      </c>
      <c r="U107" s="78">
        <f t="shared" ref="U107:U130" si="8">T107+S107</f>
        <v>1455852.9813266192</v>
      </c>
      <c r="V107" s="76" t="str">
        <f>VLOOKUP(B107,NUTS_Europa!$B$2:$F$41,5,FALSE)</f>
        <v>Bretagne</v>
      </c>
      <c r="W107" s="76" t="str">
        <f>VLOOKUP(C107,Puertos!$N$3:$O$27,2,FALSE)</f>
        <v>La Rochelle</v>
      </c>
      <c r="X107" s="76" t="str">
        <f>VLOOKUP(D107,NUTS_Europa!$B$2:$F$41,5,FALSE)</f>
        <v>Andalucía</v>
      </c>
      <c r="Y107" s="76" t="str">
        <f>VLOOKUP(E107,Puertos!$N$3:$O$27,2,FALSE)</f>
        <v>Algeciras</v>
      </c>
      <c r="Z107" s="76">
        <f t="shared" ref="Z107:Z112" si="9">Q107/24</f>
        <v>3.7089742442799047</v>
      </c>
      <c r="AA107" s="80">
        <f t="shared" ref="AA107:AA112" si="10">(168/1)-Q107</f>
        <v>78.984618137282283</v>
      </c>
      <c r="AD107" s="76" t="s">
        <v>19</v>
      </c>
      <c r="AE107" s="76" t="s">
        <v>94</v>
      </c>
      <c r="AF107" s="76" t="s">
        <v>2</v>
      </c>
    </row>
    <row r="108" spans="2:32" s="76" customFormat="1" x14ac:dyDescent="0.25">
      <c r="B108" s="76" t="str">
        <f>VLOOKUP(F108,[1]NUTS_Europa!$A$2:$C$81,2,FALSE)</f>
        <v>ES61</v>
      </c>
      <c r="C108" s="76">
        <f>VLOOKUP(F108,[1]NUTS_Europa!$A$2:$C$81,3,FALSE)</f>
        <v>61</v>
      </c>
      <c r="D108" s="76" t="str">
        <f>VLOOKUP(G108,[1]NUTS_Europa!$A$2:$C$81,2,FALSE)</f>
        <v>FRG0</v>
      </c>
      <c r="E108" s="76">
        <f>VLOOKUP(G108,[1]NUTS_Europa!$A$2:$C$81,3,FALSE)</f>
        <v>282</v>
      </c>
      <c r="F108" s="76">
        <v>17</v>
      </c>
      <c r="G108" s="76">
        <v>22</v>
      </c>
      <c r="H108" s="78">
        <v>535749.70551870822</v>
      </c>
      <c r="I108" s="78">
        <v>1480933.0676416915</v>
      </c>
      <c r="J108" s="78">
        <f t="shared" si="4"/>
        <v>105780.93340297797</v>
      </c>
      <c r="K108" s="79">
        <v>115262.59218235347</v>
      </c>
      <c r="L108" s="80">
        <v>75.131142857142862</v>
      </c>
      <c r="M108" s="80">
        <v>8.1100118220037842</v>
      </c>
      <c r="N108" s="80">
        <v>4.2745881441341789</v>
      </c>
      <c r="O108" s="79">
        <v>816.51860465116272</v>
      </c>
      <c r="P108" s="80">
        <f t="shared" si="5"/>
        <v>4.2745881441341789</v>
      </c>
      <c r="Q108" s="80">
        <f t="shared" si="6"/>
        <v>87.515742823280817</v>
      </c>
      <c r="R108" s="79">
        <f>O108</f>
        <v>816.51860465116272</v>
      </c>
      <c r="S108" s="78">
        <f t="shared" si="7"/>
        <v>535749.70551870822</v>
      </c>
      <c r="T108" s="78">
        <f t="shared" ref="T108:T112" si="11">J108*3</f>
        <v>317342.80020893388</v>
      </c>
      <c r="U108" s="78">
        <f t="shared" si="8"/>
        <v>853092.5057276421</v>
      </c>
      <c r="V108" s="76" t="str">
        <f>VLOOKUP(B108,NUTS_Europa!$B$2:$F$41,5,FALSE)</f>
        <v>Andalucía</v>
      </c>
      <c r="W108" s="76" t="str">
        <f>VLOOKUP(C108,Puertos!$N$3:$O$27,2,FALSE)</f>
        <v>Algeciras</v>
      </c>
      <c r="X108" s="76" t="str">
        <f>VLOOKUP(D108,NUTS_Europa!$B$2:$F$41,5,FALSE)</f>
        <v>Pays de la Loire</v>
      </c>
      <c r="Y108" s="76" t="str">
        <f>VLOOKUP(E108,Puertos!$N$3:$O$27,2,FALSE)</f>
        <v>Saint Nazaire</v>
      </c>
      <c r="Z108" s="76">
        <f t="shared" si="9"/>
        <v>3.6464892843033674</v>
      </c>
      <c r="AA108" s="80">
        <f t="shared" si="10"/>
        <v>80.484257176719183</v>
      </c>
      <c r="AB108" s="76">
        <f>Z108+Z107</f>
        <v>7.3554635285832717</v>
      </c>
      <c r="AD108" s="76" t="s">
        <v>2</v>
      </c>
      <c r="AE108" s="76" t="s">
        <v>86</v>
      </c>
      <c r="AF108" s="76" t="s">
        <v>3</v>
      </c>
    </row>
    <row r="109" spans="2:32" s="76" customFormat="1" x14ac:dyDescent="0.25">
      <c r="B109" s="76" t="str">
        <f>VLOOKUP(G109,[1]NUTS_Europa!$A$2:$C$81,2,FALSE)</f>
        <v>FRG0</v>
      </c>
      <c r="C109" s="76">
        <f>VLOOKUP(G109,[1]NUTS_Europa!$A$2:$C$81,3,FALSE)</f>
        <v>282</v>
      </c>
      <c r="D109" s="76" t="str">
        <f>VLOOKUP(F109,[1]NUTS_Europa!$A$2:$C$81,2,FALSE)</f>
        <v>ES62</v>
      </c>
      <c r="E109" s="76">
        <f>VLOOKUP(F109,[1]NUTS_Europa!$A$2:$C$81,3,FALSE)</f>
        <v>1064</v>
      </c>
      <c r="F109" s="76">
        <v>18</v>
      </c>
      <c r="G109" s="76">
        <v>22</v>
      </c>
      <c r="H109" s="78">
        <v>513627.74161135673</v>
      </c>
      <c r="I109" s="78">
        <v>1619131.4079886647</v>
      </c>
      <c r="J109" s="78">
        <f t="shared" si="4"/>
        <v>115652.24342776176</v>
      </c>
      <c r="K109" s="79">
        <v>135416.16142478216</v>
      </c>
      <c r="L109" s="80">
        <v>89.787071428571423</v>
      </c>
      <c r="M109" s="80">
        <v>7.6717253126410423</v>
      </c>
      <c r="N109" s="80">
        <v>4.540341990624694</v>
      </c>
      <c r="O109" s="79">
        <v>816.51860465116272</v>
      </c>
      <c r="P109" s="80">
        <f t="shared" si="5"/>
        <v>4.540341990624694</v>
      </c>
      <c r="Q109" s="80">
        <f t="shared" si="6"/>
        <v>101.99913873183716</v>
      </c>
      <c r="R109" s="79">
        <f>O109</f>
        <v>816.51860465116272</v>
      </c>
      <c r="S109" s="78">
        <f t="shared" si="7"/>
        <v>513627.74161135673</v>
      </c>
      <c r="T109" s="78">
        <f t="shared" si="11"/>
        <v>346956.73028328526</v>
      </c>
      <c r="U109" s="78">
        <f t="shared" si="8"/>
        <v>860584.47189464199</v>
      </c>
      <c r="V109" s="76" t="str">
        <f>VLOOKUP(B109,NUTS_Europa!$B$2:$F$41,5,FALSE)</f>
        <v>Pays de la Loire</v>
      </c>
      <c r="W109" s="76" t="str">
        <f>VLOOKUP(C109,Puertos!$N$3:$O$27,2,FALSE)</f>
        <v>Saint Nazaire</v>
      </c>
      <c r="X109" s="76" t="str">
        <f>VLOOKUP(D109,NUTS_Europa!$B$2:$F$41,5,FALSE)</f>
        <v>Región de Murcia</v>
      </c>
      <c r="Y109" s="76" t="str">
        <f>VLOOKUP(E109,Puertos!$N$3:$O$27,2,FALSE)</f>
        <v>Valencia</v>
      </c>
      <c r="Z109" s="76">
        <f t="shared" si="9"/>
        <v>4.2499641138265485</v>
      </c>
      <c r="AA109" s="80">
        <f t="shared" si="10"/>
        <v>66.000861268162836</v>
      </c>
      <c r="AD109" s="76" t="s">
        <v>3</v>
      </c>
      <c r="AE109" s="76" t="s">
        <v>98</v>
      </c>
      <c r="AF109" s="76" t="s">
        <v>36</v>
      </c>
    </row>
    <row r="110" spans="2:32" s="76" customFormat="1" x14ac:dyDescent="0.25">
      <c r="B110" s="76" t="str">
        <f>VLOOKUP(F110,[1]NUTS_Europa!$A$2:$C$81,2,FALSE)</f>
        <v>ES62</v>
      </c>
      <c r="C110" s="76">
        <f>VLOOKUP(F110,[1]NUTS_Europa!$A$2:$C$81,3,FALSE)</f>
        <v>1064</v>
      </c>
      <c r="D110" s="76" t="str">
        <f>VLOOKUP(G110,[1]NUTS_Europa!$A$2:$C$81,2,FALSE)</f>
        <v>PT17</v>
      </c>
      <c r="E110" s="76">
        <f>VLOOKUP(G110,[1]NUTS_Europa!$A$2:$C$81,3,FALSE)</f>
        <v>294</v>
      </c>
      <c r="F110" s="76">
        <v>18</v>
      </c>
      <c r="G110" s="76">
        <v>39</v>
      </c>
      <c r="H110" s="78">
        <v>1124742.302171458</v>
      </c>
      <c r="I110" s="78">
        <v>1224765.9959214893</v>
      </c>
      <c r="J110" s="78">
        <f t="shared" si="4"/>
        <v>87483.285422963527</v>
      </c>
      <c r="K110" s="79">
        <v>191087.21980936834</v>
      </c>
      <c r="L110" s="80">
        <v>44.237857142857145</v>
      </c>
      <c r="M110" s="80">
        <v>6.716012856473748</v>
      </c>
      <c r="N110" s="80">
        <v>13.292401336695443</v>
      </c>
      <c r="O110" s="79">
        <v>2825.2662764782135</v>
      </c>
      <c r="P110" s="80">
        <f t="shared" si="5"/>
        <v>7.2830789226897199</v>
      </c>
      <c r="Q110" s="80">
        <f t="shared" si="6"/>
        <v>58.236948922020616</v>
      </c>
      <c r="R110" s="76">
        <v>1548</v>
      </c>
      <c r="S110" s="78">
        <f t="shared" si="7"/>
        <v>616260.88070245762</v>
      </c>
      <c r="T110" s="78">
        <f t="shared" si="11"/>
        <v>262449.85626889055</v>
      </c>
      <c r="U110" s="78">
        <f t="shared" si="8"/>
        <v>878710.73697134817</v>
      </c>
      <c r="V110" s="76" t="str">
        <f>VLOOKUP(B110,NUTS_Europa!$B$2:$F$41,5,FALSE)</f>
        <v>Región de Murcia</v>
      </c>
      <c r="W110" s="76" t="str">
        <f>VLOOKUP(C110,Puertos!$N$3:$O$27,2,FALSE)</f>
        <v>Valencia</v>
      </c>
      <c r="X110" s="76" t="str">
        <f>VLOOKUP(D110,NUTS_Europa!$B$2:$F$41,5,FALSE)</f>
        <v>Área Metropolitana de Lisboa</v>
      </c>
      <c r="Y110" s="76" t="str">
        <f>VLOOKUP(E110,Puertos!$N$3:$O$27,2,FALSE)</f>
        <v>Lisboa</v>
      </c>
      <c r="Z110" s="76">
        <f t="shared" si="9"/>
        <v>2.4265395384175257</v>
      </c>
      <c r="AA110" s="80">
        <f t="shared" si="10"/>
        <v>109.76305107797938</v>
      </c>
      <c r="AB110" s="76">
        <f>Z110+Z109</f>
        <v>6.6765036522440742</v>
      </c>
      <c r="AD110" s="76" t="s">
        <v>36</v>
      </c>
      <c r="AE110" s="76" t="s">
        <v>90</v>
      </c>
      <c r="AF110" s="76" t="s">
        <v>4</v>
      </c>
    </row>
    <row r="111" spans="2:32" s="76" customFormat="1" x14ac:dyDescent="0.25">
      <c r="B111" s="76" t="str">
        <f>VLOOKUP(G111,[1]NUTS_Europa!$A$2:$C$81,2,FALSE)</f>
        <v>PT17</v>
      </c>
      <c r="C111" s="76">
        <f>VLOOKUP(G111,[1]NUTS_Europa!$A$2:$C$81,3,FALSE)</f>
        <v>294</v>
      </c>
      <c r="D111" s="76" t="str">
        <f>VLOOKUP(F111,[1]NUTS_Europa!$A$2:$C$81,2,FALSE)</f>
        <v>FRJ1</v>
      </c>
      <c r="E111" s="76">
        <f>VLOOKUP(F111,[1]NUTS_Europa!$A$2:$C$81,3,FALSE)</f>
        <v>1063</v>
      </c>
      <c r="F111" s="76">
        <v>26</v>
      </c>
      <c r="G111" s="76">
        <v>39</v>
      </c>
      <c r="H111" s="78">
        <v>1491107.6623920791</v>
      </c>
      <c r="I111" s="78">
        <v>5286886.2517782226</v>
      </c>
      <c r="J111" s="78">
        <f t="shared" si="4"/>
        <v>377634.73226987303</v>
      </c>
      <c r="K111" s="79">
        <v>137713.62258431225</v>
      </c>
      <c r="L111" s="80">
        <v>58.142857142857146</v>
      </c>
      <c r="M111" s="80">
        <v>8.7582732816795428</v>
      </c>
      <c r="N111" s="80">
        <v>13.292401336695443</v>
      </c>
      <c r="O111" s="79">
        <v>2825.2662764782135</v>
      </c>
      <c r="P111" s="80">
        <f t="shared" si="5"/>
        <v>7.2830789226897199</v>
      </c>
      <c r="Q111" s="80">
        <f t="shared" si="6"/>
        <v>74.184209347226414</v>
      </c>
      <c r="R111" s="76">
        <v>1548</v>
      </c>
      <c r="S111" s="78">
        <f t="shared" si="7"/>
        <v>816997.20858177938</v>
      </c>
      <c r="T111" s="78">
        <f t="shared" si="11"/>
        <v>1132904.1968096192</v>
      </c>
      <c r="U111" s="78">
        <f t="shared" si="8"/>
        <v>1949901.4053913986</v>
      </c>
      <c r="V111" s="76" t="str">
        <f>VLOOKUP(B111,NUTS_Europa!$B$2:$F$41,5,FALSE)</f>
        <v>Área Metropolitana de Lisboa</v>
      </c>
      <c r="W111" s="76" t="str">
        <f>VLOOKUP(C111,Puertos!$N$3:$O$27,2,FALSE)</f>
        <v>Lisboa</v>
      </c>
      <c r="X111" s="76" t="str">
        <f>VLOOKUP(D111,NUTS_Europa!$B$2:$F$41,5,FALSE)</f>
        <v>Languedoc-Roussillon</v>
      </c>
      <c r="Y111" s="76" t="str">
        <f>VLOOKUP(E111,Puertos!$N$3:$O$27,2,FALSE)</f>
        <v>Barcelona</v>
      </c>
      <c r="Z111" s="76">
        <f t="shared" si="9"/>
        <v>3.0910087228011007</v>
      </c>
      <c r="AA111" s="80">
        <f t="shared" si="10"/>
        <v>93.815790652773586</v>
      </c>
      <c r="AD111" s="76" t="s">
        <v>4</v>
      </c>
      <c r="AE111" s="76" t="s">
        <v>60</v>
      </c>
      <c r="AF111" s="76" t="s">
        <v>15</v>
      </c>
    </row>
    <row r="112" spans="2:32" s="76" customFormat="1" x14ac:dyDescent="0.25">
      <c r="B112" s="76" t="str">
        <f>VLOOKUP(F112,[1]NUTS_Europa!$A$2:$C$81,2,FALSE)</f>
        <v>FRJ1</v>
      </c>
      <c r="C112" s="76">
        <f>VLOOKUP(F112,[1]NUTS_Europa!$A$2:$C$81,3,FALSE)</f>
        <v>1063</v>
      </c>
      <c r="D112" s="76" t="str">
        <f>VLOOKUP(G112,[1]NUTS_Europa!$A$2:$C$81,2,FALSE)</f>
        <v>FRJ2</v>
      </c>
      <c r="E112" s="76">
        <f>VLOOKUP(G112,[1]NUTS_Europa!$A$2:$C$81,3,FALSE)</f>
        <v>283</v>
      </c>
      <c r="F112" s="76">
        <v>26</v>
      </c>
      <c r="G112" s="76">
        <v>28</v>
      </c>
      <c r="H112" s="78">
        <v>2313210.4261628664</v>
      </c>
      <c r="I112" s="78">
        <v>5731895.8956082249</v>
      </c>
      <c r="J112" s="78">
        <f t="shared" si="4"/>
        <v>409421.13540058752</v>
      </c>
      <c r="K112" s="79">
        <v>142841.86171918266</v>
      </c>
      <c r="L112" s="80">
        <v>110.26692857142858</v>
      </c>
      <c r="M112" s="80">
        <v>10.273846891733315</v>
      </c>
      <c r="N112" s="80">
        <v>11.083450075239885</v>
      </c>
      <c r="O112" s="79">
        <v>2266.66818622449</v>
      </c>
      <c r="P112" s="80">
        <f t="shared" si="5"/>
        <v>7.5693393593040446</v>
      </c>
      <c r="Q112" s="80">
        <f t="shared" si="6"/>
        <v>128.11011482246593</v>
      </c>
      <c r="R112" s="76">
        <v>1548</v>
      </c>
      <c r="S112" s="78">
        <f t="shared" si="7"/>
        <v>1579785.5907902487</v>
      </c>
      <c r="T112" s="78">
        <f t="shared" si="11"/>
        <v>1228263.4062017626</v>
      </c>
      <c r="U112" s="78">
        <f t="shared" si="8"/>
        <v>2808048.9969920116</v>
      </c>
      <c r="V112" s="76" t="str">
        <f>VLOOKUP(B112,NUTS_Europa!$B$2:$F$41,5,FALSE)</f>
        <v>Languedoc-Roussillon</v>
      </c>
      <c r="W112" s="76" t="str">
        <f>VLOOKUP(C112,Puertos!$N$3:$O$27,2,FALSE)</f>
        <v>Barcelona</v>
      </c>
      <c r="X112" s="76" t="str">
        <f>VLOOKUP(D112,NUTS_Europa!$B$2:$F$41,5,FALSE)</f>
        <v>Midi-Pyrénées</v>
      </c>
      <c r="Y112" s="76" t="str">
        <f>VLOOKUP(E112,Puertos!$N$3:$O$27,2,FALSE)</f>
        <v>La Rochelle</v>
      </c>
      <c r="Z112" s="76">
        <f t="shared" si="9"/>
        <v>5.3379214509360802</v>
      </c>
      <c r="AA112" s="80">
        <f t="shared" si="10"/>
        <v>39.889885177534069</v>
      </c>
      <c r="AB112" s="76">
        <f>Z112+Z111</f>
        <v>8.4289301737371805</v>
      </c>
      <c r="AD112" s="76" t="s">
        <v>15</v>
      </c>
      <c r="AE112" s="76" t="s">
        <v>130</v>
      </c>
      <c r="AF112" s="76" t="s">
        <v>19</v>
      </c>
    </row>
    <row r="113" spans="2:28" s="76" customFormat="1" x14ac:dyDescent="0.25">
      <c r="B113" s="76" t="str">
        <f>VLOOKUP(G113,[1]NUTS_Europa!$A$2:$C$81,2,FALSE)</f>
        <v>FRJ2</v>
      </c>
      <c r="C113" s="76">
        <f>VLOOKUP(G113,[1]NUTS_Europa!$A$2:$C$81,3,FALSE)</f>
        <v>283</v>
      </c>
      <c r="D113" s="76" t="str">
        <f>VLOOKUP(F113,[1]NUTS_Europa!$A$2:$C$81,2,FALSE)</f>
        <v>FRF2</v>
      </c>
      <c r="E113" s="76">
        <f>VLOOKUP(F113,[1]NUTS_Europa!$A$2:$C$81,3,FALSE)</f>
        <v>269</v>
      </c>
      <c r="F113" s="76">
        <v>27</v>
      </c>
      <c r="G113" s="76">
        <v>28</v>
      </c>
      <c r="H113" s="76">
        <v>1882886.9028032741</v>
      </c>
      <c r="I113" s="76">
        <v>1249346.895491591</v>
      </c>
      <c r="J113" s="78"/>
      <c r="K113" s="79">
        <v>176841.96373917855</v>
      </c>
      <c r="L113" s="80">
        <v>33.071428571428569</v>
      </c>
      <c r="M113" s="80">
        <v>12.726065223570533</v>
      </c>
      <c r="N113" s="80">
        <v>13.023217637488681</v>
      </c>
      <c r="O113" s="79">
        <v>2266.66818622449</v>
      </c>
      <c r="P113" s="80"/>
      <c r="Q113" s="80"/>
      <c r="S113" s="78"/>
      <c r="U113" s="78">
        <f t="shared" si="8"/>
        <v>0</v>
      </c>
      <c r="AA113" s="76">
        <f>AVERAGE(AA107:AA112)</f>
        <v>78.156410581741895</v>
      </c>
    </row>
    <row r="114" spans="2:28" s="76" customFormat="1" x14ac:dyDescent="0.25">
      <c r="B114" s="76" t="str">
        <f>VLOOKUP(F114,[1]NUTS_Europa!$A$2:$C$81,2,FALSE)</f>
        <v>FRF2</v>
      </c>
      <c r="C114" s="76">
        <f>VLOOKUP(F114,[1]NUTS_Europa!$A$2:$C$81,3,FALSE)</f>
        <v>269</v>
      </c>
      <c r="D114" s="76" t="str">
        <f>VLOOKUP(G114,[1]NUTS_Europa!$A$2:$C$81,2,FALSE)</f>
        <v>NL32</v>
      </c>
      <c r="E114" s="76">
        <f>VLOOKUP(G114,[1]NUTS_Europa!$A$2:$C$81,3,FALSE)</f>
        <v>218</v>
      </c>
      <c r="F114" s="76">
        <v>27</v>
      </c>
      <c r="G114" s="76">
        <v>32</v>
      </c>
      <c r="H114" s="78">
        <v>1650592.7738244538</v>
      </c>
      <c r="I114" s="78">
        <v>1234915.7215847543</v>
      </c>
      <c r="J114" s="78">
        <f t="shared" ref="J114:J130" si="12">I114/14</f>
        <v>88208.26582748245</v>
      </c>
      <c r="K114" s="79">
        <v>115262.59218235347</v>
      </c>
      <c r="L114" s="80">
        <v>19.642857142857142</v>
      </c>
      <c r="M114" s="80">
        <v>10.385479996104607</v>
      </c>
      <c r="N114" s="80">
        <v>26.943762908255376</v>
      </c>
      <c r="O114" s="79">
        <v>5123.2789092745306</v>
      </c>
      <c r="P114" s="80">
        <f t="shared" ref="P114:P119" si="13">N114*(R114/O114)</f>
        <v>8.1410646815411063</v>
      </c>
      <c r="Q114" s="80">
        <f t="shared" ref="Q114:Q119" si="14">P114+M114+L114</f>
        <v>38.169401820502856</v>
      </c>
      <c r="R114" s="76">
        <v>1548</v>
      </c>
      <c r="S114" s="78">
        <f t="shared" ref="S114:S119" si="15">H114*(R114/O114)</f>
        <v>498727.01820991933</v>
      </c>
      <c r="T114" s="78">
        <f>J114</f>
        <v>88208.26582748245</v>
      </c>
      <c r="U114" s="78">
        <f t="shared" si="8"/>
        <v>586935.28403740178</v>
      </c>
      <c r="V114" s="76" t="str">
        <f>VLOOKUP(B114,NUTS_Europa!$B$2:$F$41,5,FALSE)</f>
        <v>Champagne-Ardenne</v>
      </c>
      <c r="W114" s="76" t="str">
        <f>VLOOKUP(C114,Puertos!$N$3:$O$27,2,FALSE)</f>
        <v>Le Havre</v>
      </c>
      <c r="X114" s="76" t="str">
        <f>VLOOKUP(D114,NUTS_Europa!$B$2:$F$41,5,FALSE)</f>
        <v>Noord-Holland</v>
      </c>
      <c r="Y114" s="76" t="str">
        <f>VLOOKUP(E114,Puertos!$N$3:$O$27,2,FALSE)</f>
        <v>Amsterdam</v>
      </c>
    </row>
    <row r="115" spans="2:28" s="76" customFormat="1" x14ac:dyDescent="0.25">
      <c r="B115" s="76" t="str">
        <f>VLOOKUP(G115,[1]NUTS_Europa!$A$2:$C$81,2,FALSE)</f>
        <v>NL32</v>
      </c>
      <c r="C115" s="76">
        <f>VLOOKUP(G115,[1]NUTS_Europa!$A$2:$C$81,3,FALSE)</f>
        <v>218</v>
      </c>
      <c r="D115" s="76" t="str">
        <f>VLOOKUP(F115,[1]NUTS_Europa!$A$2:$C$81,2,FALSE)</f>
        <v>DE93</v>
      </c>
      <c r="E115" s="76">
        <f>VLOOKUP(F115,[1]NUTS_Europa!$A$2:$C$81,3,FALSE)</f>
        <v>1069</v>
      </c>
      <c r="F115" s="76">
        <v>7</v>
      </c>
      <c r="G115" s="76">
        <v>32</v>
      </c>
      <c r="H115" s="78">
        <v>576666.97110591049</v>
      </c>
      <c r="I115" s="78">
        <v>1153104.243550295</v>
      </c>
      <c r="J115" s="78">
        <f t="shared" si="12"/>
        <v>82364.58882502107</v>
      </c>
      <c r="K115" s="79">
        <v>199058.85825050285</v>
      </c>
      <c r="L115" s="80">
        <v>19.283571428571431</v>
      </c>
      <c r="M115" s="80">
        <v>8.9608865007274687</v>
      </c>
      <c r="N115" s="80">
        <v>22.559367211981254</v>
      </c>
      <c r="O115" s="79">
        <v>5123.2789092745306</v>
      </c>
      <c r="P115" s="80">
        <f t="shared" si="13"/>
        <v>6.8163184286002521</v>
      </c>
      <c r="Q115" s="80">
        <f t="shared" si="14"/>
        <v>35.060776357899151</v>
      </c>
      <c r="R115" s="76">
        <v>1548</v>
      </c>
      <c r="S115" s="78">
        <f t="shared" si="15"/>
        <v>174240.06911978862</v>
      </c>
      <c r="T115" s="78">
        <f>J115</f>
        <v>82364.58882502107</v>
      </c>
      <c r="U115" s="78">
        <f t="shared" si="8"/>
        <v>256604.6579448097</v>
      </c>
      <c r="V115" s="76" t="str">
        <f>VLOOKUP(B115,NUTS_Europa!$B$2:$F$41,5,FALSE)</f>
        <v>Noord-Holland</v>
      </c>
      <c r="W115" s="76" t="str">
        <f>VLOOKUP(C115,Puertos!$N$3:$O$27,2,FALSE)</f>
        <v>Amsterdam</v>
      </c>
      <c r="X115" s="76" t="str">
        <f>VLOOKUP(D115,NUTS_Europa!$B$2:$F$41,5,FALSE)</f>
        <v>Lüneburg</v>
      </c>
      <c r="Y115" s="76" t="str">
        <f>VLOOKUP(E115,Puertos!$N$3:$O$27,2,FALSE)</f>
        <v>Hamburgo</v>
      </c>
    </row>
    <row r="116" spans="2:28" s="76" customFormat="1" x14ac:dyDescent="0.25">
      <c r="B116" s="76" t="str">
        <f>VLOOKUP(F116,[1]NUTS_Europa!$A$2:$C$81,2,FALSE)</f>
        <v>DE93</v>
      </c>
      <c r="C116" s="76">
        <f>VLOOKUP(F116,[1]NUTS_Europa!$A$2:$C$81,3,FALSE)</f>
        <v>1069</v>
      </c>
      <c r="D116" s="76" t="str">
        <f>VLOOKUP(G116,[1]NUTS_Europa!$A$2:$C$81,2,FALSE)</f>
        <v>NL12</v>
      </c>
      <c r="E116" s="76">
        <f>VLOOKUP(G116,[1]NUTS_Europa!$A$2:$C$81,3,FALSE)</f>
        <v>218</v>
      </c>
      <c r="F116" s="76">
        <v>7</v>
      </c>
      <c r="G116" s="76">
        <v>31</v>
      </c>
      <c r="H116" s="78">
        <v>1368419.0060730875</v>
      </c>
      <c r="I116" s="78">
        <v>1153104.243550295</v>
      </c>
      <c r="J116" s="78">
        <f t="shared" si="12"/>
        <v>82364.58882502107</v>
      </c>
      <c r="K116" s="79">
        <v>163171.48832599766</v>
      </c>
      <c r="L116" s="80">
        <v>19.283571428571431</v>
      </c>
      <c r="M116" s="80">
        <v>8.9608865007274687</v>
      </c>
      <c r="N116" s="80">
        <v>22.559367211981254</v>
      </c>
      <c r="O116" s="79">
        <v>5123.2789092745306</v>
      </c>
      <c r="P116" s="80">
        <f t="shared" si="13"/>
        <v>6.8163184286002521</v>
      </c>
      <c r="Q116" s="80">
        <f t="shared" si="14"/>
        <v>35.060776357899151</v>
      </c>
      <c r="R116" s="76">
        <v>1548</v>
      </c>
      <c r="S116" s="78">
        <f t="shared" si="15"/>
        <v>413468.14391978865</v>
      </c>
      <c r="T116" s="78">
        <f>J116</f>
        <v>82364.58882502107</v>
      </c>
      <c r="U116" s="78">
        <f t="shared" si="8"/>
        <v>495832.73274480971</v>
      </c>
      <c r="V116" s="76" t="str">
        <f>VLOOKUP(B116,NUTS_Europa!$B$2:$F$41,5,FALSE)</f>
        <v>Lüneburg</v>
      </c>
      <c r="W116" s="76" t="str">
        <f>VLOOKUP(C116,Puertos!$N$3:$O$27,2,FALSE)</f>
        <v>Hamburgo</v>
      </c>
      <c r="X116" s="76" t="str">
        <f>VLOOKUP(D116,NUTS_Europa!$B$2:$F$41,5,FALSE)</f>
        <v>Friesland (NL)</v>
      </c>
      <c r="Y116" s="76" t="str">
        <f>VLOOKUP(E116,Puertos!$N$3:$O$27,2,FALSE)</f>
        <v>Amsterdam</v>
      </c>
    </row>
    <row r="117" spans="2:28" s="76" customFormat="1" x14ac:dyDescent="0.25">
      <c r="B117" s="76" t="str">
        <f>VLOOKUP(G117,[1]NUTS_Europa!$A$2:$C$81,2,FALSE)</f>
        <v>NL12</v>
      </c>
      <c r="C117" s="76">
        <f>VLOOKUP(G117,[1]NUTS_Europa!$A$2:$C$81,3,FALSE)</f>
        <v>218</v>
      </c>
      <c r="D117" s="76" t="str">
        <f>VLOOKUP(F117,[1]NUTS_Europa!$A$2:$C$81,2,FALSE)</f>
        <v>FRI2</v>
      </c>
      <c r="E117" s="76">
        <f>VLOOKUP(F117,[1]NUTS_Europa!$A$2:$C$81,3,FALSE)</f>
        <v>269</v>
      </c>
      <c r="F117" s="76">
        <v>29</v>
      </c>
      <c r="G117" s="76">
        <v>31</v>
      </c>
      <c r="H117" s="78">
        <v>2469252.2696231408</v>
      </c>
      <c r="I117" s="78">
        <v>1234915.7215847543</v>
      </c>
      <c r="J117" s="78">
        <f t="shared" si="12"/>
        <v>88208.26582748245</v>
      </c>
      <c r="K117" s="79">
        <v>154854.30087154222</v>
      </c>
      <c r="L117" s="80">
        <v>19.642857142857142</v>
      </c>
      <c r="M117" s="80">
        <v>10.385479996104607</v>
      </c>
      <c r="N117" s="80">
        <v>26.943762908255376</v>
      </c>
      <c r="O117" s="79">
        <v>5123.2789092745306</v>
      </c>
      <c r="P117" s="80">
        <f t="shared" si="13"/>
        <v>8.1410646815411063</v>
      </c>
      <c r="Q117" s="80">
        <f t="shared" si="14"/>
        <v>38.169401820502856</v>
      </c>
      <c r="R117" s="76">
        <v>1548</v>
      </c>
      <c r="S117" s="78">
        <f t="shared" si="15"/>
        <v>746085.18900991941</v>
      </c>
      <c r="T117" s="78">
        <f>J117</f>
        <v>88208.26582748245</v>
      </c>
      <c r="U117" s="78">
        <f t="shared" si="8"/>
        <v>834293.45483740186</v>
      </c>
      <c r="V117" s="76" t="str">
        <f>VLOOKUP(B117,NUTS_Europa!$B$2:$F$41,5,FALSE)</f>
        <v>Friesland (NL)</v>
      </c>
      <c r="W117" s="76" t="str">
        <f>VLOOKUP(C117,Puertos!$N$3:$O$27,2,FALSE)</f>
        <v>Amsterdam</v>
      </c>
      <c r="X117" s="76" t="str">
        <f>VLOOKUP(D117,NUTS_Europa!$B$2:$F$41,5,FALSE)</f>
        <v>Limousin</v>
      </c>
      <c r="Y117" s="76" t="str">
        <f>VLOOKUP(E117,Puertos!$N$3:$O$27,2,FALSE)</f>
        <v>Le Havre</v>
      </c>
    </row>
    <row r="118" spans="2:28" s="76" customFormat="1" x14ac:dyDescent="0.25">
      <c r="B118" s="76" t="str">
        <f>VLOOKUP(F118,[1]NUTS_Europa!$A$2:$C$81,2,FALSE)</f>
        <v>FRI2</v>
      </c>
      <c r="C118" s="76">
        <f>VLOOKUP(F118,[1]NUTS_Europa!$A$2:$C$81,3,FALSE)</f>
        <v>269</v>
      </c>
      <c r="D118" s="76" t="str">
        <f>VLOOKUP(G118,[1]NUTS_Europa!$A$2:$C$81,2,FALSE)</f>
        <v>FRG0</v>
      </c>
      <c r="E118" s="76">
        <f>VLOOKUP(G118,[1]NUTS_Europa!$A$2:$C$81,3,FALSE)</f>
        <v>283</v>
      </c>
      <c r="F118" s="76">
        <v>29</v>
      </c>
      <c r="G118" s="76">
        <v>62</v>
      </c>
      <c r="H118" s="76">
        <v>1365039.3556420547</v>
      </c>
      <c r="I118" s="78">
        <v>1249346.895491591</v>
      </c>
      <c r="J118" s="78">
        <f t="shared" si="12"/>
        <v>89239.063963685068</v>
      </c>
      <c r="K118" s="79">
        <v>118487.95435333898</v>
      </c>
      <c r="L118" s="80">
        <v>33.071428571428569</v>
      </c>
      <c r="M118" s="80">
        <v>12.726065223570533</v>
      </c>
      <c r="N118" s="80">
        <v>13.023217637488681</v>
      </c>
      <c r="O118" s="79">
        <v>2266.66818622449</v>
      </c>
      <c r="P118" s="80">
        <f t="shared" si="13"/>
        <v>8.8940856122448988</v>
      </c>
      <c r="Q118" s="80">
        <f t="shared" si="14"/>
        <v>54.691579407243999</v>
      </c>
      <c r="R118" s="76">
        <v>1548</v>
      </c>
      <c r="S118" s="78">
        <f t="shared" si="15"/>
        <v>932240.95850287902</v>
      </c>
      <c r="T118" s="78">
        <f>J118*3</f>
        <v>267717.1918910552</v>
      </c>
      <c r="U118" s="78">
        <f t="shared" si="8"/>
        <v>1199958.1503939342</v>
      </c>
      <c r="V118" s="76" t="str">
        <f>VLOOKUP(B118,NUTS_Europa!$B$2:$F$41,5,FALSE)</f>
        <v>Limousin</v>
      </c>
      <c r="W118" s="76" t="str">
        <f>VLOOKUP(C118,Puertos!$N$3:$O$27,2,FALSE)</f>
        <v>Le Havre</v>
      </c>
      <c r="X118" s="76" t="str">
        <f>VLOOKUP(D118,NUTS_Europa!$B$2:$F$41,5,FALSE)</f>
        <v>Pays de la Loire</v>
      </c>
      <c r="Y118" s="76" t="str">
        <f>VLOOKUP(E118,Puertos!$N$3:$O$27,2,FALSE)</f>
        <v>La Rochelle</v>
      </c>
    </row>
    <row r="119" spans="2:28" s="76" customFormat="1" x14ac:dyDescent="0.25">
      <c r="B119" s="76" t="str">
        <f>VLOOKUP(G119,[1]NUTS_Europa!$A$2:$C$81,2,FALSE)</f>
        <v>FRG0</v>
      </c>
      <c r="C119" s="76">
        <f>VLOOKUP(G119,[1]NUTS_Europa!$A$2:$C$81,3,FALSE)</f>
        <v>283</v>
      </c>
      <c r="D119" s="76" t="str">
        <f>VLOOKUP(F119,[1]NUTS_Europa!$A$2:$C$81,2,FALSE)</f>
        <v>FRD1</v>
      </c>
      <c r="E119" s="76">
        <f>VLOOKUP(F119,[1]NUTS_Europa!$A$2:$C$81,3,FALSE)</f>
        <v>269</v>
      </c>
      <c r="F119" s="76">
        <v>59</v>
      </c>
      <c r="G119" s="76">
        <v>62</v>
      </c>
      <c r="H119" s="76">
        <v>1126948.529361034</v>
      </c>
      <c r="I119" s="78">
        <v>1249346.895491591</v>
      </c>
      <c r="J119" s="78">
        <f t="shared" si="12"/>
        <v>89239.063963685068</v>
      </c>
      <c r="K119" s="79">
        <v>159445.52860932166</v>
      </c>
      <c r="L119" s="80">
        <v>33.071428571428569</v>
      </c>
      <c r="M119" s="80">
        <v>12.726065223570533</v>
      </c>
      <c r="N119" s="80">
        <v>13.023217637488681</v>
      </c>
      <c r="O119" s="79">
        <v>2266.66818622449</v>
      </c>
      <c r="P119" s="80">
        <f t="shared" si="13"/>
        <v>8.8940856122448988</v>
      </c>
      <c r="Q119" s="80">
        <f t="shared" si="14"/>
        <v>54.691579407243999</v>
      </c>
      <c r="R119" s="76">
        <v>1548</v>
      </c>
      <c r="S119" s="78">
        <f t="shared" si="15"/>
        <v>769639.03850287886</v>
      </c>
      <c r="T119" s="78">
        <f>J119*3</f>
        <v>267717.1918910552</v>
      </c>
      <c r="U119" s="78">
        <f t="shared" si="8"/>
        <v>1037356.2303939341</v>
      </c>
      <c r="V119" s="76" t="str">
        <f>VLOOKUP(B119,NUTS_Europa!$B$2:$F$41,5,FALSE)</f>
        <v>Pays de la Loire</v>
      </c>
      <c r="W119" s="76" t="str">
        <f>VLOOKUP(C119,Puertos!$N$3:$O$27,2,FALSE)</f>
        <v>La Rochelle</v>
      </c>
      <c r="X119" s="76" t="str">
        <f>VLOOKUP(D119,NUTS_Europa!$B$2:$F$41,5,FALSE)</f>
        <v xml:space="preserve">Basse-Normandie </v>
      </c>
      <c r="Y119" s="76" t="str">
        <f>VLOOKUP(E119,Puertos!$N$3:$O$27,2,FALSE)</f>
        <v>Le Havre</v>
      </c>
    </row>
    <row r="120" spans="2:28" s="76" customFormat="1" x14ac:dyDescent="0.25">
      <c r="B120" s="76" t="str">
        <f>VLOOKUP(F120,[1]NUTS_Europa!$A$2:$C$81,2,FALSE)</f>
        <v>FRD1</v>
      </c>
      <c r="C120" s="76">
        <f>VLOOKUP(F120,[1]NUTS_Europa!$A$2:$C$81,3,FALSE)</f>
        <v>269</v>
      </c>
      <c r="D120" s="76" t="str">
        <f>VLOOKUP(G120,[1]NUTS_Europa!$A$2:$C$81,2,FALSE)</f>
        <v>FRJ2</v>
      </c>
      <c r="E120" s="76">
        <f>VLOOKUP(G120,[1]NUTS_Europa!$A$2:$C$81,3,FALSE)</f>
        <v>163</v>
      </c>
      <c r="F120" s="76">
        <v>59</v>
      </c>
      <c r="G120" s="76">
        <v>68</v>
      </c>
      <c r="H120" s="78">
        <v>2809942.48947111</v>
      </c>
      <c r="I120" s="78">
        <v>1386991.2887933955</v>
      </c>
      <c r="J120" s="78">
        <f t="shared" si="12"/>
        <v>99070.806342385389</v>
      </c>
      <c r="K120" s="79">
        <v>145277.79316174539</v>
      </c>
      <c r="L120" s="80">
        <v>43.427857142857142</v>
      </c>
      <c r="M120" s="80">
        <v>14.825574489452105</v>
      </c>
      <c r="N120" s="80">
        <v>19.79482197960683</v>
      </c>
      <c r="O120" s="79">
        <v>3085.040429338103</v>
      </c>
      <c r="P120" s="80"/>
      <c r="Q120" s="80"/>
      <c r="S120" s="78"/>
      <c r="T120" s="78"/>
      <c r="U120" s="78">
        <f t="shared" si="8"/>
        <v>0</v>
      </c>
      <c r="Z120" s="80">
        <f>SUM(Q114:Q117)</f>
        <v>146.46035635680403</v>
      </c>
      <c r="AA120" s="76">
        <f>Z120/24</f>
        <v>6.1025148482001681</v>
      </c>
    </row>
    <row r="121" spans="2:28" s="76" customFormat="1" x14ac:dyDescent="0.25">
      <c r="B121" s="76" t="str">
        <f>VLOOKUP(G121,[1]NUTS_Europa!$A$2:$C$81,2,FALSE)</f>
        <v>FRJ2</v>
      </c>
      <c r="C121" s="76">
        <f>VLOOKUP(G121,[1]NUTS_Europa!$A$2:$C$81,3,FALSE)</f>
        <v>163</v>
      </c>
      <c r="D121" s="76" t="str">
        <f>VLOOKUP(F121,[1]NUTS_Europa!$A$2:$C$81,2,FALSE)</f>
        <v>BE23</v>
      </c>
      <c r="E121" s="76">
        <f>VLOOKUP(F121,[1]NUTS_Europa!$A$2:$C$81,3,FALSE)</f>
        <v>220</v>
      </c>
      <c r="F121" s="76">
        <v>42</v>
      </c>
      <c r="G121" s="76">
        <v>68</v>
      </c>
      <c r="H121" s="78">
        <v>2578166.7187752635</v>
      </c>
      <c r="I121" s="78">
        <v>1368112.5654701327</v>
      </c>
      <c r="J121" s="78">
        <f t="shared" si="12"/>
        <v>97722.326105009488</v>
      </c>
      <c r="K121" s="79">
        <v>156784.57749147405</v>
      </c>
      <c r="L121" s="80">
        <v>52.142857142857146</v>
      </c>
      <c r="M121" s="80">
        <v>15.5119104782131</v>
      </c>
      <c r="N121" s="80">
        <v>18.047467953805491</v>
      </c>
      <c r="O121" s="79">
        <v>3085.040429338103</v>
      </c>
      <c r="P121" s="80"/>
      <c r="Q121" s="80"/>
      <c r="S121" s="78"/>
      <c r="T121" s="78"/>
      <c r="U121" s="78">
        <f t="shared" si="8"/>
        <v>0</v>
      </c>
    </row>
    <row r="122" spans="2:28" s="76" customFormat="1" x14ac:dyDescent="0.25">
      <c r="B122" s="76" t="str">
        <f>VLOOKUP(F122,[1]NUTS_Europa!$A$2:$C$81,2,FALSE)</f>
        <v>BE23</v>
      </c>
      <c r="C122" s="76">
        <f>VLOOKUP(F122,[1]NUTS_Europa!$A$2:$C$81,3,FALSE)</f>
        <v>220</v>
      </c>
      <c r="D122" s="76" t="str">
        <f>VLOOKUP(G122,[1]NUTS_Europa!$A$2:$C$81,2,FALSE)</f>
        <v>ES12</v>
      </c>
      <c r="E122" s="76">
        <f>VLOOKUP(G122,[1]NUTS_Europa!$A$2:$C$81,3,FALSE)</f>
        <v>163</v>
      </c>
      <c r="F122" s="76">
        <v>42</v>
      </c>
      <c r="G122" s="76">
        <v>52</v>
      </c>
      <c r="H122" s="78">
        <v>1553350.2235938688</v>
      </c>
      <c r="I122" s="78">
        <v>1368112.5654701327</v>
      </c>
      <c r="J122" s="78">
        <f t="shared" si="12"/>
        <v>97722.326105009488</v>
      </c>
      <c r="K122" s="79">
        <v>137713.62258431225</v>
      </c>
      <c r="L122" s="80">
        <v>52.142857142857146</v>
      </c>
      <c r="M122" s="80">
        <v>15.5119104782131</v>
      </c>
      <c r="N122" s="80">
        <v>18.047467953805491</v>
      </c>
      <c r="O122" s="79">
        <v>3085.040429338103</v>
      </c>
      <c r="P122" s="80">
        <f t="shared" ref="P122:P130" si="16">N122*(R122/O122)</f>
        <v>9.055790688125569</v>
      </c>
      <c r="Q122" s="80">
        <f t="shared" ref="Q122:Q130" si="17">P122+M122+L122</f>
        <v>76.710558309195818</v>
      </c>
      <c r="R122" s="76">
        <v>1548</v>
      </c>
      <c r="S122" s="78">
        <f t="shared" ref="S122:S130" si="18">H122*(R122/O122)</f>
        <v>779434.24120351439</v>
      </c>
      <c r="T122" s="78">
        <f>J122*2</f>
        <v>195444.65221001898</v>
      </c>
      <c r="U122" s="78">
        <f t="shared" si="8"/>
        <v>974878.89341353334</v>
      </c>
      <c r="V122" s="76" t="str">
        <f>VLOOKUP(B122,NUTS_Europa!$B$2:$F$41,5,FALSE)</f>
        <v>Prov. Oost-Vlaanderen</v>
      </c>
      <c r="W122" s="76" t="str">
        <f>VLOOKUP(C122,Puertos!$N$3:$O$27,2,FALSE)</f>
        <v>Zeebrugge</v>
      </c>
      <c r="X122" s="76" t="str">
        <f>VLOOKUP(D122,NUTS_Europa!$B$2:$F$41,5,FALSE)</f>
        <v>Principado de Asturias</v>
      </c>
      <c r="Y122" s="76" t="str">
        <f>VLOOKUP(E122,Puertos!$N$3:$O$27,2,FALSE)</f>
        <v>Bilbao</v>
      </c>
      <c r="Z122" s="76">
        <f>Q122/24</f>
        <v>3.1962732628831589</v>
      </c>
      <c r="AA122" s="76">
        <f>(168/2)-Q122</f>
        <v>7.2894416908041819</v>
      </c>
    </row>
    <row r="123" spans="2:28" s="76" customFormat="1" x14ac:dyDescent="0.25">
      <c r="B123" s="76" t="str">
        <f>VLOOKUP(G123,[1]NUTS_Europa!$A$2:$C$81,2,FALSE)</f>
        <v>ES12</v>
      </c>
      <c r="C123" s="76">
        <f>VLOOKUP(G123,[1]NUTS_Europa!$A$2:$C$81,3,FALSE)</f>
        <v>163</v>
      </c>
      <c r="D123" s="76" t="str">
        <f>VLOOKUP(F123,[1]NUTS_Europa!$A$2:$C$81,2,FALSE)</f>
        <v>DE50</v>
      </c>
      <c r="E123" s="76">
        <f>VLOOKUP(F123,[1]NUTS_Europa!$A$2:$C$81,3,FALSE)</f>
        <v>1069</v>
      </c>
      <c r="F123" s="76">
        <v>44</v>
      </c>
      <c r="G123" s="76">
        <v>52</v>
      </c>
      <c r="H123" s="78">
        <v>1700119.6342874623</v>
      </c>
      <c r="I123" s="78">
        <v>1579256.9439380919</v>
      </c>
      <c r="J123" s="78">
        <f t="shared" si="12"/>
        <v>112804.06742414941</v>
      </c>
      <c r="K123" s="79">
        <v>120125.80522925351</v>
      </c>
      <c r="L123" s="80">
        <v>74.86071428571428</v>
      </c>
      <c r="M123" s="80">
        <v>13.400980994074967</v>
      </c>
      <c r="N123" s="80">
        <v>17.154708446701989</v>
      </c>
      <c r="O123" s="79">
        <v>3085.040429338103</v>
      </c>
      <c r="P123" s="80">
        <f t="shared" si="16"/>
        <v>8.6078251756305733</v>
      </c>
      <c r="Q123" s="80">
        <f t="shared" si="17"/>
        <v>96.869520455419817</v>
      </c>
      <c r="R123" s="76">
        <v>1548</v>
      </c>
      <c r="S123" s="78">
        <f t="shared" si="18"/>
        <v>853079.64487247984</v>
      </c>
      <c r="T123" s="78">
        <f>J123*2</f>
        <v>225608.13484829883</v>
      </c>
      <c r="U123" s="78">
        <f t="shared" si="8"/>
        <v>1078687.7797207786</v>
      </c>
      <c r="V123" s="76" t="str">
        <f>VLOOKUP(B123,NUTS_Europa!$B$2:$F$41,5,FALSE)</f>
        <v>Principado de Asturias</v>
      </c>
      <c r="W123" s="76" t="str">
        <f>VLOOKUP(C123,Puertos!$N$3:$O$27,2,FALSE)</f>
        <v>Bilbao</v>
      </c>
      <c r="X123" s="76" t="str">
        <f>VLOOKUP(D123,NUTS_Europa!$B$2:$F$41,5,FALSE)</f>
        <v>Bremen</v>
      </c>
      <c r="Y123" s="76" t="str">
        <f>VLOOKUP(E123,Puertos!$N$3:$O$27,2,FALSE)</f>
        <v>Hamburgo</v>
      </c>
      <c r="Z123" s="76">
        <f>Q123/24</f>
        <v>4.036230018975826</v>
      </c>
      <c r="AA123" s="76">
        <f>(168/2)-Q123</f>
        <v>-12.869520455419817</v>
      </c>
    </row>
    <row r="124" spans="2:28" s="76" customFormat="1" x14ac:dyDescent="0.25">
      <c r="B124" s="76" t="str">
        <f>VLOOKUP(F124,[1]NUTS_Europa!$A$2:$C$81,2,FALSE)</f>
        <v>DE50</v>
      </c>
      <c r="C124" s="76">
        <f>VLOOKUP(F124,[1]NUTS_Europa!$A$2:$C$81,3,FALSE)</f>
        <v>1069</v>
      </c>
      <c r="D124" s="76" t="str">
        <f>VLOOKUP(G124,[1]NUTS_Europa!$A$2:$C$81,2,FALSE)</f>
        <v>NL11</v>
      </c>
      <c r="E124" s="76">
        <f>VLOOKUP(G124,[1]NUTS_Europa!$A$2:$C$81,3,FALSE)</f>
        <v>218</v>
      </c>
      <c r="F124" s="76">
        <v>44</v>
      </c>
      <c r="G124" s="76">
        <v>70</v>
      </c>
      <c r="H124" s="78">
        <v>2071376.4202962818</v>
      </c>
      <c r="I124" s="78">
        <v>1153104.243550295</v>
      </c>
      <c r="J124" s="78">
        <f t="shared" si="12"/>
        <v>82364.58882502107</v>
      </c>
      <c r="K124" s="79">
        <v>120437.35243536306</v>
      </c>
      <c r="L124" s="80">
        <v>19.283571428571431</v>
      </c>
      <c r="M124" s="80">
        <v>8.9608865007274687</v>
      </c>
      <c r="N124" s="80">
        <v>22.559367211981254</v>
      </c>
      <c r="O124" s="79">
        <v>5123.2789092745306</v>
      </c>
      <c r="P124" s="80">
        <f t="shared" si="16"/>
        <v>6.8163184286002521</v>
      </c>
      <c r="Q124" s="80">
        <f t="shared" si="17"/>
        <v>35.060776357899151</v>
      </c>
      <c r="R124" s="76">
        <v>1548</v>
      </c>
      <c r="S124" s="78">
        <f t="shared" si="18"/>
        <v>625866.90191978856</v>
      </c>
      <c r="T124" s="78">
        <f>J124*2</f>
        <v>164729.17765004214</v>
      </c>
      <c r="U124" s="78">
        <f t="shared" si="8"/>
        <v>790596.07956983068</v>
      </c>
      <c r="V124" s="76" t="str">
        <f>VLOOKUP(B124,NUTS_Europa!$B$2:$F$41,5,FALSE)</f>
        <v>Bremen</v>
      </c>
      <c r="W124" s="76" t="str">
        <f>VLOOKUP(C124,Puertos!$N$3:$O$27,2,FALSE)</f>
        <v>Hamburgo</v>
      </c>
      <c r="X124" s="76" t="str">
        <f>VLOOKUP(D124,NUTS_Europa!$B$2:$F$41,5,FALSE)</f>
        <v>Groningen</v>
      </c>
      <c r="Y124" s="76" t="str">
        <f>VLOOKUP(E124,Puertos!$N$3:$O$27,2,FALSE)</f>
        <v>Amsterdam</v>
      </c>
      <c r="Z124" s="76">
        <f>Q124/24</f>
        <v>1.4608656815791312</v>
      </c>
      <c r="AA124" s="76">
        <f>(168/2)-Q124</f>
        <v>48.939223642100849</v>
      </c>
    </row>
    <row r="125" spans="2:28" s="76" customFormat="1" x14ac:dyDescent="0.25">
      <c r="B125" s="76" t="str">
        <f>VLOOKUP(G125,[1]NUTS_Europa!$A$2:$C$81,2,FALSE)</f>
        <v>NL11</v>
      </c>
      <c r="C125" s="76">
        <f>VLOOKUP(G125,[1]NUTS_Europa!$A$2:$C$81,3,FALSE)</f>
        <v>218</v>
      </c>
      <c r="D125" s="76" t="str">
        <f>VLOOKUP(F125,[1]NUTS_Europa!$A$2:$C$81,2,FALSE)</f>
        <v>BE25</v>
      </c>
      <c r="E125" s="76">
        <f>VLOOKUP(F125,[1]NUTS_Europa!$A$2:$C$81,3,FALSE)</f>
        <v>220</v>
      </c>
      <c r="F125" s="76">
        <v>43</v>
      </c>
      <c r="G125" s="76">
        <v>70</v>
      </c>
      <c r="H125" s="78">
        <v>1631363.7208123147</v>
      </c>
      <c r="I125" s="78">
        <v>1046388.0865191268</v>
      </c>
      <c r="J125" s="78">
        <f t="shared" si="12"/>
        <v>74742.006179937627</v>
      </c>
      <c r="K125" s="79">
        <v>156784.57749147405</v>
      </c>
      <c r="L125" s="80">
        <v>8.9285714285714288</v>
      </c>
      <c r="M125" s="80">
        <v>11.071815984865601</v>
      </c>
      <c r="N125" s="80">
        <v>24.041959112658233</v>
      </c>
      <c r="O125" s="79">
        <v>5123.2789092745306</v>
      </c>
      <c r="P125" s="80">
        <f t="shared" si="16"/>
        <v>7.2642839410952469</v>
      </c>
      <c r="Q125" s="80">
        <f t="shared" si="17"/>
        <v>27.264671354532275</v>
      </c>
      <c r="R125" s="80">
        <v>1548</v>
      </c>
      <c r="S125" s="78">
        <f t="shared" si="18"/>
        <v>492916.95504726272</v>
      </c>
      <c r="T125" s="78">
        <f>J125*2</f>
        <v>149484.01235987525</v>
      </c>
      <c r="U125" s="78">
        <f t="shared" si="8"/>
        <v>642400.96740713797</v>
      </c>
      <c r="V125" s="76" t="str">
        <f>VLOOKUP(B125,NUTS_Europa!$B$2:$F$41,5,FALSE)</f>
        <v>Groningen</v>
      </c>
      <c r="W125" s="76" t="str">
        <f>VLOOKUP(C125,Puertos!$N$3:$O$27,2,FALSE)</f>
        <v>Amsterdam</v>
      </c>
      <c r="X125" s="76" t="str">
        <f>VLOOKUP(D125,NUTS_Europa!$B$2:$F$41,5,FALSE)</f>
        <v>Prov. West-Vlaanderen</v>
      </c>
      <c r="Y125" s="76" t="str">
        <f>VLOOKUP(E125,Puertos!$N$3:$O$27,2,FALSE)</f>
        <v>Zeebrugge</v>
      </c>
      <c r="Z125" s="76">
        <f>Q125/24</f>
        <v>1.1360279731055114</v>
      </c>
      <c r="AA125" s="76">
        <f>(168/2)-Q125</f>
        <v>56.735328645467725</v>
      </c>
    </row>
    <row r="126" spans="2:28" s="76" customFormat="1" x14ac:dyDescent="0.25">
      <c r="B126" s="76" t="str">
        <f>VLOOKUP(F126,[1]NUTS_Europa!$A$2:$C$81,2,FALSE)</f>
        <v>BE25</v>
      </c>
      <c r="C126" s="76">
        <f>VLOOKUP(F126,[1]NUTS_Europa!$A$2:$C$81,3,FALSE)</f>
        <v>220</v>
      </c>
      <c r="D126" s="76" t="str">
        <f>VLOOKUP(G126,[1]NUTS_Europa!$A$2:$C$81,2,FALSE)</f>
        <v>PT18</v>
      </c>
      <c r="E126" s="76">
        <f>VLOOKUP(G126,[1]NUTS_Europa!$A$2:$C$81,3,FALSE)</f>
        <v>61</v>
      </c>
      <c r="F126" s="76">
        <v>43</v>
      </c>
      <c r="G126" s="76">
        <v>80</v>
      </c>
      <c r="H126" s="78">
        <v>12471856.746368283</v>
      </c>
      <c r="I126" s="78">
        <v>1680236.4098581951</v>
      </c>
      <c r="J126" s="78">
        <f t="shared" si="12"/>
        <v>120016.8864184425</v>
      </c>
      <c r="K126" s="79">
        <v>117768.50934211678</v>
      </c>
      <c r="L126" s="80">
        <v>96.690714285714293</v>
      </c>
      <c r="M126" s="80">
        <v>11.285393577240335</v>
      </c>
      <c r="N126" s="80">
        <v>86.545717057835546</v>
      </c>
      <c r="O126" s="79">
        <v>18537.263556443555</v>
      </c>
      <c r="P126" s="80">
        <f t="shared" si="16"/>
        <v>7.22721396270813</v>
      </c>
      <c r="Q126" s="80">
        <f t="shared" si="17"/>
        <v>115.20332182566275</v>
      </c>
      <c r="R126" s="76">
        <v>1548</v>
      </c>
      <c r="S126" s="78">
        <f t="shared" si="18"/>
        <v>1041493.2163311227</v>
      </c>
      <c r="U126" s="78">
        <f t="shared" si="8"/>
        <v>1041493.2163311227</v>
      </c>
      <c r="Z126" s="80">
        <f>SUM(Q122:Q124)</f>
        <v>208.64085512251478</v>
      </c>
      <c r="AA126" s="76">
        <f>Z126/24</f>
        <v>8.6933689634381164</v>
      </c>
      <c r="AB126" s="76">
        <f>AA126/7</f>
        <v>1.2419098519197309</v>
      </c>
    </row>
    <row r="127" spans="2:28" s="76" customFormat="1" x14ac:dyDescent="0.25">
      <c r="B127" s="76" t="str">
        <f>VLOOKUP(G127,[1]NUTS_Europa!$A$2:$C$81,2,FALSE)</f>
        <v>PT18</v>
      </c>
      <c r="C127" s="76">
        <f>VLOOKUP(G127,[1]NUTS_Europa!$A$2:$C$81,3,FALSE)</f>
        <v>61</v>
      </c>
      <c r="D127" s="76" t="str">
        <f>VLOOKUP(F127,[1]NUTS_Europa!$A$2:$C$81,2,FALSE)</f>
        <v>DE60</v>
      </c>
      <c r="E127" s="76">
        <f>VLOOKUP(F127,[1]NUTS_Europa!$A$2:$C$81,3,FALSE)</f>
        <v>1069</v>
      </c>
      <c r="F127" s="76">
        <v>5</v>
      </c>
      <c r="G127" s="76">
        <v>80</v>
      </c>
      <c r="H127" s="78">
        <v>11581775.422901699</v>
      </c>
      <c r="I127" s="78">
        <v>1893908.8063911465</v>
      </c>
      <c r="J127" s="78">
        <f t="shared" si="12"/>
        <v>135279.20045651047</v>
      </c>
      <c r="K127" s="79">
        <v>118487.95435333898</v>
      </c>
      <c r="L127" s="80">
        <v>119.48428571428572</v>
      </c>
      <c r="M127" s="80">
        <v>9.1744640931022019</v>
      </c>
      <c r="N127" s="80">
        <v>81.181340591868462</v>
      </c>
      <c r="O127" s="79">
        <v>18537.263556443555</v>
      </c>
      <c r="P127" s="80">
        <f t="shared" si="16"/>
        <v>6.7792484502131343</v>
      </c>
      <c r="Q127" s="80">
        <f t="shared" si="17"/>
        <v>135.43799825760107</v>
      </c>
      <c r="R127" s="76">
        <v>1548</v>
      </c>
      <c r="S127" s="78">
        <f t="shared" si="18"/>
        <v>967164.77596931253</v>
      </c>
      <c r="U127" s="78">
        <f t="shared" si="8"/>
        <v>967164.77596931253</v>
      </c>
    </row>
    <row r="128" spans="2:28" s="76" customFormat="1" x14ac:dyDescent="0.25">
      <c r="B128" s="76" t="str">
        <f>VLOOKUP(F128,[1]NUTS_Europa!$A$2:$C$81,2,FALSE)</f>
        <v>DE60</v>
      </c>
      <c r="C128" s="76">
        <f>VLOOKUP(F128,[1]NUTS_Europa!$A$2:$C$81,3,FALSE)</f>
        <v>1069</v>
      </c>
      <c r="D128" s="76" t="str">
        <f>VLOOKUP(G128,[1]NUTS_Europa!$A$2:$C$81,2,FALSE)</f>
        <v>FRD2</v>
      </c>
      <c r="E128" s="76">
        <f>VLOOKUP(G128,[1]NUTS_Europa!$A$2:$C$81,3,FALSE)</f>
        <v>269</v>
      </c>
      <c r="F128" s="76">
        <v>5</v>
      </c>
      <c r="G128" s="76">
        <v>20</v>
      </c>
      <c r="H128" s="78">
        <v>2185284.7530158344</v>
      </c>
      <c r="I128" s="78">
        <v>1327154.5617321809</v>
      </c>
      <c r="J128" s="78">
        <f t="shared" si="12"/>
        <v>94796.754409441492</v>
      </c>
      <c r="K128" s="79">
        <v>145277.79316174539</v>
      </c>
      <c r="L128" s="80">
        <v>37.217857142857142</v>
      </c>
      <c r="M128" s="80">
        <v>13.230656340782472</v>
      </c>
      <c r="N128" s="80">
        <v>88.561924831901521</v>
      </c>
      <c r="O128" s="79">
        <v>15926.654740608226</v>
      </c>
      <c r="P128" s="80">
        <f t="shared" si="16"/>
        <v>8.6078251756305768</v>
      </c>
      <c r="Q128" s="80">
        <f t="shared" si="17"/>
        <v>59.056338659270189</v>
      </c>
      <c r="R128" s="76">
        <v>1548</v>
      </c>
      <c r="S128" s="78">
        <f t="shared" si="18"/>
        <v>212399.95798008516</v>
      </c>
      <c r="U128" s="78">
        <f t="shared" si="8"/>
        <v>212399.95798008516</v>
      </c>
    </row>
    <row r="129" spans="2:27" s="76" customFormat="1" x14ac:dyDescent="0.25">
      <c r="B129" s="76" t="str">
        <f>VLOOKUP(F129,[1]NUTS_Europa!$A$2:$C$81,2,FALSE)</f>
        <v>FRD2</v>
      </c>
      <c r="C129" s="76">
        <f>VLOOKUP(F129,[1]NUTS_Europa!$A$2:$C$81,3,FALSE)</f>
        <v>269</v>
      </c>
      <c r="D129" s="76" t="str">
        <f>VLOOKUP(G129,[1]NUTS_Europa!$A$2:$C$81,2,FALSE)</f>
        <v>FRI3</v>
      </c>
      <c r="E129" s="76">
        <f>VLOOKUP(G129,[1]NUTS_Europa!$A$2:$C$81,3,FALSE)</f>
        <v>283</v>
      </c>
      <c r="F129" s="76">
        <v>20</v>
      </c>
      <c r="G129" s="76">
        <v>25</v>
      </c>
      <c r="H129" s="78">
        <v>541542.71024257515</v>
      </c>
      <c r="I129" s="78">
        <v>1249346.895491591</v>
      </c>
      <c r="J129" s="78">
        <f t="shared" si="12"/>
        <v>89239.063963685068</v>
      </c>
      <c r="K129" s="79">
        <v>141512.315270936</v>
      </c>
      <c r="L129" s="80">
        <v>33.071428571428569</v>
      </c>
      <c r="M129" s="80">
        <v>12.726065223570533</v>
      </c>
      <c r="N129" s="80">
        <v>13.023217637488681</v>
      </c>
      <c r="O129" s="79">
        <v>2266.66818622449</v>
      </c>
      <c r="P129" s="80">
        <f t="shared" si="16"/>
        <v>8.8940856122448988</v>
      </c>
      <c r="Q129" s="80">
        <f t="shared" si="17"/>
        <v>54.691579407243999</v>
      </c>
      <c r="R129" s="76">
        <v>1548</v>
      </c>
      <c r="S129" s="78">
        <f t="shared" si="18"/>
        <v>369841.56770287885</v>
      </c>
      <c r="U129" s="78">
        <f t="shared" si="8"/>
        <v>369841.56770287885</v>
      </c>
    </row>
    <row r="130" spans="2:27" s="76" customFormat="1" x14ac:dyDescent="0.25">
      <c r="B130" s="76" t="str">
        <f>VLOOKUP(G130,[1]NUTS_Europa!$A$2:$C$81,2,FALSE)</f>
        <v>FRI3</v>
      </c>
      <c r="C130" s="76">
        <f>VLOOKUP(G130,[1]NUTS_Europa!$A$2:$C$81,3,FALSE)</f>
        <v>283</v>
      </c>
      <c r="D130" s="76" t="str">
        <f>VLOOKUP(F130,[1]NUTS_Europa!$A$2:$C$81,2,FALSE)</f>
        <v>FRE1</v>
      </c>
      <c r="E130" s="76">
        <f>VLOOKUP(F130,[1]NUTS_Europa!$A$2:$C$81,3,FALSE)</f>
        <v>220</v>
      </c>
      <c r="F130" s="76">
        <v>21</v>
      </c>
      <c r="G130" s="76">
        <v>25</v>
      </c>
      <c r="H130" s="78">
        <v>675327.09348882234</v>
      </c>
      <c r="I130" s="78">
        <v>1239693.1121128183</v>
      </c>
      <c r="J130" s="78">
        <f t="shared" si="12"/>
        <v>88549.508008058445</v>
      </c>
      <c r="K130" s="79">
        <v>117061.71481038857</v>
      </c>
      <c r="L130" s="80">
        <v>42.999285714285712</v>
      </c>
      <c r="M130" s="80">
        <v>13.412401212331527</v>
      </c>
      <c r="N130" s="80">
        <v>11.739386235251612</v>
      </c>
      <c r="O130" s="79">
        <v>2266.66818622449</v>
      </c>
      <c r="P130" s="80">
        <f t="shared" si="16"/>
        <v>8.0173048717990394</v>
      </c>
      <c r="Q130" s="80">
        <f t="shared" si="17"/>
        <v>64.428991798416277</v>
      </c>
      <c r="R130" s="76">
        <v>1548</v>
      </c>
      <c r="S130" s="78">
        <f t="shared" si="18"/>
        <v>461208.37053878355</v>
      </c>
      <c r="U130" s="78">
        <f t="shared" si="8"/>
        <v>461208.37053878355</v>
      </c>
    </row>
    <row r="131" spans="2:27" s="76" customFormat="1" x14ac:dyDescent="0.25">
      <c r="B131" s="76" t="str">
        <f>VLOOKUP(F131,[1]NUTS_Europa!$A$2:$C$81,2,FALSE)</f>
        <v>FRE1</v>
      </c>
      <c r="C131" s="76">
        <f>VLOOKUP(F131,[1]NUTS_Europa!$A$2:$C$81,3,FALSE)</f>
        <v>220</v>
      </c>
      <c r="D131" s="76" t="str">
        <f>VLOOKUP(G131,[1]NUTS_Europa!$A$2:$C$81,2,FALSE)</f>
        <v>FRI1</v>
      </c>
      <c r="E131" s="76">
        <f>VLOOKUP(G131,[1]NUTS_Europa!$A$2:$C$81,3,FALSE)</f>
        <v>283</v>
      </c>
      <c r="F131" s="76">
        <v>21</v>
      </c>
      <c r="G131" s="76">
        <v>24</v>
      </c>
      <c r="H131" s="76">
        <v>1033951.4005746094</v>
      </c>
      <c r="I131" s="76">
        <v>1239693.1121128183</v>
      </c>
      <c r="K131" s="76">
        <v>123840.01515725654</v>
      </c>
      <c r="L131" s="76">
        <v>42.999285714285712</v>
      </c>
      <c r="M131" s="76">
        <v>13.412401212331527</v>
      </c>
      <c r="N131" s="76">
        <v>11.739386235251612</v>
      </c>
      <c r="O131" s="76">
        <v>2266.66818622449</v>
      </c>
      <c r="Q131" s="80">
        <f>SUM(Q122:Q125)</f>
        <v>235.90552647704706</v>
      </c>
    </row>
    <row r="132" spans="2:27" s="76" customFormat="1" x14ac:dyDescent="0.25">
      <c r="B132" s="76" t="str">
        <f>VLOOKUP(G132,[1]NUTS_Europa!$A$2:$C$81,2,FALSE)</f>
        <v>FRI1</v>
      </c>
      <c r="C132" s="76">
        <f>VLOOKUP(G132,[1]NUTS_Europa!$A$2:$C$81,3,FALSE)</f>
        <v>283</v>
      </c>
      <c r="D132" s="76" t="str">
        <f>VLOOKUP(F132,[1]NUTS_Europa!$A$2:$C$81,2,FALSE)</f>
        <v>DEA1</v>
      </c>
      <c r="E132" s="76">
        <f>VLOOKUP(F132,[1]NUTS_Europa!$A$2:$C$81,3,FALSE)</f>
        <v>253</v>
      </c>
      <c r="F132" s="76">
        <v>9</v>
      </c>
      <c r="G132" s="76">
        <v>24</v>
      </c>
      <c r="H132" s="76">
        <v>1421160.0709220909</v>
      </c>
      <c r="I132" s="76">
        <v>1316915.3810281891</v>
      </c>
      <c r="K132" s="76">
        <v>118487.95435333898</v>
      </c>
      <c r="L132" s="76">
        <v>49.328571428571429</v>
      </c>
      <c r="M132" s="76">
        <v>10.381226886964095</v>
      </c>
      <c r="N132" s="76">
        <v>13.023217637488681</v>
      </c>
      <c r="O132" s="76">
        <v>2266.66818622449</v>
      </c>
      <c r="Q132" s="76">
        <f>Q131/24</f>
        <v>9.8293969365436276</v>
      </c>
    </row>
    <row r="133" spans="2:27" s="76" customFormat="1" x14ac:dyDescent="0.25">
      <c r="B133" s="76" t="str">
        <f>VLOOKUP(F133,[1]NUTS_Europa!$A$2:$C$81,2,FALSE)</f>
        <v>DEA1</v>
      </c>
      <c r="C133" s="76">
        <f>VLOOKUP(F133,[1]NUTS_Europa!$A$2:$C$81,3,FALSE)</f>
        <v>253</v>
      </c>
      <c r="D133" s="76" t="str">
        <f>VLOOKUP(G133,[1]NUTS_Europa!$A$2:$C$81,2,FALSE)</f>
        <v>ES11</v>
      </c>
      <c r="E133" s="76">
        <f>VLOOKUP(G133,[1]NUTS_Europa!$A$2:$C$81,3,FALSE)</f>
        <v>288</v>
      </c>
      <c r="F133" s="76">
        <v>9</v>
      </c>
      <c r="G133" s="76">
        <v>11</v>
      </c>
      <c r="H133" s="76">
        <v>538562.41891311097</v>
      </c>
      <c r="I133" s="76">
        <v>1493934.9976021862</v>
      </c>
      <c r="K133" s="76">
        <v>142392.8717171422</v>
      </c>
      <c r="L133" s="76">
        <v>63.36785714285714</v>
      </c>
      <c r="M133" s="76">
        <v>8.9047403867139714</v>
      </c>
      <c r="N133" s="76">
        <v>5.3408668195839333</v>
      </c>
      <c r="O133" s="76">
        <v>960.4820809003329</v>
      </c>
      <c r="Q133" s="76">
        <f>Q132/7</f>
        <v>1.4041995623633754</v>
      </c>
    </row>
    <row r="134" spans="2:27" s="76" customFormat="1" x14ac:dyDescent="0.25">
      <c r="B134" s="76" t="str">
        <f>VLOOKUP(G134,[1]NUTS_Europa!$A$2:$C$81,2,FALSE)</f>
        <v>ES11</v>
      </c>
      <c r="C134" s="76">
        <f>VLOOKUP(G134,[1]NUTS_Europa!$A$2:$C$81,3,FALSE)</f>
        <v>288</v>
      </c>
      <c r="D134" s="76" t="str">
        <f>VLOOKUP(F134,[1]NUTS_Europa!$A$2:$C$81,2,FALSE)</f>
        <v>DE80</v>
      </c>
      <c r="E134" s="76">
        <f>VLOOKUP(F134,[1]NUTS_Europa!$A$2:$C$81,3,FALSE)</f>
        <v>1069</v>
      </c>
      <c r="F134" s="76">
        <v>6</v>
      </c>
      <c r="G134" s="76">
        <v>11</v>
      </c>
      <c r="H134" s="76">
        <v>517213.26083615399</v>
      </c>
      <c r="I134" s="76">
        <v>1657830.9714807135</v>
      </c>
      <c r="K134" s="76">
        <v>142841.86171918266</v>
      </c>
      <c r="L134" s="76">
        <v>82.767857142857139</v>
      </c>
      <c r="M134" s="76">
        <v>9.8249852279432695</v>
      </c>
      <c r="N134" s="76">
        <v>4.5189062009214327</v>
      </c>
      <c r="O134" s="76">
        <v>960.4820809003329</v>
      </c>
    </row>
    <row r="135" spans="2:27" s="76" customFormat="1" x14ac:dyDescent="0.25">
      <c r="AA135" s="76">
        <f>AVERAGE(AA122:AA125)</f>
        <v>25.023618380738235</v>
      </c>
    </row>
    <row r="136" spans="2:27" s="76" customFormat="1" x14ac:dyDescent="0.25"/>
    <row r="137" spans="2:27" s="76" customFormat="1" x14ac:dyDescent="0.25"/>
    <row r="138" spans="2:27" s="76" customFormat="1" x14ac:dyDescent="0.25"/>
  </sheetData>
  <autoFilter ref="B3:I83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A8DF-FEA0-47FB-83F9-D2BA7E9C2CD6}">
  <dimension ref="B1:Z141"/>
  <sheetViews>
    <sheetView topLeftCell="A112" workbookViewId="0">
      <selection activeCell="E139" sqref="E139"/>
    </sheetView>
  </sheetViews>
  <sheetFormatPr baseColWidth="10" defaultColWidth="9.140625" defaultRowHeight="15" x14ac:dyDescent="0.25"/>
  <cols>
    <col min="6" max="7" width="5" bestFit="1" customWidth="1"/>
    <col min="8" max="9" width="14.7109375" bestFit="1" customWidth="1"/>
    <col min="10" max="10" width="15.5703125" customWidth="1"/>
    <col min="11" max="12" width="11.7109375" bestFit="1" customWidth="1"/>
    <col min="13" max="13" width="13.7109375" bestFit="1" customWidth="1"/>
    <col min="14" max="14" width="11.7109375" bestFit="1" customWidth="1"/>
    <col min="15" max="15" width="11.42578125" bestFit="1" customWidth="1"/>
    <col min="16" max="16" width="12.28515625" bestFit="1" customWidth="1"/>
    <col min="17" max="17" width="11.7109375" bestFit="1" customWidth="1"/>
    <col min="18" max="18" width="13.5703125" bestFit="1" customWidth="1"/>
    <col min="19" max="19" width="14.85546875" customWidth="1"/>
    <col min="20" max="20" width="12.42578125" customWidth="1"/>
    <col min="21" max="21" width="14.7109375" customWidth="1"/>
    <col min="23" max="23" width="10.28515625" bestFit="1" customWidth="1"/>
  </cols>
  <sheetData>
    <row r="1" spans="2:14" x14ac:dyDescent="0.25">
      <c r="J1" t="s">
        <v>144</v>
      </c>
    </row>
    <row r="3" spans="2:14" x14ac:dyDescent="0.25">
      <c r="B3" t="s">
        <v>134</v>
      </c>
      <c r="C3" t="s">
        <v>135</v>
      </c>
      <c r="D3" t="s">
        <v>131</v>
      </c>
      <c r="E3" t="s">
        <v>136</v>
      </c>
      <c r="F3" t="s">
        <v>39</v>
      </c>
      <c r="G3" t="s">
        <v>40</v>
      </c>
      <c r="H3" t="s">
        <v>137</v>
      </c>
      <c r="I3" t="s">
        <v>133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2:14" s="76" customFormat="1" x14ac:dyDescent="0.25">
      <c r="B4" s="76" t="str">
        <f>VLOOKUP(F4,[1]NUTS_Europa!$A$2:$C$81,2,FALSE)</f>
        <v>BE21</v>
      </c>
      <c r="C4" s="76">
        <f>VLOOKUP(F4,[1]NUTS_Europa!$A$2:$C$81,3,FALSE)</f>
        <v>253</v>
      </c>
      <c r="D4" s="76" t="str">
        <f>VLOOKUP(G4,[1]NUTS_Europa!$A$2:$C$81,2,FALSE)</f>
        <v>BE25</v>
      </c>
      <c r="E4" s="76">
        <f>VLOOKUP(G4,[1]NUTS_Europa!$A$2:$C$81,3,FALSE)</f>
        <v>235</v>
      </c>
      <c r="F4" s="76">
        <v>1</v>
      </c>
      <c r="G4" s="76">
        <v>3</v>
      </c>
      <c r="H4" s="77">
        <v>343988.90551265067</v>
      </c>
      <c r="I4" s="77">
        <v>921585.02603011671</v>
      </c>
      <c r="J4" s="76">
        <v>135416.16142478216</v>
      </c>
      <c r="K4" s="76">
        <v>6.4512820512820515</v>
      </c>
      <c r="L4" s="76">
        <v>10.557124700981731</v>
      </c>
      <c r="M4" s="76">
        <v>10.958172373944803</v>
      </c>
      <c r="N4" s="76">
        <v>1827.1881523429399</v>
      </c>
    </row>
    <row r="5" spans="2:14" s="76" customFormat="1" x14ac:dyDescent="0.25">
      <c r="B5" s="76" t="str">
        <f>VLOOKUP(F5,[1]NUTS_Europa!$A$2:$C$81,2,FALSE)</f>
        <v>BE21</v>
      </c>
      <c r="C5" s="76">
        <f>VLOOKUP(F5,[1]NUTS_Europa!$A$2:$C$81,3,FALSE)</f>
        <v>253</v>
      </c>
      <c r="D5" s="76" t="str">
        <f>VLOOKUP(G5,[1]NUTS_Europa!$A$2:$C$81,2,FALSE)</f>
        <v>NL12</v>
      </c>
      <c r="E5" s="76">
        <f>VLOOKUP(G5,[1]NUTS_Europa!$A$2:$C$81,3,FALSE)</f>
        <v>218</v>
      </c>
      <c r="F5" s="76">
        <v>1</v>
      </c>
      <c r="G5" s="76">
        <v>31</v>
      </c>
      <c r="H5" s="76">
        <v>1331261.1704182203</v>
      </c>
      <c r="I5" s="76">
        <v>1057420.0427505791</v>
      </c>
      <c r="J5" s="76">
        <v>114203.52260471623</v>
      </c>
      <c r="K5" s="76">
        <v>9.1789743589743598</v>
      </c>
      <c r="L5" s="76">
        <v>8.9659064563418127</v>
      </c>
      <c r="M5" s="76">
        <v>30.82988255848452</v>
      </c>
      <c r="N5" s="76">
        <v>5443.4838411041892</v>
      </c>
    </row>
    <row r="6" spans="2:14" s="76" customFormat="1" x14ac:dyDescent="0.25">
      <c r="B6" s="76" t="str">
        <f>VLOOKUP(F6,[1]NUTS_Europa!$A$2:$C$81,2,FALSE)</f>
        <v>BE23</v>
      </c>
      <c r="C6" s="76">
        <f>VLOOKUP(F6,[1]NUTS_Europa!$A$2:$C$81,3,FALSE)</f>
        <v>253</v>
      </c>
      <c r="D6" s="76" t="str">
        <f>VLOOKUP(G6,[1]NUTS_Europa!$A$2:$C$81,2,FALSE)</f>
        <v>BE25</v>
      </c>
      <c r="E6" s="76">
        <f>VLOOKUP(G6,[1]NUTS_Europa!$A$2:$C$81,3,FALSE)</f>
        <v>235</v>
      </c>
      <c r="F6" s="76">
        <v>2</v>
      </c>
      <c r="G6" s="76">
        <v>3</v>
      </c>
      <c r="H6" s="76">
        <v>425558.2390095442</v>
      </c>
      <c r="I6" s="76">
        <v>921585.02603011671</v>
      </c>
      <c r="J6" s="76">
        <v>135416.16142478216</v>
      </c>
      <c r="K6" s="76">
        <v>6.4512820512820515</v>
      </c>
      <c r="L6" s="76">
        <v>10.557124700981731</v>
      </c>
      <c r="M6" s="76">
        <v>10.958172373944803</v>
      </c>
      <c r="N6" s="76">
        <v>1827.1881523429399</v>
      </c>
    </row>
    <row r="7" spans="2:14" s="76" customFormat="1" x14ac:dyDescent="0.25">
      <c r="B7" s="76" t="str">
        <f>VLOOKUP(F7,[1]NUTS_Europa!$A$2:$C$81,2,FALSE)</f>
        <v>BE23</v>
      </c>
      <c r="C7" s="76">
        <f>VLOOKUP(F7,[1]NUTS_Europa!$A$2:$C$81,3,FALSE)</f>
        <v>253</v>
      </c>
      <c r="D7" s="76" t="str">
        <f>VLOOKUP(G7,[1]NUTS_Europa!$A$2:$C$81,2,FALSE)</f>
        <v>ES13</v>
      </c>
      <c r="E7" s="76">
        <f>VLOOKUP(G7,[1]NUTS_Europa!$A$2:$C$81,3,FALSE)</f>
        <v>163</v>
      </c>
      <c r="F7" s="76">
        <v>2</v>
      </c>
      <c r="G7" s="76">
        <v>13</v>
      </c>
      <c r="H7" s="76">
        <v>889716.78927710385</v>
      </c>
      <c r="I7" s="76">
        <v>1485638.270592419</v>
      </c>
      <c r="J7" s="76">
        <v>117923.68175590989</v>
      </c>
      <c r="K7" s="76">
        <v>39.790256410256411</v>
      </c>
      <c r="L7" s="76">
        <v>16.085377291453508</v>
      </c>
      <c r="M7" s="76">
        <v>19.985156806333826</v>
      </c>
      <c r="N7" s="76">
        <v>2892.2254025044726</v>
      </c>
    </row>
    <row r="8" spans="2:14" s="76" customFormat="1" x14ac:dyDescent="0.25">
      <c r="B8" s="76" t="str">
        <f>VLOOKUP(F8,[1]NUTS_Europa!$A$2:$C$81,2,FALSE)</f>
        <v>DE50</v>
      </c>
      <c r="C8" s="76">
        <f>VLOOKUP(F8,[1]NUTS_Europa!$A$2:$C$81,3,FALSE)</f>
        <v>245</v>
      </c>
      <c r="D8" s="76" t="str">
        <f>VLOOKUP(G8,[1]NUTS_Europa!$A$2:$C$81,2,FALSE)</f>
        <v>ES12</v>
      </c>
      <c r="E8" s="76">
        <f>VLOOKUP(G8,[1]NUTS_Europa!$A$2:$C$81,3,FALSE)</f>
        <v>285</v>
      </c>
      <c r="F8" s="76">
        <v>4</v>
      </c>
      <c r="G8" s="76">
        <v>12</v>
      </c>
      <c r="H8" s="76">
        <v>55467.590571060922</v>
      </c>
      <c r="I8" s="76">
        <v>6938329.0771158198</v>
      </c>
      <c r="J8" s="76">
        <v>114346.85142443764</v>
      </c>
      <c r="K8" s="76">
        <v>51.586666666666666</v>
      </c>
      <c r="L8" s="76">
        <v>10.608893333158758</v>
      </c>
      <c r="M8" s="76">
        <v>9.347503527921551E-2</v>
      </c>
      <c r="N8" s="76">
        <v>15.60948133635801</v>
      </c>
    </row>
    <row r="9" spans="2:14" s="76" customFormat="1" x14ac:dyDescent="0.25">
      <c r="B9" s="76" t="str">
        <f>VLOOKUP(F9,[1]NUTS_Europa!$A$2:$C$81,2,FALSE)</f>
        <v>DE50</v>
      </c>
      <c r="C9" s="76">
        <f>VLOOKUP(F9,[1]NUTS_Europa!$A$2:$C$81,3,FALSE)</f>
        <v>245</v>
      </c>
      <c r="D9" s="76" t="str">
        <f>VLOOKUP(G9,[1]NUTS_Europa!$A$2:$C$81,2,FALSE)</f>
        <v>FRD1</v>
      </c>
      <c r="E9" s="76">
        <f>VLOOKUP(G9,[1]NUTS_Europa!$A$2:$C$81,3,FALSE)</f>
        <v>268</v>
      </c>
      <c r="F9" s="76">
        <v>4</v>
      </c>
      <c r="G9" s="76">
        <v>19</v>
      </c>
      <c r="H9" s="76">
        <v>426563.49880144087</v>
      </c>
      <c r="I9" s="76">
        <v>7485735.0427100183</v>
      </c>
      <c r="J9" s="76">
        <v>163171.48832599766</v>
      </c>
      <c r="K9" s="76">
        <v>29.894358974358976</v>
      </c>
      <c r="L9" s="76">
        <v>12.125194224998301</v>
      </c>
      <c r="M9" s="76">
        <v>0.74167709396731318</v>
      </c>
      <c r="N9" s="76">
        <v>107.3345259391771</v>
      </c>
    </row>
    <row r="10" spans="2:14" s="76" customFormat="1" x14ac:dyDescent="0.25">
      <c r="B10" s="76" t="str">
        <f>VLOOKUP(F10,[1]NUTS_Europa!$A$2:$C$81,2,FALSE)</f>
        <v>DE60</v>
      </c>
      <c r="C10" s="76">
        <f>VLOOKUP(F10,[1]NUTS_Europa!$A$2:$C$81,3,FALSE)</f>
        <v>1069</v>
      </c>
      <c r="D10" s="76" t="str">
        <f>VLOOKUP(G10,[1]NUTS_Europa!$A$2:$C$81,2,FALSE)</f>
        <v>NL32</v>
      </c>
      <c r="E10" s="76">
        <f>VLOOKUP(G10,[1]NUTS_Europa!$A$2:$C$81,3,FALSE)</f>
        <v>218</v>
      </c>
      <c r="F10" s="76">
        <v>5</v>
      </c>
      <c r="G10" s="76">
        <v>32</v>
      </c>
      <c r="H10" s="76">
        <v>330390.53260692285</v>
      </c>
      <c r="I10" s="76">
        <v>1119968.8998791594</v>
      </c>
      <c r="J10" s="76">
        <v>119215.96904421839</v>
      </c>
      <c r="K10" s="76">
        <v>13.844615384615386</v>
      </c>
      <c r="L10" s="76">
        <v>9.4410237766073877</v>
      </c>
      <c r="M10" s="76">
        <v>25.813122098324705</v>
      </c>
      <c r="N10" s="76">
        <v>5443.4838411041892</v>
      </c>
    </row>
    <row r="11" spans="2:14" s="76" customFormat="1" x14ac:dyDescent="0.25">
      <c r="B11" s="76" t="str">
        <f>VLOOKUP(F11,[1]NUTS_Europa!$A$2:$C$81,2,FALSE)</f>
        <v>DE60</v>
      </c>
      <c r="C11" s="76">
        <f>VLOOKUP(F11,[1]NUTS_Europa!$A$2:$C$81,3,FALSE)</f>
        <v>1069</v>
      </c>
      <c r="D11" s="76" t="str">
        <f>VLOOKUP(G11,[1]NUTS_Europa!$A$2:$C$81,2,FALSE)</f>
        <v>PT18</v>
      </c>
      <c r="E11" s="76">
        <f>VLOOKUP(G11,[1]NUTS_Europa!$A$2:$C$81,3,FALSE)</f>
        <v>61</v>
      </c>
      <c r="F11" s="76">
        <v>5</v>
      </c>
      <c r="G11" s="76">
        <v>80</v>
      </c>
      <c r="H11" s="76">
        <v>10857914.458970347</v>
      </c>
      <c r="I11" s="76">
        <v>2079866.4262658227</v>
      </c>
      <c r="J11" s="76">
        <v>118487.95435333898</v>
      </c>
      <c r="K11" s="76">
        <v>85.783589743589744</v>
      </c>
      <c r="L11" s="76">
        <v>11.232102853782507</v>
      </c>
      <c r="M11" s="76">
        <v>81.961930405251849</v>
      </c>
      <c r="N11" s="76">
        <v>17378.68458416584</v>
      </c>
    </row>
    <row r="12" spans="2:14" s="76" customFormat="1" x14ac:dyDescent="0.25">
      <c r="B12" s="76" t="str">
        <f>VLOOKUP(F12,[1]NUTS_Europa!$A$2:$C$81,2,FALSE)</f>
        <v>DE80</v>
      </c>
      <c r="C12" s="76">
        <f>VLOOKUP(F12,[1]NUTS_Europa!$A$2:$C$81,3,FALSE)</f>
        <v>1069</v>
      </c>
      <c r="D12" s="76" t="str">
        <f>VLOOKUP(G12,[1]NUTS_Europa!$A$2:$C$81,2,FALSE)</f>
        <v>ES11</v>
      </c>
      <c r="E12" s="76">
        <f>VLOOKUP(G12,[1]NUTS_Europa!$A$2:$C$81,3,FALSE)</f>
        <v>288</v>
      </c>
      <c r="F12" s="76">
        <v>6</v>
      </c>
      <c r="G12" s="76">
        <v>11</v>
      </c>
      <c r="H12" s="76">
        <v>484887.43203389447</v>
      </c>
      <c r="I12" s="76">
        <v>1785145.2508272217</v>
      </c>
      <c r="J12" s="76">
        <v>142841.86171918266</v>
      </c>
      <c r="K12" s="76">
        <v>59.42307692307692</v>
      </c>
      <c r="L12" s="76">
        <v>12.573019113067861</v>
      </c>
      <c r="M12" s="76">
        <v>4.5623572220841391</v>
      </c>
      <c r="N12" s="76">
        <v>900.45195084406225</v>
      </c>
    </row>
    <row r="13" spans="2:14" s="76" customFormat="1" x14ac:dyDescent="0.25">
      <c r="B13" s="76" t="str">
        <f>VLOOKUP(F13,[1]NUTS_Europa!$A$2:$C$81,2,FALSE)</f>
        <v>DE80</v>
      </c>
      <c r="C13" s="76">
        <f>VLOOKUP(F13,[1]NUTS_Europa!$A$2:$C$81,3,FALSE)</f>
        <v>1069</v>
      </c>
      <c r="D13" s="76" t="str">
        <f>VLOOKUP(G13,[1]NUTS_Europa!$A$2:$C$81,2,FALSE)</f>
        <v>ES21</v>
      </c>
      <c r="E13" s="76">
        <f>VLOOKUP(G13,[1]NUTS_Europa!$A$2:$C$81,3,FALSE)</f>
        <v>163</v>
      </c>
      <c r="F13" s="76">
        <v>6</v>
      </c>
      <c r="G13" s="76">
        <v>14</v>
      </c>
      <c r="H13" s="76">
        <v>1374367.1222328686</v>
      </c>
      <c r="I13" s="76">
        <v>1682252.7033484408</v>
      </c>
      <c r="J13" s="76">
        <v>154854.30087154222</v>
      </c>
      <c r="K13" s="76">
        <v>53.746153846153845</v>
      </c>
      <c r="L13" s="76">
        <v>16.560494611719086</v>
      </c>
      <c r="M13" s="76">
        <v>17.319657566381824</v>
      </c>
      <c r="N13" s="76">
        <v>2892.2254025044726</v>
      </c>
    </row>
    <row r="14" spans="2:14" s="76" customFormat="1" x14ac:dyDescent="0.25">
      <c r="B14" s="76" t="str">
        <f>VLOOKUP(F14,[1]NUTS_Europa!$A$2:$C$81,2,FALSE)</f>
        <v>DE93</v>
      </c>
      <c r="C14" s="76">
        <f>VLOOKUP(F14,[1]NUTS_Europa!$A$2:$C$81,3,FALSE)</f>
        <v>1069</v>
      </c>
      <c r="D14" s="76" t="str">
        <f>VLOOKUP(G14,[1]NUTS_Europa!$A$2:$C$81,2,FALSE)</f>
        <v>NL12</v>
      </c>
      <c r="E14" s="76">
        <f>VLOOKUP(G14,[1]NUTS_Europa!$A$2:$C$81,3,FALSE)</f>
        <v>218</v>
      </c>
      <c r="F14" s="76">
        <v>7</v>
      </c>
      <c r="G14" s="76">
        <v>31</v>
      </c>
      <c r="H14" s="76">
        <v>1453945.1939526554</v>
      </c>
      <c r="I14" s="76">
        <v>1119968.8998791594</v>
      </c>
      <c r="J14" s="76">
        <v>163171.48832599766</v>
      </c>
      <c r="K14" s="76">
        <v>13.844615384615386</v>
      </c>
      <c r="L14" s="76">
        <v>9.4410237766073877</v>
      </c>
      <c r="M14" s="76">
        <v>25.813122098324705</v>
      </c>
      <c r="N14" s="76">
        <v>5443.4838411041892</v>
      </c>
    </row>
    <row r="15" spans="2:14" s="76" customFormat="1" x14ac:dyDescent="0.25">
      <c r="B15" s="76" t="str">
        <f>VLOOKUP(F15,[1]NUTS_Europa!$A$2:$C$81,2,FALSE)</f>
        <v>DE93</v>
      </c>
      <c r="C15" s="76">
        <f>VLOOKUP(F15,[1]NUTS_Europa!$A$2:$C$81,3,FALSE)</f>
        <v>1069</v>
      </c>
      <c r="D15" s="76" t="str">
        <f>VLOOKUP(G15,[1]NUTS_Europa!$A$2:$C$81,2,FALSE)</f>
        <v>NL32</v>
      </c>
      <c r="E15" s="76">
        <f>VLOOKUP(G15,[1]NUTS_Europa!$A$2:$C$81,3,FALSE)</f>
        <v>218</v>
      </c>
      <c r="F15" s="76">
        <v>7</v>
      </c>
      <c r="G15" s="76">
        <v>32</v>
      </c>
      <c r="H15" s="76">
        <v>612708.65680003003</v>
      </c>
      <c r="I15" s="76">
        <v>1119968.8998791594</v>
      </c>
      <c r="J15" s="76">
        <v>199058.85825050285</v>
      </c>
      <c r="K15" s="76">
        <v>13.844615384615386</v>
      </c>
      <c r="L15" s="76">
        <v>9.4410237766073877</v>
      </c>
      <c r="M15" s="76">
        <v>25.813122098324705</v>
      </c>
      <c r="N15" s="76">
        <v>5443.4838411041892</v>
      </c>
    </row>
    <row r="16" spans="2:14" s="76" customFormat="1" x14ac:dyDescent="0.25">
      <c r="B16" s="76" t="str">
        <f>VLOOKUP(F16,[1]NUTS_Europa!$A$2:$C$81,2,FALSE)</f>
        <v>DE94</v>
      </c>
      <c r="C16" s="76">
        <f>VLOOKUP(F16,[1]NUTS_Europa!$A$2:$C$81,3,FALSE)</f>
        <v>245</v>
      </c>
      <c r="D16" s="76" t="str">
        <f>VLOOKUP(G16,[1]NUTS_Europa!$A$2:$C$81,2,FALSE)</f>
        <v>ES12</v>
      </c>
      <c r="E16" s="76">
        <f>VLOOKUP(G16,[1]NUTS_Europa!$A$2:$C$81,3,FALSE)</f>
        <v>285</v>
      </c>
      <c r="F16" s="76">
        <v>8</v>
      </c>
      <c r="G16" s="76">
        <v>12</v>
      </c>
      <c r="H16" s="76">
        <v>55750.425007186932</v>
      </c>
      <c r="I16" s="76">
        <v>6938329.0771158198</v>
      </c>
      <c r="J16" s="76">
        <v>117061.71481038857</v>
      </c>
      <c r="K16" s="76">
        <v>51.586666666666666</v>
      </c>
      <c r="L16" s="76">
        <v>10.608893333158758</v>
      </c>
      <c r="M16" s="76">
        <v>9.347503527921551E-2</v>
      </c>
      <c r="N16" s="76">
        <v>15.60948133635801</v>
      </c>
    </row>
    <row r="17" spans="2:14" s="76" customFormat="1" x14ac:dyDescent="0.25">
      <c r="B17" s="76" t="str">
        <f>VLOOKUP(F17,[1]NUTS_Europa!$A$2:$C$81,2,FALSE)</f>
        <v>DE94</v>
      </c>
      <c r="C17" s="76">
        <f>VLOOKUP(F17,[1]NUTS_Europa!$A$2:$C$81,3,FALSE)</f>
        <v>245</v>
      </c>
      <c r="D17" s="76" t="str">
        <f>VLOOKUP(G17,[1]NUTS_Europa!$A$2:$C$81,2,FALSE)</f>
        <v>FRD1</v>
      </c>
      <c r="E17" s="76">
        <f>VLOOKUP(G17,[1]NUTS_Europa!$A$2:$C$81,3,FALSE)</f>
        <v>268</v>
      </c>
      <c r="F17" s="76">
        <v>8</v>
      </c>
      <c r="G17" s="76">
        <v>19</v>
      </c>
      <c r="H17" s="76">
        <v>428508.33601074317</v>
      </c>
      <c r="I17" s="76">
        <v>7485735.0427100183</v>
      </c>
      <c r="J17" s="76">
        <v>113696.3812050019</v>
      </c>
      <c r="K17" s="76">
        <v>29.894358974358976</v>
      </c>
      <c r="L17" s="76">
        <v>12.125194224998301</v>
      </c>
      <c r="M17" s="76">
        <v>0.74167709396731318</v>
      </c>
      <c r="N17" s="76">
        <v>107.3345259391771</v>
      </c>
    </row>
    <row r="18" spans="2:14" s="76" customFormat="1" x14ac:dyDescent="0.25">
      <c r="B18" s="76" t="str">
        <f>VLOOKUP(F18,[1]NUTS_Europa!$A$2:$C$81,2,FALSE)</f>
        <v>DEA1</v>
      </c>
      <c r="C18" s="76">
        <f>VLOOKUP(F18,[1]NUTS_Europa!$A$2:$C$81,3,FALSE)</f>
        <v>253</v>
      </c>
      <c r="D18" s="76" t="str">
        <f>VLOOKUP(G18,[1]NUTS_Europa!$A$2:$C$81,2,FALSE)</f>
        <v>ES11</v>
      </c>
      <c r="E18" s="76">
        <f>VLOOKUP(G18,[1]NUTS_Europa!$A$2:$C$81,3,FALSE)</f>
        <v>288</v>
      </c>
      <c r="F18" s="76">
        <v>9</v>
      </c>
      <c r="G18" s="76">
        <v>11</v>
      </c>
      <c r="H18" s="76">
        <v>504902.26773104165</v>
      </c>
      <c r="I18" s="76">
        <v>1586426.136485212</v>
      </c>
      <c r="J18" s="76">
        <v>142392.8717171422</v>
      </c>
      <c r="K18" s="76">
        <v>45.494871794871791</v>
      </c>
      <c r="L18" s="76">
        <v>12.097901792802286</v>
      </c>
      <c r="M18" s="76">
        <v>5.39222130823378</v>
      </c>
      <c r="N18" s="76">
        <v>900.45195084406225</v>
      </c>
    </row>
    <row r="19" spans="2:14" s="76" customFormat="1" x14ac:dyDescent="0.25">
      <c r="B19" s="76" t="str">
        <f>VLOOKUP(F19,[1]NUTS_Europa!$A$2:$C$81,2,FALSE)</f>
        <v>DEA1</v>
      </c>
      <c r="C19" s="76">
        <f>VLOOKUP(F19,[1]NUTS_Europa!$A$2:$C$81,3,FALSE)</f>
        <v>253</v>
      </c>
      <c r="D19" s="76" t="str">
        <f>VLOOKUP(G19,[1]NUTS_Europa!$A$2:$C$81,2,FALSE)</f>
        <v>FRI1</v>
      </c>
      <c r="E19" s="76">
        <f>VLOOKUP(G19,[1]NUTS_Europa!$A$2:$C$81,3,FALSE)</f>
        <v>283</v>
      </c>
      <c r="F19" s="76">
        <v>9</v>
      </c>
      <c r="G19" s="76">
        <v>24</v>
      </c>
      <c r="H19" s="76">
        <v>1470165.5906090594</v>
      </c>
      <c r="I19" s="76">
        <v>1340007.0801588229</v>
      </c>
      <c r="J19" s="76">
        <v>118487.95435333898</v>
      </c>
      <c r="K19" s="76">
        <v>35.415384615384617</v>
      </c>
      <c r="L19" s="76">
        <v>9.6647317499878245</v>
      </c>
      <c r="M19" s="76">
        <v>14.508624423727444</v>
      </c>
      <c r="N19" s="76">
        <v>2344.8291581632657</v>
      </c>
    </row>
    <row r="20" spans="2:14" s="76" customFormat="1" x14ac:dyDescent="0.25">
      <c r="B20" s="76" t="str">
        <f>VLOOKUP(F20,[1]NUTS_Europa!$A$2:$C$81,2,FALSE)</f>
        <v>DEF0</v>
      </c>
      <c r="C20" s="76">
        <f>VLOOKUP(F20,[1]NUTS_Europa!$A$2:$C$81,3,FALSE)</f>
        <v>1069</v>
      </c>
      <c r="D20" s="76" t="str">
        <f>VLOOKUP(G20,[1]NUTS_Europa!$A$2:$C$81,2,FALSE)</f>
        <v>ES13</v>
      </c>
      <c r="E20" s="76">
        <f>VLOOKUP(G20,[1]NUTS_Europa!$A$2:$C$81,3,FALSE)</f>
        <v>163</v>
      </c>
      <c r="F20" s="76">
        <v>10</v>
      </c>
      <c r="G20" s="76">
        <v>13</v>
      </c>
      <c r="H20" s="76">
        <v>1012466.1390654267</v>
      </c>
      <c r="I20" s="76">
        <v>1682252.7033484408</v>
      </c>
      <c r="J20" s="76">
        <v>163171.48832599766</v>
      </c>
      <c r="K20" s="76">
        <v>53.746153846153845</v>
      </c>
      <c r="L20" s="76">
        <v>16.560494611719086</v>
      </c>
      <c r="M20" s="76">
        <v>17.319657566381824</v>
      </c>
      <c r="N20" s="76">
        <v>2892.2254025044726</v>
      </c>
    </row>
    <row r="21" spans="2:14" s="76" customFormat="1" x14ac:dyDescent="0.25">
      <c r="B21" s="76" t="str">
        <f>VLOOKUP(F21,[1]NUTS_Europa!$A$2:$C$81,2,FALSE)</f>
        <v>DEF0</v>
      </c>
      <c r="C21" s="76">
        <f>VLOOKUP(F21,[1]NUTS_Europa!$A$2:$C$81,3,FALSE)</f>
        <v>1069</v>
      </c>
      <c r="D21" s="76" t="str">
        <f>VLOOKUP(G21,[1]NUTS_Europa!$A$2:$C$81,2,FALSE)</f>
        <v>ES21</v>
      </c>
      <c r="E21" s="76">
        <f>VLOOKUP(G21,[1]NUTS_Europa!$A$2:$C$81,3,FALSE)</f>
        <v>163</v>
      </c>
      <c r="F21" s="76">
        <v>10</v>
      </c>
      <c r="G21" s="76">
        <v>14</v>
      </c>
      <c r="H21" s="76">
        <v>842338.49954914767</v>
      </c>
      <c r="I21" s="76">
        <v>1682252.7033484408</v>
      </c>
      <c r="J21" s="76">
        <v>199058.85825050285</v>
      </c>
      <c r="K21" s="76">
        <v>53.746153846153845</v>
      </c>
      <c r="L21" s="76">
        <v>16.560494611719086</v>
      </c>
      <c r="M21" s="76">
        <v>17.319657566381824</v>
      </c>
      <c r="N21" s="76">
        <v>2892.2254025044726</v>
      </c>
    </row>
    <row r="22" spans="2:14" s="76" customFormat="1" x14ac:dyDescent="0.25">
      <c r="B22" s="76" t="str">
        <f>VLOOKUP(F22,[1]NUTS_Europa!$A$2:$C$81,2,FALSE)</f>
        <v>ES51</v>
      </c>
      <c r="C22" s="76">
        <f>VLOOKUP(F22,[1]NUTS_Europa!$A$2:$C$81,3,FALSE)</f>
        <v>1063</v>
      </c>
      <c r="D22" s="76" t="str">
        <f>VLOOKUP(G22,[1]NUTS_Europa!$A$2:$C$81,2,FALSE)</f>
        <v>ES52</v>
      </c>
      <c r="E22" s="76">
        <f>VLOOKUP(G22,[1]NUTS_Europa!$A$2:$C$81,3,FALSE)</f>
        <v>1064</v>
      </c>
      <c r="F22" s="76">
        <v>15</v>
      </c>
      <c r="G22" s="76">
        <v>16</v>
      </c>
      <c r="H22" s="76">
        <v>2762614.1614572401</v>
      </c>
      <c r="I22" s="76">
        <v>4557048.2336992007</v>
      </c>
      <c r="J22" s="76">
        <v>135416.16142478216</v>
      </c>
      <c r="K22" s="76">
        <v>8.3076923076923084</v>
      </c>
      <c r="L22" s="76">
        <v>8.1646456295297565</v>
      </c>
      <c r="M22" s="76">
        <v>54.164747893306178</v>
      </c>
      <c r="N22" s="76">
        <v>10690.25298400996</v>
      </c>
    </row>
    <row r="23" spans="2:14" s="76" customFormat="1" x14ac:dyDescent="0.25">
      <c r="B23" s="76" t="str">
        <f>VLOOKUP(F23,[1]NUTS_Europa!$A$2:$C$81,2,FALSE)</f>
        <v>ES51</v>
      </c>
      <c r="C23" s="76">
        <f>VLOOKUP(F23,[1]NUTS_Europa!$A$2:$C$81,3,FALSE)</f>
        <v>1063</v>
      </c>
      <c r="D23" s="76" t="str">
        <f>VLOOKUP(G23,[1]NUTS_Europa!$A$2:$C$81,2,FALSE)</f>
        <v>PT15</v>
      </c>
      <c r="E23" s="76">
        <f>VLOOKUP(G23,[1]NUTS_Europa!$A$2:$C$81,3,FALSE)</f>
        <v>1065</v>
      </c>
      <c r="F23" s="76">
        <v>15</v>
      </c>
      <c r="G23" s="76">
        <v>37</v>
      </c>
      <c r="H23" s="76">
        <v>3222363.0991686317</v>
      </c>
      <c r="I23" s="76">
        <v>5057978.6976987356</v>
      </c>
      <c r="J23" s="76">
        <v>123614.25510828695</v>
      </c>
      <c r="K23" s="76">
        <v>40.974358974358971</v>
      </c>
      <c r="L23" s="76">
        <v>7.6885580645516161</v>
      </c>
      <c r="M23" s="76">
        <v>38.281834204759797</v>
      </c>
      <c r="N23" s="76">
        <v>7555.5136552455588</v>
      </c>
    </row>
    <row r="24" spans="2:14" s="76" customFormat="1" x14ac:dyDescent="0.25">
      <c r="B24" s="76" t="str">
        <f>VLOOKUP(F24,[1]NUTS_Europa!$A$2:$C$81,2,FALSE)</f>
        <v>ES52</v>
      </c>
      <c r="C24" s="76">
        <f>VLOOKUP(F24,[1]NUTS_Europa!$A$2:$C$81,3,FALSE)</f>
        <v>1064</v>
      </c>
      <c r="D24" s="76" t="str">
        <f>VLOOKUP(G24,[1]NUTS_Europa!$A$2:$C$81,2,FALSE)</f>
        <v>PT15</v>
      </c>
      <c r="E24" s="76">
        <f>VLOOKUP(G24,[1]NUTS_Europa!$A$2:$C$81,3,FALSE)</f>
        <v>1065</v>
      </c>
      <c r="F24" s="76">
        <v>16</v>
      </c>
      <c r="G24" s="76">
        <v>37</v>
      </c>
      <c r="H24" s="76">
        <v>2829891.7125610751</v>
      </c>
      <c r="I24" s="76">
        <v>1254563.1682600651</v>
      </c>
      <c r="J24" s="76">
        <v>141512.315270936</v>
      </c>
      <c r="K24" s="76">
        <v>29.545128205128204</v>
      </c>
      <c r="L24" s="76">
        <v>8.3475257042574835</v>
      </c>
      <c r="M24" s="76">
        <v>38.281834204759797</v>
      </c>
      <c r="N24" s="76">
        <v>7555.5136552455588</v>
      </c>
    </row>
    <row r="25" spans="2:14" s="76" customFormat="1" x14ac:dyDescent="0.25">
      <c r="B25" s="76" t="str">
        <f>VLOOKUP(F25,[1]NUTS_Europa!$A$2:$C$81,2,FALSE)</f>
        <v>ES61</v>
      </c>
      <c r="C25" s="76">
        <f>VLOOKUP(F25,[1]NUTS_Europa!$A$2:$C$81,3,FALSE)</f>
        <v>61</v>
      </c>
      <c r="D25" s="76" t="str">
        <f>VLOOKUP(G25,[1]NUTS_Europa!$A$2:$C$81,2,FALSE)</f>
        <v>FRG0</v>
      </c>
      <c r="E25" s="76">
        <f>VLOOKUP(G25,[1]NUTS_Europa!$A$2:$C$81,3,FALSE)</f>
        <v>282</v>
      </c>
      <c r="F25" s="76">
        <v>17</v>
      </c>
      <c r="G25" s="76">
        <v>22</v>
      </c>
      <c r="H25" s="76">
        <v>554223.8332952155</v>
      </c>
      <c r="I25" s="76">
        <v>1586997.0990681113</v>
      </c>
      <c r="J25" s="76">
        <v>115262.59218235347</v>
      </c>
      <c r="K25" s="76">
        <v>53.940307692307691</v>
      </c>
      <c r="L25" s="76">
        <v>10.552650619347396</v>
      </c>
      <c r="M25" s="76">
        <v>4.7621406380274678</v>
      </c>
      <c r="N25" s="76">
        <v>844.67441860465112</v>
      </c>
    </row>
    <row r="26" spans="2:14" s="76" customFormat="1" x14ac:dyDescent="0.25">
      <c r="B26" s="76" t="str">
        <f>VLOOKUP(F26,[1]NUTS_Europa!$A$2:$C$81,2,FALSE)</f>
        <v>ES61</v>
      </c>
      <c r="C26" s="76">
        <f>VLOOKUP(F26,[1]NUTS_Europa!$A$2:$C$81,3,FALSE)</f>
        <v>61</v>
      </c>
      <c r="D26" s="76" t="str">
        <f>VLOOKUP(G26,[1]NUTS_Europa!$A$2:$C$81,2,FALSE)</f>
        <v>FRI1</v>
      </c>
      <c r="E26" s="76">
        <f>VLOOKUP(G26,[1]NUTS_Europa!$A$2:$C$81,3,FALSE)</f>
        <v>283</v>
      </c>
      <c r="F26" s="76">
        <v>17</v>
      </c>
      <c r="G26" s="76">
        <v>24</v>
      </c>
      <c r="H26" s="76">
        <v>1535964.2777240064</v>
      </c>
      <c r="I26" s="76">
        <v>1530597.307470588</v>
      </c>
      <c r="J26" s="76">
        <v>163029.68053166996</v>
      </c>
      <c r="K26" s="76">
        <v>52.611282051282053</v>
      </c>
      <c r="L26" s="76">
        <v>8.4402217410228815</v>
      </c>
      <c r="M26" s="76">
        <v>11.525728362717443</v>
      </c>
      <c r="N26" s="76">
        <v>2344.8291581632657</v>
      </c>
    </row>
    <row r="27" spans="2:14" s="76" customFormat="1" x14ac:dyDescent="0.25">
      <c r="B27" s="76" t="str">
        <f>VLOOKUP(F27,[1]NUTS_Europa!$A$2:$C$81,2,FALSE)</f>
        <v>ES62</v>
      </c>
      <c r="C27" s="76">
        <f>VLOOKUP(F27,[1]NUTS_Europa!$A$2:$C$81,3,FALSE)</f>
        <v>1064</v>
      </c>
      <c r="D27" s="76" t="str">
        <f>VLOOKUP(G27,[1]NUTS_Europa!$A$2:$C$81,2,FALSE)</f>
        <v>FRG0</v>
      </c>
      <c r="E27" s="76">
        <f>VLOOKUP(G27,[1]NUTS_Europa!$A$2:$C$81,3,FALSE)</f>
        <v>282</v>
      </c>
      <c r="F27" s="76">
        <v>18</v>
      </c>
      <c r="G27" s="76">
        <v>22</v>
      </c>
      <c r="H27" s="76">
        <v>531339.04304623115</v>
      </c>
      <c r="I27" s="76">
        <v>1755510.9261015332</v>
      </c>
      <c r="J27" s="76">
        <v>135416.16142478216</v>
      </c>
      <c r="K27" s="76">
        <v>64.462512820512828</v>
      </c>
      <c r="L27" s="76">
        <v>10.198219491689215</v>
      </c>
      <c r="M27" s="76">
        <v>5.0582059311999252</v>
      </c>
      <c r="N27" s="76">
        <v>844.67441860465112</v>
      </c>
    </row>
    <row r="28" spans="2:14" s="76" customFormat="1" x14ac:dyDescent="0.25">
      <c r="B28" s="76" t="str">
        <f>VLOOKUP(F28,[1]NUTS_Europa!$A$2:$C$81,2,FALSE)</f>
        <v>ES62</v>
      </c>
      <c r="C28" s="76">
        <f>VLOOKUP(F28,[1]NUTS_Europa!$A$2:$C$81,3,FALSE)</f>
        <v>1064</v>
      </c>
      <c r="D28" s="76" t="str">
        <f>VLOOKUP(G28,[1]NUTS_Europa!$A$2:$C$81,2,FALSE)</f>
        <v>PT17</v>
      </c>
      <c r="E28" s="76">
        <f>VLOOKUP(G28,[1]NUTS_Europa!$A$2:$C$81,3,FALSE)</f>
        <v>294</v>
      </c>
      <c r="F28" s="76">
        <v>18</v>
      </c>
      <c r="G28" s="76">
        <v>39</v>
      </c>
      <c r="H28" s="76">
        <v>1124742.302171458</v>
      </c>
      <c r="I28" s="76">
        <v>1272323.7268212647</v>
      </c>
      <c r="J28" s="76">
        <v>191087.21980936834</v>
      </c>
      <c r="K28" s="76">
        <v>31.760512820512822</v>
      </c>
      <c r="L28" s="76">
        <v>9.7385446670543878</v>
      </c>
      <c r="M28" s="76">
        <v>14.314893747210476</v>
      </c>
      <c r="N28" s="76">
        <v>2825.2662764782135</v>
      </c>
    </row>
    <row r="29" spans="2:14" s="76" customFormat="1" x14ac:dyDescent="0.25">
      <c r="B29" s="76" t="str">
        <f>VLOOKUP(F29,[1]NUTS_Europa!$A$2:$C$81,2,FALSE)</f>
        <v>FRD2</v>
      </c>
      <c r="C29" s="76">
        <f>VLOOKUP(F29,[1]NUTS_Europa!$A$2:$C$81,3,FALSE)</f>
        <v>269</v>
      </c>
      <c r="D29" s="76" t="str">
        <f>VLOOKUP(G29,[1]NUTS_Europa!$A$2:$C$81,2,FALSE)</f>
        <v>FRH0</v>
      </c>
      <c r="E29" s="76">
        <f>VLOOKUP(G29,[1]NUTS_Europa!$A$2:$C$81,3,FALSE)</f>
        <v>283</v>
      </c>
      <c r="F29" s="76">
        <v>20</v>
      </c>
      <c r="G29" s="76">
        <v>23</v>
      </c>
      <c r="H29" s="76">
        <v>1128247.9431239776</v>
      </c>
      <c r="I29" s="76">
        <v>1210680.4219483074</v>
      </c>
      <c r="J29" s="76">
        <v>159445.52860932166</v>
      </c>
      <c r="K29" s="76">
        <v>23.743589743589745</v>
      </c>
      <c r="L29" s="76">
        <v>9.2346160534042276</v>
      </c>
      <c r="M29" s="76">
        <v>14.508624423727444</v>
      </c>
      <c r="N29" s="76">
        <v>2344.8291581632657</v>
      </c>
    </row>
    <row r="30" spans="2:14" s="76" customFormat="1" x14ac:dyDescent="0.25">
      <c r="B30" s="76" t="str">
        <f>VLOOKUP(F30,[1]NUTS_Europa!$A$2:$C$81,2,FALSE)</f>
        <v>FRD2</v>
      </c>
      <c r="C30" s="76">
        <f>VLOOKUP(F30,[1]NUTS_Europa!$A$2:$C$81,3,FALSE)</f>
        <v>269</v>
      </c>
      <c r="D30" s="76" t="str">
        <f>VLOOKUP(G30,[1]NUTS_Europa!$A$2:$C$81,2,FALSE)</f>
        <v>FRI3</v>
      </c>
      <c r="E30" s="76">
        <f>VLOOKUP(G30,[1]NUTS_Europa!$A$2:$C$81,3,FALSE)</f>
        <v>283</v>
      </c>
      <c r="F30" s="76">
        <v>20</v>
      </c>
      <c r="G30" s="76">
        <v>25</v>
      </c>
      <c r="H30" s="76">
        <v>560216.59680266399</v>
      </c>
      <c r="I30" s="76">
        <v>1210680.4219483074</v>
      </c>
      <c r="J30" s="76">
        <v>141512.315270936</v>
      </c>
      <c r="K30" s="76">
        <v>23.743589743589745</v>
      </c>
      <c r="L30" s="76">
        <v>9.2346160534042276</v>
      </c>
      <c r="M30" s="76">
        <v>14.508624423727444</v>
      </c>
      <c r="N30" s="76">
        <v>2344.8291581632657</v>
      </c>
    </row>
    <row r="31" spans="2:14" s="76" customFormat="1" x14ac:dyDescent="0.25">
      <c r="B31" s="76" t="str">
        <f>VLOOKUP(F31,[1]NUTS_Europa!$A$2:$C$81,2,FALSE)</f>
        <v>FRE1</v>
      </c>
      <c r="C31" s="76">
        <f>VLOOKUP(F31,[1]NUTS_Europa!$A$2:$C$81,3,FALSE)</f>
        <v>220</v>
      </c>
      <c r="D31" s="76" t="str">
        <f>VLOOKUP(G31,[1]NUTS_Europa!$A$2:$C$81,2,FALSE)</f>
        <v>FRH0</v>
      </c>
      <c r="E31" s="76">
        <f>VLOOKUP(G31,[1]NUTS_Europa!$A$2:$C$81,3,FALSE)</f>
        <v>283</v>
      </c>
      <c r="F31" s="76">
        <v>21</v>
      </c>
      <c r="G31" s="76">
        <v>23</v>
      </c>
      <c r="H31" s="76">
        <v>1266645.5809649231</v>
      </c>
      <c r="I31" s="76">
        <v>1210620.3851138635</v>
      </c>
      <c r="J31" s="76">
        <v>156784.57749147405</v>
      </c>
      <c r="K31" s="76">
        <v>30.871282051282051</v>
      </c>
      <c r="L31" s="76">
        <v>7.2752089305235099</v>
      </c>
      <c r="M31" s="76">
        <v>13.078361323091983</v>
      </c>
      <c r="N31" s="76">
        <v>2344.8291581632657</v>
      </c>
    </row>
    <row r="32" spans="2:14" s="76" customFormat="1" x14ac:dyDescent="0.25">
      <c r="B32" s="76" t="str">
        <f>VLOOKUP(F32,[1]NUTS_Europa!$A$2:$C$81,2,FALSE)</f>
        <v>FRE1</v>
      </c>
      <c r="C32" s="76">
        <f>VLOOKUP(F32,[1]NUTS_Europa!$A$2:$C$81,3,FALSE)</f>
        <v>220</v>
      </c>
      <c r="D32" s="76" t="str">
        <f>VLOOKUP(G32,[1]NUTS_Europa!$A$2:$C$81,2,FALSE)</f>
        <v>FRI3</v>
      </c>
      <c r="E32" s="76">
        <f>VLOOKUP(G32,[1]NUTS_Europa!$A$2:$C$81,3,FALSE)</f>
        <v>283</v>
      </c>
      <c r="F32" s="76">
        <v>21</v>
      </c>
      <c r="G32" s="76">
        <v>25</v>
      </c>
      <c r="H32" s="76">
        <v>698614.23464360938</v>
      </c>
      <c r="I32" s="76">
        <v>1210620.3851138635</v>
      </c>
      <c r="J32" s="76">
        <v>117061.71481038857</v>
      </c>
      <c r="K32" s="76">
        <v>30.871282051282051</v>
      </c>
      <c r="L32" s="76">
        <v>7.2752089305235099</v>
      </c>
      <c r="M32" s="76">
        <v>13.078361323091983</v>
      </c>
      <c r="N32" s="76">
        <v>2344.8291581632657</v>
      </c>
    </row>
    <row r="33" spans="2:14" s="76" customFormat="1" x14ac:dyDescent="0.25">
      <c r="B33" s="76" t="str">
        <f>VLOOKUP(F33,[1]NUTS_Europa!$A$2:$C$81,2,FALSE)</f>
        <v>FRJ1</v>
      </c>
      <c r="C33" s="76">
        <f>VLOOKUP(F33,[1]NUTS_Europa!$A$2:$C$81,3,FALSE)</f>
        <v>1063</v>
      </c>
      <c r="D33" s="76" t="str">
        <f>VLOOKUP(G33,[1]NUTS_Europa!$A$2:$C$81,2,FALSE)</f>
        <v>FRJ2</v>
      </c>
      <c r="E33" s="76">
        <f>VLOOKUP(G33,[1]NUTS_Europa!$A$2:$C$81,3,FALSE)</f>
        <v>283</v>
      </c>
      <c r="F33" s="76">
        <v>26</v>
      </c>
      <c r="G33" s="76">
        <v>28</v>
      </c>
      <c r="H33" s="76">
        <v>2392976.3029271034</v>
      </c>
      <c r="I33" s="76">
        <v>5570880.4666000344</v>
      </c>
      <c r="J33" s="76">
        <v>142841.86171918266</v>
      </c>
      <c r="K33" s="76">
        <v>79.166000000000011</v>
      </c>
      <c r="L33" s="76">
        <v>7.4268229736588314</v>
      </c>
      <c r="M33" s="76">
        <v>12.347610163397219</v>
      </c>
      <c r="N33" s="76">
        <v>2344.8291581632657</v>
      </c>
    </row>
    <row r="34" spans="2:14" s="76" customFormat="1" x14ac:dyDescent="0.25">
      <c r="B34" s="76" t="str">
        <f>VLOOKUP(F34,[1]NUTS_Europa!$A$2:$C$81,2,FALSE)</f>
        <v>FRJ1</v>
      </c>
      <c r="C34" s="76">
        <f>VLOOKUP(F34,[1]NUTS_Europa!$A$2:$C$81,3,FALSE)</f>
        <v>1063</v>
      </c>
      <c r="D34" s="76" t="str">
        <f>VLOOKUP(G34,[1]NUTS_Europa!$A$2:$C$81,2,FALSE)</f>
        <v>PT17</v>
      </c>
      <c r="E34" s="76">
        <f>VLOOKUP(G34,[1]NUTS_Europa!$A$2:$C$81,3,FALSE)</f>
        <v>294</v>
      </c>
      <c r="F34" s="76">
        <v>26</v>
      </c>
      <c r="G34" s="76">
        <v>39</v>
      </c>
      <c r="H34" s="76">
        <v>1491107.6623920791</v>
      </c>
      <c r="I34" s="76">
        <v>5059678.4890053226</v>
      </c>
      <c r="J34" s="76">
        <v>137713.62258431225</v>
      </c>
      <c r="K34" s="76">
        <v>41.743589743589745</v>
      </c>
      <c r="L34" s="76">
        <v>9.0795770273485203</v>
      </c>
      <c r="M34" s="76">
        <v>14.314893747210476</v>
      </c>
      <c r="N34" s="76">
        <v>2825.2662764782135</v>
      </c>
    </row>
    <row r="35" spans="2:14" s="76" customFormat="1" x14ac:dyDescent="0.25">
      <c r="B35" s="76" t="str">
        <f>VLOOKUP(F35,[1]NUTS_Europa!$A$2:$C$81,2,FALSE)</f>
        <v>FRF2</v>
      </c>
      <c r="C35" s="76">
        <f>VLOOKUP(F35,[1]NUTS_Europa!$A$2:$C$81,3,FALSE)</f>
        <v>269</v>
      </c>
      <c r="D35" s="76" t="str">
        <f>VLOOKUP(G35,[1]NUTS_Europa!$A$2:$C$81,2,FALSE)</f>
        <v>FRJ2</v>
      </c>
      <c r="E35" s="76">
        <f>VLOOKUP(G35,[1]NUTS_Europa!$A$2:$C$81,3,FALSE)</f>
        <v>283</v>
      </c>
      <c r="F35" s="76">
        <v>27</v>
      </c>
      <c r="G35" s="76">
        <v>28</v>
      </c>
      <c r="H35" s="76">
        <v>1947814.0373826975</v>
      </c>
      <c r="I35" s="76">
        <v>1210680.4219483074</v>
      </c>
      <c r="J35" s="76">
        <v>176841.96373917855</v>
      </c>
      <c r="K35" s="76">
        <v>23.743589743589745</v>
      </c>
      <c r="L35" s="76">
        <v>9.2346160534042276</v>
      </c>
      <c r="M35" s="76">
        <v>14.508624423727444</v>
      </c>
      <c r="N35" s="76">
        <v>2344.8291581632657</v>
      </c>
    </row>
    <row r="36" spans="2:14" s="76" customFormat="1" x14ac:dyDescent="0.25">
      <c r="B36" s="76" t="str">
        <f>VLOOKUP(F36,[1]NUTS_Europa!$A$2:$C$81,2,FALSE)</f>
        <v>FRF2</v>
      </c>
      <c r="C36" s="76">
        <f>VLOOKUP(F36,[1]NUTS_Europa!$A$2:$C$81,3,FALSE)</f>
        <v>269</v>
      </c>
      <c r="D36" s="76" t="str">
        <f>VLOOKUP(G36,[1]NUTS_Europa!$A$2:$C$81,2,FALSE)</f>
        <v>FRG0</v>
      </c>
      <c r="E36" s="76">
        <f>VLOOKUP(G36,[1]NUTS_Europa!$A$2:$C$81,3,FALSE)</f>
        <v>283</v>
      </c>
      <c r="F36" s="76">
        <v>27</v>
      </c>
      <c r="G36" s="76">
        <v>62</v>
      </c>
      <c r="H36" s="76">
        <v>1399794.635511728</v>
      </c>
      <c r="I36" s="76">
        <v>1210680.4219483074</v>
      </c>
      <c r="J36" s="76">
        <v>141512.315270936</v>
      </c>
      <c r="K36" s="76">
        <v>23.743589743589745</v>
      </c>
      <c r="L36" s="76">
        <v>9.2346160534042276</v>
      </c>
      <c r="M36" s="76">
        <v>14.508624423727444</v>
      </c>
      <c r="N36" s="76">
        <v>2344.8291581632657</v>
      </c>
    </row>
    <row r="37" spans="2:14" s="76" customFormat="1" x14ac:dyDescent="0.25">
      <c r="B37" s="76" t="str">
        <f>VLOOKUP(F37,[1]NUTS_Europa!$A$2:$C$81,2,FALSE)</f>
        <v>FRI2</v>
      </c>
      <c r="C37" s="76">
        <f>VLOOKUP(F37,[1]NUTS_Europa!$A$2:$C$81,3,FALSE)</f>
        <v>269</v>
      </c>
      <c r="D37" s="76" t="str">
        <f>VLOOKUP(G37,[1]NUTS_Europa!$A$2:$C$81,2,FALSE)</f>
        <v>PT11</v>
      </c>
      <c r="E37" s="76">
        <f>VLOOKUP(G37,[1]NUTS_Europa!$A$2:$C$81,3,FALSE)</f>
        <v>111</v>
      </c>
      <c r="F37" s="76">
        <v>29</v>
      </c>
      <c r="G37" s="76">
        <v>36</v>
      </c>
      <c r="H37" s="76">
        <v>1519464.1826084547</v>
      </c>
      <c r="I37" s="76">
        <v>1499403.1764362748</v>
      </c>
      <c r="J37" s="76">
        <v>114346.85142443764</v>
      </c>
      <c r="K37" s="76">
        <v>40.87025641025641</v>
      </c>
      <c r="L37" s="76">
        <v>11.450877385334255</v>
      </c>
      <c r="M37" s="76">
        <v>18.046595086750624</v>
      </c>
      <c r="N37" s="76">
        <v>3013.6173615767602</v>
      </c>
    </row>
    <row r="38" spans="2:14" s="76" customFormat="1" x14ac:dyDescent="0.25">
      <c r="B38" s="76" t="str">
        <f>VLOOKUP(F38,[1]NUTS_Europa!$A$2:$C$81,2,FALSE)</f>
        <v>FRI2</v>
      </c>
      <c r="C38" s="76">
        <f>VLOOKUP(F38,[1]NUTS_Europa!$A$2:$C$81,3,FALSE)</f>
        <v>269</v>
      </c>
      <c r="D38" s="76" t="str">
        <f>VLOOKUP(G38,[1]NUTS_Europa!$A$2:$C$81,2,FALSE)</f>
        <v>FRG0</v>
      </c>
      <c r="E38" s="76">
        <f>VLOOKUP(G38,[1]NUTS_Europa!$A$2:$C$81,3,FALSE)</f>
        <v>283</v>
      </c>
      <c r="F38" s="76">
        <v>29</v>
      </c>
      <c r="G38" s="76">
        <v>62</v>
      </c>
      <c r="H38" s="76">
        <v>1412109.6782504013</v>
      </c>
      <c r="I38" s="76">
        <v>1210680.4219483074</v>
      </c>
      <c r="J38" s="76">
        <v>118487.95435333898</v>
      </c>
      <c r="K38" s="76">
        <v>23.743589743589745</v>
      </c>
      <c r="L38" s="76">
        <v>9.2346160534042276</v>
      </c>
      <c r="M38" s="76">
        <v>14.508624423727444</v>
      </c>
      <c r="N38" s="76">
        <v>2344.8291581632657</v>
      </c>
    </row>
    <row r="39" spans="2:14" s="76" customFormat="1" x14ac:dyDescent="0.25">
      <c r="B39" s="76" t="str">
        <f>VLOOKUP(F39,[1]NUTS_Europa!$A$2:$C$81,2,FALSE)</f>
        <v>NL11</v>
      </c>
      <c r="C39" s="76">
        <f>VLOOKUP(F39,[1]NUTS_Europa!$A$2:$C$81,3,FALSE)</f>
        <v>245</v>
      </c>
      <c r="D39" s="76" t="str">
        <f>VLOOKUP(G39,[1]NUTS_Europa!$A$2:$C$81,2,FALSE)</f>
        <v>FRD2</v>
      </c>
      <c r="E39" s="76">
        <f>VLOOKUP(G39,[1]NUTS_Europa!$A$2:$C$81,3,FALSE)</f>
        <v>271</v>
      </c>
      <c r="F39" s="76">
        <v>30</v>
      </c>
      <c r="G39" s="76">
        <v>60</v>
      </c>
      <c r="H39" s="76">
        <v>1367689.7186719775</v>
      </c>
      <c r="I39" s="76">
        <v>8638308.4409727789</v>
      </c>
      <c r="J39" s="76">
        <v>199597.7643046609</v>
      </c>
      <c r="K39" s="76">
        <v>143.43589743589743</v>
      </c>
      <c r="L39" s="76">
        <v>11.286937854090564</v>
      </c>
      <c r="M39" s="76">
        <v>2.4842103423888169</v>
      </c>
      <c r="N39" s="76">
        <v>359.51162790697668</v>
      </c>
    </row>
    <row r="40" spans="2:14" s="76" customFormat="1" x14ac:dyDescent="0.25">
      <c r="B40" s="76" t="str">
        <f>VLOOKUP(F40,[1]NUTS_Europa!$A$2:$C$81,2,FALSE)</f>
        <v>NL11</v>
      </c>
      <c r="C40" s="76">
        <f>VLOOKUP(F40,[1]NUTS_Europa!$A$2:$C$81,3,FALSE)</f>
        <v>245</v>
      </c>
      <c r="D40" s="76" t="str">
        <f>VLOOKUP(G40,[1]NUTS_Europa!$A$2:$C$81,2,FALSE)</f>
        <v>FRI2</v>
      </c>
      <c r="E40" s="76">
        <f>VLOOKUP(G40,[1]NUTS_Europa!$A$2:$C$81,3,FALSE)</f>
        <v>275</v>
      </c>
      <c r="F40" s="76">
        <v>30</v>
      </c>
      <c r="G40" s="76">
        <v>69</v>
      </c>
      <c r="H40" s="76">
        <v>873370.09480127867</v>
      </c>
      <c r="I40" s="76">
        <v>9086818.1153025534</v>
      </c>
      <c r="J40" s="76">
        <v>145277.79316174539</v>
      </c>
      <c r="K40" s="76">
        <v>61.025641025641029</v>
      </c>
      <c r="L40" s="76">
        <v>14.548888300469667</v>
      </c>
      <c r="M40" s="76">
        <v>1.4833541879346264</v>
      </c>
      <c r="N40" s="76">
        <v>214.6690518783542</v>
      </c>
    </row>
    <row r="41" spans="2:14" s="76" customFormat="1" x14ac:dyDescent="0.25">
      <c r="B41" s="76" t="str">
        <f>VLOOKUP(F41,[1]NUTS_Europa!$A$2:$C$81,2,FALSE)</f>
        <v>NL33</v>
      </c>
      <c r="C41" s="76">
        <f>VLOOKUP(F41,[1]NUTS_Europa!$A$2:$C$81,3,FALSE)</f>
        <v>250</v>
      </c>
      <c r="D41" s="76" t="str">
        <f>VLOOKUP(G41,[1]NUTS_Europa!$A$2:$C$81,2,FALSE)</f>
        <v>PT18</v>
      </c>
      <c r="E41" s="76">
        <f>VLOOKUP(G41,[1]NUTS_Europa!$A$2:$C$81,3,FALSE)</f>
        <v>1065</v>
      </c>
      <c r="F41" s="76">
        <v>33</v>
      </c>
      <c r="G41" s="76">
        <v>40</v>
      </c>
      <c r="H41" s="76">
        <v>2391921.6797739128</v>
      </c>
      <c r="I41" s="76">
        <v>1830529.7241048366</v>
      </c>
      <c r="J41" s="76">
        <v>137713.62258431225</v>
      </c>
      <c r="K41" s="76">
        <v>59.782564102564102</v>
      </c>
      <c r="L41" s="76">
        <v>10.372478325853802</v>
      </c>
      <c r="M41" s="76">
        <v>45.245059093132895</v>
      </c>
      <c r="N41" s="76">
        <v>7555.5136552455588</v>
      </c>
    </row>
    <row r="42" spans="2:14" s="76" customFormat="1" x14ac:dyDescent="0.25">
      <c r="B42" s="76" t="str">
        <f>VLOOKUP(F42,[1]NUTS_Europa!$A$2:$C$81,2,FALSE)</f>
        <v>NL33</v>
      </c>
      <c r="C42" s="76">
        <f>VLOOKUP(F42,[1]NUTS_Europa!$A$2:$C$81,3,FALSE)</f>
        <v>250</v>
      </c>
      <c r="D42" s="76" t="str">
        <f>VLOOKUP(G42,[1]NUTS_Europa!$A$2:$C$81,2,FALSE)</f>
        <v>NL11</v>
      </c>
      <c r="E42" s="76">
        <f>VLOOKUP(G42,[1]NUTS_Europa!$A$2:$C$81,3,FALSE)</f>
        <v>218</v>
      </c>
      <c r="F42" s="76">
        <v>33</v>
      </c>
      <c r="G42" s="76">
        <v>70</v>
      </c>
      <c r="H42" s="76">
        <v>1952115.0801900036</v>
      </c>
      <c r="I42" s="76">
        <v>1048369.8267615541</v>
      </c>
      <c r="J42" s="76">
        <v>135416.16142478216</v>
      </c>
      <c r="K42" s="76">
        <v>3.4871794871794872</v>
      </c>
      <c r="L42" s="76">
        <v>9.4119179413150054</v>
      </c>
      <c r="M42" s="76">
        <v>30.82988255848452</v>
      </c>
      <c r="N42" s="76">
        <v>5443.4838411041892</v>
      </c>
    </row>
    <row r="43" spans="2:14" s="76" customFormat="1" x14ac:dyDescent="0.25">
      <c r="B43" s="76" t="str">
        <f>VLOOKUP(F43,[1]NUTS_Europa!$A$2:$C$81,2,FALSE)</f>
        <v>NL34</v>
      </c>
      <c r="C43" s="76">
        <f>VLOOKUP(F43,[1]NUTS_Europa!$A$2:$C$81,3,FALSE)</f>
        <v>250</v>
      </c>
      <c r="D43" s="76" t="str">
        <f>VLOOKUP(G43,[1]NUTS_Europa!$A$2:$C$81,2,FALSE)</f>
        <v>PT11</v>
      </c>
      <c r="E43" s="76">
        <f>VLOOKUP(G43,[1]NUTS_Europa!$A$2:$C$81,3,FALSE)</f>
        <v>111</v>
      </c>
      <c r="F43" s="76">
        <v>34</v>
      </c>
      <c r="G43" s="76">
        <v>36</v>
      </c>
      <c r="H43" s="76">
        <v>1317440.4719074205</v>
      </c>
      <c r="I43" s="76">
        <v>1677098.8760671082</v>
      </c>
      <c r="J43" s="76">
        <v>176841.96373917855</v>
      </c>
      <c r="K43" s="76">
        <v>49.426666666666669</v>
      </c>
      <c r="L43" s="76">
        <v>12.327004566891045</v>
      </c>
      <c r="M43" s="76">
        <v>18.046595086750624</v>
      </c>
      <c r="N43" s="76">
        <v>3013.6173615767602</v>
      </c>
    </row>
    <row r="44" spans="2:14" s="76" customFormat="1" x14ac:dyDescent="0.25">
      <c r="B44" s="76" t="str">
        <f>VLOOKUP(F44,[1]NUTS_Europa!$A$2:$C$81,2,FALSE)</f>
        <v>NL34</v>
      </c>
      <c r="C44" s="76">
        <f>VLOOKUP(F44,[1]NUTS_Europa!$A$2:$C$81,3,FALSE)</f>
        <v>250</v>
      </c>
      <c r="D44" s="76" t="str">
        <f>VLOOKUP(G44,[1]NUTS_Europa!$A$2:$C$81,2,FALSE)</f>
        <v>PT16</v>
      </c>
      <c r="E44" s="76">
        <f>VLOOKUP(G44,[1]NUTS_Europa!$A$2:$C$81,3,FALSE)</f>
        <v>111</v>
      </c>
      <c r="F44" s="76">
        <v>34</v>
      </c>
      <c r="G44" s="76">
        <v>38</v>
      </c>
      <c r="H44" s="76">
        <v>1218518.4820136633</v>
      </c>
      <c r="I44" s="76">
        <v>1677098.8760671082</v>
      </c>
      <c r="J44" s="76">
        <v>199058.85825050285</v>
      </c>
      <c r="K44" s="76">
        <v>49.426666666666669</v>
      </c>
      <c r="L44" s="76">
        <v>12.327004566891045</v>
      </c>
      <c r="M44" s="76">
        <v>18.046595086750624</v>
      </c>
      <c r="N44" s="76">
        <v>3013.6173615767602</v>
      </c>
    </row>
    <row r="45" spans="2:14" s="76" customFormat="1" x14ac:dyDescent="0.25">
      <c r="B45" s="76" t="str">
        <f>VLOOKUP(F45,[1]NUTS_Europa!$A$2:$C$81,2,FALSE)</f>
        <v>NL41</v>
      </c>
      <c r="C45" s="76">
        <f>VLOOKUP(F45,[1]NUTS_Europa!$A$2:$C$81,3,FALSE)</f>
        <v>253</v>
      </c>
      <c r="D45" s="76" t="str">
        <f>VLOOKUP(G45,[1]NUTS_Europa!$A$2:$C$81,2,FALSE)</f>
        <v>PT16</v>
      </c>
      <c r="E45" s="76">
        <f>VLOOKUP(G45,[1]NUTS_Europa!$A$2:$C$81,3,FALSE)</f>
        <v>111</v>
      </c>
      <c r="F45" s="76">
        <v>35</v>
      </c>
      <c r="G45" s="76">
        <v>38</v>
      </c>
      <c r="H45" s="76">
        <v>926298.45366240968</v>
      </c>
      <c r="I45" s="76">
        <v>1584866.4512864437</v>
      </c>
      <c r="J45" s="76">
        <v>122072.63094995193</v>
      </c>
      <c r="K45" s="76">
        <v>49.48205128205128</v>
      </c>
      <c r="L45" s="76">
        <v>11.88099308191785</v>
      </c>
      <c r="M45" s="76">
        <v>18.046595086750624</v>
      </c>
      <c r="N45" s="76">
        <v>3013.6173615767602</v>
      </c>
    </row>
    <row r="46" spans="2:14" s="76" customFormat="1" x14ac:dyDescent="0.25">
      <c r="B46" s="76" t="str">
        <f>VLOOKUP(F46,[1]NUTS_Europa!$A$2:$C$81,2,FALSE)</f>
        <v>NL41</v>
      </c>
      <c r="C46" s="76">
        <f>VLOOKUP(F46,[1]NUTS_Europa!$A$2:$C$81,3,FALSE)</f>
        <v>253</v>
      </c>
      <c r="D46" s="76" t="str">
        <f>VLOOKUP(G46,[1]NUTS_Europa!$A$2:$C$81,2,FALSE)</f>
        <v>PT18</v>
      </c>
      <c r="E46" s="76">
        <f>VLOOKUP(G46,[1]NUTS_Europa!$A$2:$C$81,3,FALSE)</f>
        <v>1065</v>
      </c>
      <c r="F46" s="76">
        <v>35</v>
      </c>
      <c r="G46" s="76">
        <v>40</v>
      </c>
      <c r="H46" s="76">
        <v>2484666.1135778977</v>
      </c>
      <c r="I46" s="76">
        <v>1748864.1945082347</v>
      </c>
      <c r="J46" s="76">
        <v>120437.35243536306</v>
      </c>
      <c r="K46" s="76">
        <v>59.782923076923076</v>
      </c>
      <c r="L46" s="76">
        <v>9.9264668408806092</v>
      </c>
      <c r="M46" s="76">
        <v>45.245059093132895</v>
      </c>
      <c r="N46" s="76">
        <v>7555.5136552455588</v>
      </c>
    </row>
    <row r="47" spans="2:14" s="76" customFormat="1" x14ac:dyDescent="0.25">
      <c r="B47" s="76" t="str">
        <f>VLOOKUP(F47,[1]NUTS_Europa!$A$2:$C$81,2,FALSE)</f>
        <v>BE21</v>
      </c>
      <c r="C47" s="76">
        <f>VLOOKUP(F47,[1]NUTS_Europa!$A$2:$C$81,3,FALSE)</f>
        <v>250</v>
      </c>
      <c r="D47" s="76" t="str">
        <f>VLOOKUP(G47,[1]NUTS_Europa!$A$2:$C$81,2,FALSE)</f>
        <v>FRE1</v>
      </c>
      <c r="E47" s="76">
        <f>VLOOKUP(G47,[1]NUTS_Europa!$A$2:$C$81,3,FALSE)</f>
        <v>235</v>
      </c>
      <c r="F47" s="76">
        <v>41</v>
      </c>
      <c r="G47" s="76">
        <v>61</v>
      </c>
      <c r="H47" s="76">
        <v>658018.2917651874</v>
      </c>
      <c r="I47" s="76">
        <v>1017656.1145928499</v>
      </c>
      <c r="J47" s="76">
        <v>142392.8717171422</v>
      </c>
      <c r="K47" s="76">
        <v>7.2307692307692308</v>
      </c>
      <c r="L47" s="76">
        <v>11.003136185954922</v>
      </c>
      <c r="M47" s="76">
        <v>10.958172373944803</v>
      </c>
      <c r="N47" s="76">
        <v>1827.1881523429399</v>
      </c>
    </row>
    <row r="48" spans="2:14" s="76" customFormat="1" x14ac:dyDescent="0.25">
      <c r="B48" s="76" t="str">
        <f>VLOOKUP(F48,[1]NUTS_Europa!$A$2:$C$81,2,FALSE)</f>
        <v>BE21</v>
      </c>
      <c r="C48" s="76">
        <f>VLOOKUP(F48,[1]NUTS_Europa!$A$2:$C$81,3,FALSE)</f>
        <v>250</v>
      </c>
      <c r="D48" s="76" t="str">
        <f>VLOOKUP(G48,[1]NUTS_Europa!$A$2:$C$81,2,FALSE)</f>
        <v>FRF2</v>
      </c>
      <c r="E48" s="76">
        <f>VLOOKUP(G48,[1]NUTS_Europa!$A$2:$C$81,3,FALSE)</f>
        <v>235</v>
      </c>
      <c r="F48" s="76">
        <v>41</v>
      </c>
      <c r="G48" s="76">
        <v>67</v>
      </c>
      <c r="H48" s="76">
        <v>1253954.2459013152</v>
      </c>
      <c r="I48" s="76">
        <v>1017656.1145928499</v>
      </c>
      <c r="J48" s="76">
        <v>156784.57749147405</v>
      </c>
      <c r="K48" s="76">
        <v>7.2307692307692308</v>
      </c>
      <c r="L48" s="76">
        <v>11.003136185954922</v>
      </c>
      <c r="M48" s="76">
        <v>10.958172373944803</v>
      </c>
      <c r="N48" s="76">
        <v>1827.1881523429399</v>
      </c>
    </row>
    <row r="49" spans="2:14" s="76" customFormat="1" x14ac:dyDescent="0.25">
      <c r="B49" s="76" t="str">
        <f>VLOOKUP(F49,[1]NUTS_Europa!$A$2:$C$81,2,FALSE)</f>
        <v>BE23</v>
      </c>
      <c r="C49" s="76">
        <f>VLOOKUP(F49,[1]NUTS_Europa!$A$2:$C$81,3,FALSE)</f>
        <v>220</v>
      </c>
      <c r="D49" s="76" t="str">
        <f>VLOOKUP(G49,[1]NUTS_Europa!$A$2:$C$81,2,FALSE)</f>
        <v>ES12</v>
      </c>
      <c r="E49" s="76">
        <f>VLOOKUP(G49,[1]NUTS_Europa!$A$2:$C$81,3,FALSE)</f>
        <v>163</v>
      </c>
      <c r="F49" s="76">
        <v>42</v>
      </c>
      <c r="G49" s="76">
        <v>52</v>
      </c>
      <c r="H49" s="76">
        <v>1456265.8346192527</v>
      </c>
      <c r="I49" s="76">
        <v>1389267.0034295968</v>
      </c>
      <c r="J49" s="76">
        <v>137713.62258431225</v>
      </c>
      <c r="K49" s="76">
        <v>37.435897435897438</v>
      </c>
      <c r="L49" s="76">
        <v>13.695854471989193</v>
      </c>
      <c r="M49" s="76">
        <v>18.221001299515166</v>
      </c>
      <c r="N49" s="76">
        <v>2892.2254025044726</v>
      </c>
    </row>
    <row r="50" spans="2:14" s="76" customFormat="1" x14ac:dyDescent="0.25">
      <c r="B50" s="76" t="str">
        <f>VLOOKUP(F50,[1]NUTS_Europa!$A$2:$C$81,2,FALSE)</f>
        <v>BE23</v>
      </c>
      <c r="C50" s="76">
        <f>VLOOKUP(F50,[1]NUTS_Europa!$A$2:$C$81,3,FALSE)</f>
        <v>220</v>
      </c>
      <c r="D50" s="76" t="str">
        <f>VLOOKUP(G50,[1]NUTS_Europa!$A$2:$C$81,2,FALSE)</f>
        <v>FRJ2</v>
      </c>
      <c r="E50" s="76">
        <f>VLOOKUP(G50,[1]NUTS_Europa!$A$2:$C$81,3,FALSE)</f>
        <v>163</v>
      </c>
      <c r="F50" s="76">
        <v>42</v>
      </c>
      <c r="G50" s="76">
        <v>68</v>
      </c>
      <c r="H50" s="76">
        <v>2417031.2988518104</v>
      </c>
      <c r="I50" s="76">
        <v>1389267.0034295968</v>
      </c>
      <c r="J50" s="76">
        <v>156784.57749147405</v>
      </c>
      <c r="K50" s="76">
        <v>37.435897435897438</v>
      </c>
      <c r="L50" s="76">
        <v>13.695854471989193</v>
      </c>
      <c r="M50" s="76">
        <v>18.221001299515166</v>
      </c>
      <c r="N50" s="76">
        <v>2892.2254025044726</v>
      </c>
    </row>
    <row r="51" spans="2:14" s="76" customFormat="1" x14ac:dyDescent="0.25">
      <c r="B51" s="76" t="str">
        <f>VLOOKUP(F51,[1]NUTS_Europa!$A$2:$C$81,2,FALSE)</f>
        <v>BE25</v>
      </c>
      <c r="C51" s="76">
        <f>VLOOKUP(F51,[1]NUTS_Europa!$A$2:$C$81,3,FALSE)</f>
        <v>220</v>
      </c>
      <c r="D51" s="76" t="str">
        <f>VLOOKUP(G51,[1]NUTS_Europa!$A$2:$C$81,2,FALSE)</f>
        <v>FRD1</v>
      </c>
      <c r="E51" s="76">
        <f>VLOOKUP(G51,[1]NUTS_Europa!$A$2:$C$81,3,FALSE)</f>
        <v>269</v>
      </c>
      <c r="F51" s="76">
        <v>43</v>
      </c>
      <c r="G51" s="76">
        <v>59</v>
      </c>
      <c r="H51" s="76">
        <v>4232837.4788314467</v>
      </c>
      <c r="I51" s="76">
        <v>1006369.5534397762</v>
      </c>
      <c r="J51" s="76">
        <v>199058.85825050285</v>
      </c>
      <c r="K51" s="76">
        <v>9.281538461538462</v>
      </c>
      <c r="L51" s="76">
        <v>9.1618570264339638</v>
      </c>
      <c r="M51" s="76">
        <v>103.79774657649504</v>
      </c>
      <c r="N51" s="76">
        <v>16475.849731663686</v>
      </c>
    </row>
    <row r="52" spans="2:14" s="76" customFormat="1" x14ac:dyDescent="0.25">
      <c r="B52" s="76" t="str">
        <f>VLOOKUP(F52,[1]NUTS_Europa!$A$2:$C$81,2,FALSE)</f>
        <v>BE25</v>
      </c>
      <c r="C52" s="76">
        <f>VLOOKUP(F52,[1]NUTS_Europa!$A$2:$C$81,3,FALSE)</f>
        <v>220</v>
      </c>
      <c r="D52" s="76" t="str">
        <f>VLOOKUP(G52,[1]NUTS_Europa!$A$2:$C$81,2,FALSE)</f>
        <v>PT18</v>
      </c>
      <c r="E52" s="76">
        <f>VLOOKUP(G52,[1]NUTS_Europa!$A$2:$C$81,3,FALSE)</f>
        <v>61</v>
      </c>
      <c r="F52" s="76">
        <v>43</v>
      </c>
      <c r="G52" s="76">
        <v>80</v>
      </c>
      <c r="H52" s="76">
        <v>11692365.699720269</v>
      </c>
      <c r="I52" s="76">
        <v>1783944.226474572</v>
      </c>
      <c r="J52" s="76">
        <v>117768.50934211678</v>
      </c>
      <c r="K52" s="76">
        <v>69.418974358974367</v>
      </c>
      <c r="L52" s="76">
        <v>8.3674627140526177</v>
      </c>
      <c r="M52" s="76">
        <v>87.377887414160924</v>
      </c>
      <c r="N52" s="76">
        <v>17378.68458416584</v>
      </c>
    </row>
    <row r="53" spans="2:14" s="76" customFormat="1" x14ac:dyDescent="0.25">
      <c r="B53" s="76" t="str">
        <f>VLOOKUP(F53,[1]NUTS_Europa!$A$2:$C$81,2,FALSE)</f>
        <v>DE50</v>
      </c>
      <c r="C53" s="76">
        <f>VLOOKUP(F53,[1]NUTS_Europa!$A$2:$C$81,3,FALSE)</f>
        <v>1069</v>
      </c>
      <c r="D53" s="76" t="str">
        <f>VLOOKUP(G53,[1]NUTS_Europa!$A$2:$C$81,2,FALSE)</f>
        <v>ES12</v>
      </c>
      <c r="E53" s="76">
        <f>VLOOKUP(G53,[1]NUTS_Europa!$A$2:$C$81,3,FALSE)</f>
        <v>163</v>
      </c>
      <c r="F53" s="76">
        <v>44</v>
      </c>
      <c r="G53" s="76">
        <v>52</v>
      </c>
      <c r="H53" s="76">
        <v>1593862.1571444965</v>
      </c>
      <c r="I53" s="76">
        <v>1682252.7033484408</v>
      </c>
      <c r="J53" s="76">
        <v>120125.80522925351</v>
      </c>
      <c r="K53" s="76">
        <v>53.746153846153845</v>
      </c>
      <c r="L53" s="76">
        <v>16.560494611719086</v>
      </c>
      <c r="M53" s="76">
        <v>17.319657566381824</v>
      </c>
      <c r="N53" s="76">
        <v>2892.2254025044726</v>
      </c>
    </row>
    <row r="54" spans="2:14" s="76" customFormat="1" x14ac:dyDescent="0.25">
      <c r="B54" s="76" t="str">
        <f>VLOOKUP(F54,[1]NUTS_Europa!$A$2:$C$81,2,FALSE)</f>
        <v>DE50</v>
      </c>
      <c r="C54" s="76">
        <f>VLOOKUP(F54,[1]NUTS_Europa!$A$2:$C$81,3,FALSE)</f>
        <v>1069</v>
      </c>
      <c r="D54" s="76" t="str">
        <f>VLOOKUP(G54,[1]NUTS_Europa!$A$2:$C$81,2,FALSE)</f>
        <v>NL11</v>
      </c>
      <c r="E54" s="76">
        <f>VLOOKUP(G54,[1]NUTS_Europa!$A$2:$C$81,3,FALSE)</f>
        <v>218</v>
      </c>
      <c r="F54" s="76">
        <v>44</v>
      </c>
      <c r="G54" s="76">
        <v>70</v>
      </c>
      <c r="H54" s="76">
        <v>2200837.4465647996</v>
      </c>
      <c r="I54" s="76">
        <v>1119968.8998791594</v>
      </c>
      <c r="J54" s="76">
        <v>120437.35243536306</v>
      </c>
      <c r="K54" s="76">
        <v>13.844615384615386</v>
      </c>
      <c r="L54" s="76">
        <v>9.4410237766073877</v>
      </c>
      <c r="M54" s="76">
        <v>25.813122098324705</v>
      </c>
      <c r="N54" s="76">
        <v>5443.4838411041892</v>
      </c>
    </row>
    <row r="55" spans="2:14" s="76" customFormat="1" x14ac:dyDescent="0.25">
      <c r="B55" s="76" t="str">
        <f>VLOOKUP(F55,[1]NUTS_Europa!$A$2:$C$81,2,FALSE)</f>
        <v>DE60</v>
      </c>
      <c r="C55" s="76">
        <f>VLOOKUP(F55,[1]NUTS_Europa!$A$2:$C$81,3,FALSE)</f>
        <v>245</v>
      </c>
      <c r="D55" s="76" t="str">
        <f>VLOOKUP(G55,[1]NUTS_Europa!$A$2:$C$81,2,FALSE)</f>
        <v>FRD2</v>
      </c>
      <c r="E55" s="76">
        <f>VLOOKUP(G55,[1]NUTS_Europa!$A$2:$C$81,3,FALSE)</f>
        <v>271</v>
      </c>
      <c r="F55" s="76">
        <v>45</v>
      </c>
      <c r="G55" s="76">
        <v>60</v>
      </c>
      <c r="H55" s="76">
        <v>1364385.4472998846</v>
      </c>
      <c r="I55" s="76">
        <v>8638308.4409727789</v>
      </c>
      <c r="J55" s="76">
        <v>141734.02658349604</v>
      </c>
      <c r="K55" s="76">
        <v>143.43589743589743</v>
      </c>
      <c r="L55" s="76">
        <v>11.286937854090564</v>
      </c>
      <c r="M55" s="76">
        <v>2.4842103423888169</v>
      </c>
      <c r="N55" s="76">
        <v>359.51162790697668</v>
      </c>
    </row>
    <row r="56" spans="2:14" s="76" customFormat="1" x14ac:dyDescent="0.25">
      <c r="B56" s="76" t="str">
        <f>VLOOKUP(F56,[1]NUTS_Europa!$A$2:$C$81,2,FALSE)</f>
        <v>DE60</v>
      </c>
      <c r="C56" s="76">
        <f>VLOOKUP(F56,[1]NUTS_Europa!$A$2:$C$81,3,FALSE)</f>
        <v>245</v>
      </c>
      <c r="D56" s="76" t="str">
        <f>VLOOKUP(G56,[1]NUTS_Europa!$A$2:$C$81,2,FALSE)</f>
        <v>FRI1</v>
      </c>
      <c r="E56" s="76">
        <f>VLOOKUP(G56,[1]NUTS_Europa!$A$2:$C$81,3,FALSE)</f>
        <v>275</v>
      </c>
      <c r="F56" s="76">
        <v>45</v>
      </c>
      <c r="G56" s="76">
        <v>64</v>
      </c>
      <c r="H56" s="76">
        <v>908602.65294081357</v>
      </c>
      <c r="I56" s="76">
        <v>9086818.1153025534</v>
      </c>
      <c r="J56" s="76">
        <v>176841.96373917855</v>
      </c>
      <c r="K56" s="76">
        <v>61.025641025641029</v>
      </c>
      <c r="L56" s="76">
        <v>14.548888300469667</v>
      </c>
      <c r="M56" s="76">
        <v>1.4833541879346264</v>
      </c>
      <c r="N56" s="76">
        <v>214.6690518783542</v>
      </c>
    </row>
    <row r="57" spans="2:14" s="76" customFormat="1" x14ac:dyDescent="0.25">
      <c r="B57" s="76" t="str">
        <f>VLOOKUP(F57,[1]NUTS_Europa!$A$2:$C$81,2,FALSE)</f>
        <v>DE80</v>
      </c>
      <c r="C57" s="76">
        <f>VLOOKUP(F57,[1]NUTS_Europa!$A$2:$C$81,3,FALSE)</f>
        <v>245</v>
      </c>
      <c r="D57" s="76" t="str">
        <f>VLOOKUP(G57,[1]NUTS_Europa!$A$2:$C$81,2,FALSE)</f>
        <v>ES11</v>
      </c>
      <c r="E57" s="76">
        <f>VLOOKUP(G57,[1]NUTS_Europa!$A$2:$C$81,3,FALSE)</f>
        <v>285</v>
      </c>
      <c r="F57" s="76">
        <v>46</v>
      </c>
      <c r="G57" s="76">
        <v>51</v>
      </c>
      <c r="H57" s="76">
        <v>59259.211635068961</v>
      </c>
      <c r="I57" s="76">
        <v>6938329.0771158198</v>
      </c>
      <c r="J57" s="76">
        <v>127001.21695280854</v>
      </c>
      <c r="K57" s="76">
        <v>51.586666666666666</v>
      </c>
      <c r="L57" s="76">
        <v>10.608893333158758</v>
      </c>
      <c r="M57" s="76">
        <v>9.347503527921551E-2</v>
      </c>
      <c r="N57" s="76">
        <v>15.60948133635801</v>
      </c>
    </row>
    <row r="58" spans="2:14" s="76" customFormat="1" x14ac:dyDescent="0.25">
      <c r="B58" s="76" t="str">
        <f>VLOOKUP(F58,[1]NUTS_Europa!$A$2:$C$81,2,FALSE)</f>
        <v>DE80</v>
      </c>
      <c r="C58" s="76">
        <f>VLOOKUP(F58,[1]NUTS_Europa!$A$2:$C$81,3,FALSE)</f>
        <v>245</v>
      </c>
      <c r="D58" s="76" t="str">
        <f>VLOOKUP(G58,[1]NUTS_Europa!$A$2:$C$81,2,FALSE)</f>
        <v>ES13</v>
      </c>
      <c r="E58" s="76">
        <f>VLOOKUP(G58,[1]NUTS_Europa!$A$2:$C$81,3,FALSE)</f>
        <v>285</v>
      </c>
      <c r="F58" s="76">
        <v>46</v>
      </c>
      <c r="G58" s="76">
        <v>53</v>
      </c>
      <c r="H58" s="76">
        <v>66002.148554304891</v>
      </c>
      <c r="I58" s="76">
        <v>6938329.0771158198</v>
      </c>
      <c r="J58" s="76">
        <v>117768.50934211678</v>
      </c>
      <c r="K58" s="76">
        <v>51.586666666666666</v>
      </c>
      <c r="L58" s="76">
        <v>10.608893333158758</v>
      </c>
      <c r="M58" s="76">
        <v>9.347503527921551E-2</v>
      </c>
      <c r="N58" s="76">
        <v>15.60948133635801</v>
      </c>
    </row>
    <row r="59" spans="2:14" s="76" customFormat="1" x14ac:dyDescent="0.25">
      <c r="B59" s="76" t="str">
        <f>VLOOKUP(F59,[1]NUTS_Europa!$A$2:$C$81,2,FALSE)</f>
        <v>DE93</v>
      </c>
      <c r="C59" s="76">
        <f>VLOOKUP(F59,[1]NUTS_Europa!$A$2:$C$81,3,FALSE)</f>
        <v>245</v>
      </c>
      <c r="D59" s="76" t="str">
        <f>VLOOKUP(G59,[1]NUTS_Europa!$A$2:$C$81,2,FALSE)</f>
        <v>FRI1</v>
      </c>
      <c r="E59" s="76">
        <f>VLOOKUP(G59,[1]NUTS_Europa!$A$2:$C$81,3,FALSE)</f>
        <v>275</v>
      </c>
      <c r="F59" s="76">
        <v>47</v>
      </c>
      <c r="G59" s="76">
        <v>64</v>
      </c>
      <c r="H59" s="76">
        <v>912830.55991755775</v>
      </c>
      <c r="I59" s="76">
        <v>9086818.1153025534</v>
      </c>
      <c r="J59" s="76">
        <v>154854.30087154222</v>
      </c>
      <c r="K59" s="76">
        <v>61.025641025641029</v>
      </c>
      <c r="L59" s="76">
        <v>14.548888300469667</v>
      </c>
      <c r="M59" s="76">
        <v>1.4833541879346264</v>
      </c>
      <c r="N59" s="76">
        <v>214.6690518783542</v>
      </c>
    </row>
    <row r="60" spans="2:14" s="76" customFormat="1" x14ac:dyDescent="0.25">
      <c r="B60" s="76" t="str">
        <f>VLOOKUP(F60,[1]NUTS_Europa!$A$2:$C$81,2,FALSE)</f>
        <v>DE93</v>
      </c>
      <c r="C60" s="76">
        <f>VLOOKUP(F60,[1]NUTS_Europa!$A$2:$C$81,3,FALSE)</f>
        <v>245</v>
      </c>
      <c r="D60" s="76" t="str">
        <f>VLOOKUP(G60,[1]NUTS_Europa!$A$2:$C$81,2,FALSE)</f>
        <v>FRI2</v>
      </c>
      <c r="E60" s="76">
        <f>VLOOKUP(G60,[1]NUTS_Europa!$A$2:$C$81,3,FALSE)</f>
        <v>275</v>
      </c>
      <c r="F60" s="76">
        <v>47</v>
      </c>
      <c r="G60" s="76">
        <v>69</v>
      </c>
      <c r="H60" s="76">
        <v>875624.97852220898</v>
      </c>
      <c r="I60" s="76">
        <v>9086818.1153025534</v>
      </c>
      <c r="J60" s="76">
        <v>114346.85142443764</v>
      </c>
      <c r="K60" s="76">
        <v>61.025641025641029</v>
      </c>
      <c r="L60" s="76">
        <v>14.548888300469667</v>
      </c>
      <c r="M60" s="76">
        <v>1.4833541879346264</v>
      </c>
      <c r="N60" s="76">
        <v>214.6690518783542</v>
      </c>
    </row>
    <row r="61" spans="2:14" s="76" customFormat="1" x14ac:dyDescent="0.25">
      <c r="B61" s="76" t="str">
        <f>VLOOKUP(F61,[1]NUTS_Europa!$A$2:$C$81,2,FALSE)</f>
        <v>DE94</v>
      </c>
      <c r="C61" s="76">
        <f>VLOOKUP(F61,[1]NUTS_Europa!$A$2:$C$81,3,FALSE)</f>
        <v>1069</v>
      </c>
      <c r="D61" s="76" t="str">
        <f>VLOOKUP(G61,[1]NUTS_Europa!$A$2:$C$81,2,FALSE)</f>
        <v>FRE1</v>
      </c>
      <c r="E61" s="76">
        <f>VLOOKUP(G61,[1]NUTS_Europa!$A$2:$C$81,3,FALSE)</f>
        <v>235</v>
      </c>
      <c r="F61" s="76">
        <v>48</v>
      </c>
      <c r="G61" s="76">
        <v>61</v>
      </c>
      <c r="H61" s="76">
        <v>686089.46507815039</v>
      </c>
      <c r="I61" s="76">
        <v>1127209.052851853</v>
      </c>
      <c r="J61" s="76">
        <v>507158.32774652442</v>
      </c>
      <c r="K61" s="76">
        <v>20.905641025641028</v>
      </c>
      <c r="L61" s="76">
        <v>11.032242021247306</v>
      </c>
      <c r="M61" s="76">
        <v>9.2742204153242884</v>
      </c>
      <c r="N61" s="76">
        <v>1827.1881523429399</v>
      </c>
    </row>
    <row r="62" spans="2:14" s="76" customFormat="1" x14ac:dyDescent="0.25">
      <c r="B62" s="76" t="str">
        <f>VLOOKUP(F62,[1]NUTS_Europa!$A$2:$C$81,2,FALSE)</f>
        <v>DE94</v>
      </c>
      <c r="C62" s="76">
        <f>VLOOKUP(F62,[1]NUTS_Europa!$A$2:$C$81,3,FALSE)</f>
        <v>1069</v>
      </c>
      <c r="D62" s="76" t="str">
        <f>VLOOKUP(G62,[1]NUTS_Europa!$A$2:$C$81,2,FALSE)</f>
        <v>FRF2</v>
      </c>
      <c r="E62" s="76">
        <f>VLOOKUP(G62,[1]NUTS_Europa!$A$2:$C$81,3,FALSE)</f>
        <v>235</v>
      </c>
      <c r="F62" s="76">
        <v>48</v>
      </c>
      <c r="G62" s="76">
        <v>67</v>
      </c>
      <c r="H62" s="76">
        <v>1282025.4192142785</v>
      </c>
      <c r="I62" s="76">
        <v>1127209.052851853</v>
      </c>
      <c r="J62" s="76">
        <v>126450.71705482846</v>
      </c>
      <c r="K62" s="76">
        <v>20.905641025641028</v>
      </c>
      <c r="L62" s="76">
        <v>11.032242021247306</v>
      </c>
      <c r="M62" s="76">
        <v>9.2742204153242884</v>
      </c>
      <c r="N62" s="76">
        <v>1827.1881523429399</v>
      </c>
    </row>
    <row r="63" spans="2:14" s="76" customFormat="1" x14ac:dyDescent="0.25">
      <c r="B63" s="76" t="str">
        <f>VLOOKUP(F63,[1]NUTS_Europa!$A$2:$C$81,2,FALSE)</f>
        <v>DEA1</v>
      </c>
      <c r="C63" s="76">
        <f>VLOOKUP(F63,[1]NUTS_Europa!$A$2:$C$81,3,FALSE)</f>
        <v>245</v>
      </c>
      <c r="D63" s="76" t="str">
        <f>VLOOKUP(G63,[1]NUTS_Europa!$A$2:$C$81,2,FALSE)</f>
        <v>ES11</v>
      </c>
      <c r="E63" s="76">
        <f>VLOOKUP(G63,[1]NUTS_Europa!$A$2:$C$81,3,FALSE)</f>
        <v>285</v>
      </c>
      <c r="F63" s="76">
        <v>49</v>
      </c>
      <c r="G63" s="76">
        <v>51</v>
      </c>
      <c r="H63" s="76">
        <v>58049.991944385321</v>
      </c>
      <c r="I63" s="76">
        <v>6938329.0771158198</v>
      </c>
      <c r="J63" s="76">
        <v>176841.96373917855</v>
      </c>
      <c r="K63" s="76">
        <v>51.586666666666666</v>
      </c>
      <c r="L63" s="76">
        <v>10.608893333158758</v>
      </c>
      <c r="M63" s="76">
        <v>9.347503527921551E-2</v>
      </c>
      <c r="N63" s="76">
        <v>15.60948133635801</v>
      </c>
    </row>
    <row r="64" spans="2:14" s="76" customFormat="1" x14ac:dyDescent="0.25">
      <c r="B64" s="76" t="str">
        <f>VLOOKUP(F64,[1]NUTS_Europa!$A$2:$C$81,2,FALSE)</f>
        <v>DEA1</v>
      </c>
      <c r="C64" s="76">
        <f>VLOOKUP(F64,[1]NUTS_Europa!$A$2:$C$81,3,FALSE)</f>
        <v>245</v>
      </c>
      <c r="D64" s="76" t="str">
        <f>VLOOKUP(G64,[1]NUTS_Europa!$A$2:$C$81,2,FALSE)</f>
        <v>ES13</v>
      </c>
      <c r="E64" s="76">
        <f>VLOOKUP(G64,[1]NUTS_Europa!$A$2:$C$81,3,FALSE)</f>
        <v>285</v>
      </c>
      <c r="F64" s="76">
        <v>49</v>
      </c>
      <c r="G64" s="76">
        <v>53</v>
      </c>
      <c r="H64" s="76">
        <v>64792.928863621244</v>
      </c>
      <c r="I64" s="76">
        <v>6938329.0771158198</v>
      </c>
      <c r="J64" s="76">
        <v>199058.85825050285</v>
      </c>
      <c r="K64" s="76">
        <v>51.586666666666666</v>
      </c>
      <c r="L64" s="76">
        <v>10.608893333158758</v>
      </c>
      <c r="M64" s="76">
        <v>9.347503527921551E-2</v>
      </c>
      <c r="N64" s="76">
        <v>15.60948133635801</v>
      </c>
    </row>
    <row r="65" spans="2:14" s="76" customFormat="1" x14ac:dyDescent="0.25">
      <c r="B65" s="76" t="str">
        <f>VLOOKUP(F65,[1]NUTS_Europa!$A$2:$C$81,2,FALSE)</f>
        <v>DEF0</v>
      </c>
      <c r="C65" s="76">
        <f>VLOOKUP(F65,[1]NUTS_Europa!$A$2:$C$81,3,FALSE)</f>
        <v>245</v>
      </c>
      <c r="D65" s="76" t="str">
        <f>VLOOKUP(G65,[1]NUTS_Europa!$A$2:$C$81,2,FALSE)</f>
        <v>FRH0</v>
      </c>
      <c r="E65" s="76">
        <f>VLOOKUP(G65,[1]NUTS_Europa!$A$2:$C$81,3,FALSE)</f>
        <v>282</v>
      </c>
      <c r="F65" s="76">
        <v>50</v>
      </c>
      <c r="G65" s="76">
        <v>63</v>
      </c>
      <c r="H65" s="76">
        <v>3310317.2486367542</v>
      </c>
      <c r="I65" s="76">
        <v>7319700.7590073152</v>
      </c>
      <c r="J65" s="76">
        <v>145035.59769143321</v>
      </c>
      <c r="K65" s="76">
        <v>45.43948717948718</v>
      </c>
      <c r="L65" s="76">
        <v>11.507806880524717</v>
      </c>
      <c r="M65" s="76">
        <v>5.8366649748304695</v>
      </c>
      <c r="N65" s="76">
        <v>844.67441860465112</v>
      </c>
    </row>
    <row r="66" spans="2:14" s="76" customFormat="1" x14ac:dyDescent="0.25">
      <c r="B66" s="76" t="str">
        <f>VLOOKUP(F66,[1]NUTS_Europa!$A$2:$C$81,2,FALSE)</f>
        <v>DEF0</v>
      </c>
      <c r="C66" s="76">
        <f>VLOOKUP(F66,[1]NUTS_Europa!$A$2:$C$81,3,FALSE)</f>
        <v>245</v>
      </c>
      <c r="D66" s="76" t="str">
        <f>VLOOKUP(G66,[1]NUTS_Europa!$A$2:$C$81,2,FALSE)</f>
        <v>FRI3</v>
      </c>
      <c r="E66" s="76">
        <f>VLOOKUP(G66,[1]NUTS_Europa!$A$2:$C$81,3,FALSE)</f>
        <v>282</v>
      </c>
      <c r="F66" s="76">
        <v>50</v>
      </c>
      <c r="G66" s="76">
        <v>65</v>
      </c>
      <c r="H66" s="76">
        <v>3466694.3577762889</v>
      </c>
      <c r="I66" s="76">
        <v>7319700.7590073152</v>
      </c>
      <c r="J66" s="76">
        <v>191087.21980936834</v>
      </c>
      <c r="K66" s="76">
        <v>45.43948717948718</v>
      </c>
      <c r="L66" s="76">
        <v>11.507806880524717</v>
      </c>
      <c r="M66" s="76">
        <v>5.8366649748304695</v>
      </c>
      <c r="N66" s="76">
        <v>844.67441860465112</v>
      </c>
    </row>
    <row r="67" spans="2:14" s="76" customFormat="1" x14ac:dyDescent="0.25">
      <c r="B67" s="76" t="str">
        <f>VLOOKUP(F67,[1]NUTS_Europa!$A$2:$C$81,2,FALSE)</f>
        <v>ES21</v>
      </c>
      <c r="C67" s="76">
        <f>VLOOKUP(F67,[1]NUTS_Europa!$A$2:$C$81,3,FALSE)</f>
        <v>1063</v>
      </c>
      <c r="D67" s="76" t="str">
        <f>VLOOKUP(G67,[1]NUTS_Europa!$A$2:$C$81,2,FALSE)</f>
        <v>ES61</v>
      </c>
      <c r="E67" s="76">
        <f>VLOOKUP(G67,[1]NUTS_Europa!$A$2:$C$81,3,FALSE)</f>
        <v>297</v>
      </c>
      <c r="F67" s="76">
        <v>54</v>
      </c>
      <c r="G67" s="76">
        <v>57</v>
      </c>
      <c r="H67" s="76">
        <v>997255.63840799883</v>
      </c>
      <c r="I67" s="76">
        <v>4847733.2489567772</v>
      </c>
      <c r="J67" s="76">
        <v>199597.7643046609</v>
      </c>
      <c r="K67" s="76">
        <v>30.051282051282051</v>
      </c>
      <c r="L67" s="76">
        <v>8.3901870723454657</v>
      </c>
      <c r="M67" s="76">
        <v>4.284096139708292</v>
      </c>
      <c r="N67" s="76">
        <v>845.53281096249611</v>
      </c>
    </row>
    <row r="68" spans="2:14" s="76" customFormat="1" x14ac:dyDescent="0.25">
      <c r="B68" s="76" t="str">
        <f>VLOOKUP(F68,[1]NUTS_Europa!$A$2:$C$81,2,FALSE)</f>
        <v>ES21</v>
      </c>
      <c r="C68" s="76">
        <f>VLOOKUP(F68,[1]NUTS_Europa!$A$2:$C$81,3,FALSE)</f>
        <v>1063</v>
      </c>
      <c r="D68" s="76" t="str">
        <f>VLOOKUP(G68,[1]NUTS_Europa!$A$2:$C$81,2,FALSE)</f>
        <v>ES62</v>
      </c>
      <c r="E68" s="76">
        <f>VLOOKUP(G68,[1]NUTS_Europa!$A$2:$C$81,3,FALSE)</f>
        <v>462</v>
      </c>
      <c r="F68" s="76">
        <v>54</v>
      </c>
      <c r="G68" s="76">
        <v>58</v>
      </c>
      <c r="H68" s="76">
        <v>1296584.6040669624</v>
      </c>
      <c r="I68" s="76">
        <v>4807053.2827913072</v>
      </c>
      <c r="J68" s="76">
        <v>131067.44979158771</v>
      </c>
      <c r="K68" s="76">
        <v>23.589743589743591</v>
      </c>
      <c r="L68" s="76">
        <v>10.400858386589306</v>
      </c>
      <c r="M68" s="76">
        <v>4.6319823080440461</v>
      </c>
      <c r="N68" s="76">
        <v>914.19354130454008</v>
      </c>
    </row>
    <row r="69" spans="2:14" s="76" customFormat="1" x14ac:dyDescent="0.25">
      <c r="B69" s="76" t="str">
        <f>VLOOKUP(F69,[1]NUTS_Europa!$A$2:$C$81,2,FALSE)</f>
        <v>ES51</v>
      </c>
      <c r="C69" s="76">
        <f>VLOOKUP(F69,[1]NUTS_Europa!$A$2:$C$81,3,FALSE)</f>
        <v>1064</v>
      </c>
      <c r="D69" s="76" t="str">
        <f>VLOOKUP(G69,[1]NUTS_Europa!$A$2:$C$81,2,FALSE)</f>
        <v>FRH0</v>
      </c>
      <c r="E69" s="76">
        <f>VLOOKUP(G69,[1]NUTS_Europa!$A$2:$C$81,3,FALSE)</f>
        <v>282</v>
      </c>
      <c r="F69" s="76">
        <v>55</v>
      </c>
      <c r="G69" s="76">
        <v>63</v>
      </c>
      <c r="H69" s="76">
        <v>597882.49374390556</v>
      </c>
      <c r="I69" s="76">
        <v>1755510.9261015332</v>
      </c>
      <c r="J69" s="76">
        <v>127001.21695280854</v>
      </c>
      <c r="K69" s="76">
        <v>64.462512820512828</v>
      </c>
      <c r="L69" s="76">
        <v>10.198219491689215</v>
      </c>
      <c r="M69" s="76">
        <v>5.0582059311999252</v>
      </c>
      <c r="N69" s="76">
        <v>844.67441860465112</v>
      </c>
    </row>
    <row r="70" spans="2:14" s="76" customFormat="1" x14ac:dyDescent="0.25">
      <c r="B70" s="76" t="str">
        <f>VLOOKUP(F70,[1]NUTS_Europa!$A$2:$C$81,2,FALSE)</f>
        <v>ES51</v>
      </c>
      <c r="C70" s="76">
        <f>VLOOKUP(F70,[1]NUTS_Europa!$A$2:$C$81,3,FALSE)</f>
        <v>1064</v>
      </c>
      <c r="D70" s="76" t="str">
        <f>VLOOKUP(G70,[1]NUTS_Europa!$A$2:$C$81,2,FALSE)</f>
        <v>FRI3</v>
      </c>
      <c r="E70" s="76">
        <f>VLOOKUP(G70,[1]NUTS_Europa!$A$2:$C$81,3,FALSE)</f>
        <v>282</v>
      </c>
      <c r="F70" s="76">
        <v>55</v>
      </c>
      <c r="G70" s="76">
        <v>65</v>
      </c>
      <c r="H70" s="76">
        <v>754259.60288344044</v>
      </c>
      <c r="I70" s="76">
        <v>1755510.9261015332</v>
      </c>
      <c r="J70" s="76">
        <v>117768.50934211678</v>
      </c>
      <c r="K70" s="76">
        <v>64.462512820512828</v>
      </c>
      <c r="L70" s="76">
        <v>10.198219491689215</v>
      </c>
      <c r="M70" s="76">
        <v>5.0582059311999252</v>
      </c>
      <c r="N70" s="76">
        <v>844.67441860465112</v>
      </c>
    </row>
    <row r="71" spans="2:14" s="76" customFormat="1" x14ac:dyDescent="0.25">
      <c r="B71" s="76" t="str">
        <f>VLOOKUP(F71,[1]NUTS_Europa!$A$2:$C$81,2,FALSE)</f>
        <v>ES52</v>
      </c>
      <c r="C71" s="76">
        <f>VLOOKUP(F71,[1]NUTS_Europa!$A$2:$C$81,3,FALSE)</f>
        <v>1063</v>
      </c>
      <c r="D71" s="76" t="str">
        <f>VLOOKUP(G71,[1]NUTS_Europa!$A$2:$C$81,2,FALSE)</f>
        <v>ES61</v>
      </c>
      <c r="E71" s="76">
        <f>VLOOKUP(G71,[1]NUTS_Europa!$A$2:$C$81,3,FALSE)</f>
        <v>297</v>
      </c>
      <c r="F71" s="76">
        <v>56</v>
      </c>
      <c r="G71" s="76">
        <v>57</v>
      </c>
      <c r="H71" s="76">
        <v>726370.60069432214</v>
      </c>
      <c r="I71" s="76">
        <v>4847733.2489567772</v>
      </c>
      <c r="J71" s="76">
        <v>176841.96373917855</v>
      </c>
      <c r="K71" s="76">
        <v>30.051282051282051</v>
      </c>
      <c r="L71" s="76">
        <v>8.3901870723454657</v>
      </c>
      <c r="M71" s="76">
        <v>4.284096139708292</v>
      </c>
      <c r="N71" s="76">
        <v>845.53281096249611</v>
      </c>
    </row>
    <row r="72" spans="2:14" s="76" customFormat="1" x14ac:dyDescent="0.25">
      <c r="B72" s="76" t="str">
        <f>VLOOKUP(F72,[1]NUTS_Europa!$A$2:$C$81,2,FALSE)</f>
        <v>ES52</v>
      </c>
      <c r="C72" s="76">
        <f>VLOOKUP(F72,[1]NUTS_Europa!$A$2:$C$81,3,FALSE)</f>
        <v>1063</v>
      </c>
      <c r="D72" s="76" t="str">
        <f>VLOOKUP(G72,[1]NUTS_Europa!$A$2:$C$81,2,FALSE)</f>
        <v>ES62</v>
      </c>
      <c r="E72" s="76">
        <f>VLOOKUP(G72,[1]NUTS_Europa!$A$2:$C$81,3,FALSE)</f>
        <v>462</v>
      </c>
      <c r="F72" s="76">
        <v>56</v>
      </c>
      <c r="G72" s="76">
        <v>58</v>
      </c>
      <c r="H72" s="76">
        <v>1003702.5908521442</v>
      </c>
      <c r="I72" s="76">
        <v>4807053.2827913072</v>
      </c>
      <c r="J72" s="76">
        <v>163171.48832599766</v>
      </c>
      <c r="K72" s="76">
        <v>23.589743589743591</v>
      </c>
      <c r="L72" s="76">
        <v>10.400858386589306</v>
      </c>
      <c r="M72" s="76">
        <v>4.6319823080440461</v>
      </c>
      <c r="N72" s="76">
        <v>914.19354130454008</v>
      </c>
    </row>
    <row r="73" spans="2:14" s="76" customFormat="1" x14ac:dyDescent="0.25">
      <c r="B73" s="76" t="str">
        <f>VLOOKUP(F73,[1]NUTS_Europa!$A$2:$C$81,2,FALSE)</f>
        <v>FRD1</v>
      </c>
      <c r="C73" s="76">
        <f>VLOOKUP(F73,[1]NUTS_Europa!$A$2:$C$81,3,FALSE)</f>
        <v>269</v>
      </c>
      <c r="D73" s="76" t="str">
        <f>VLOOKUP(G73,[1]NUTS_Europa!$A$2:$C$81,2,FALSE)</f>
        <v>FRJ2</v>
      </c>
      <c r="E73" s="76">
        <f>VLOOKUP(G73,[1]NUTS_Europa!$A$2:$C$81,3,FALSE)</f>
        <v>163</v>
      </c>
      <c r="F73" s="76">
        <v>59</v>
      </c>
      <c r="G73" s="76">
        <v>68</v>
      </c>
      <c r="H73" s="76">
        <v>2634321.0838791667</v>
      </c>
      <c r="I73" s="76">
        <v>1398442.5411609532</v>
      </c>
      <c r="J73" s="76">
        <v>145277.79316174539</v>
      </c>
      <c r="K73" s="76">
        <v>31.178974358974358</v>
      </c>
      <c r="L73" s="76">
        <v>15.655261594869913</v>
      </c>
      <c r="M73" s="76">
        <v>19.985156806333826</v>
      </c>
      <c r="N73" s="76">
        <v>2892.2254025044726</v>
      </c>
    </row>
    <row r="74" spans="2:14" s="76" customFormat="1" x14ac:dyDescent="0.25">
      <c r="B74" s="76" t="str">
        <f>VLOOKUP(F74,[1]NUTS_Europa!$A$2:$C$81,2,FALSE)</f>
        <v>FRJ1</v>
      </c>
      <c r="C74" s="76">
        <f>VLOOKUP(F74,[1]NUTS_Europa!$A$2:$C$81,3,FALSE)</f>
        <v>1064</v>
      </c>
      <c r="D74" s="76" t="str">
        <f>VLOOKUP(G74,[1]NUTS_Europa!$A$2:$C$81,2,FALSE)</f>
        <v>PT11</v>
      </c>
      <c r="E74" s="76">
        <f>VLOOKUP(G74,[1]NUTS_Europa!$A$2:$C$81,3,FALSE)</f>
        <v>288</v>
      </c>
      <c r="F74" s="76">
        <v>66</v>
      </c>
      <c r="G74" s="76">
        <v>76</v>
      </c>
      <c r="H74" s="76">
        <v>757491.44420810556</v>
      </c>
      <c r="I74" s="76">
        <v>1552703.6817658064</v>
      </c>
      <c r="J74" s="76">
        <v>123614.25510828695</v>
      </c>
      <c r="K74" s="76">
        <v>46.769230769230766</v>
      </c>
      <c r="L74" s="76">
        <v>10.518960656179161</v>
      </c>
      <c r="M74" s="76">
        <v>4.5623572220841391</v>
      </c>
      <c r="N74" s="76">
        <v>900.45195084406225</v>
      </c>
    </row>
    <row r="75" spans="2:14" s="76" customFormat="1" x14ac:dyDescent="0.25">
      <c r="B75" s="76" t="str">
        <f>VLOOKUP(F75,[1]NUTS_Europa!$A$2:$C$81,2,FALSE)</f>
        <v>FRJ1</v>
      </c>
      <c r="C75" s="76">
        <f>VLOOKUP(F75,[1]NUTS_Europa!$A$2:$C$81,3,FALSE)</f>
        <v>1064</v>
      </c>
      <c r="D75" s="76" t="str">
        <f>VLOOKUP(G75,[1]NUTS_Europa!$A$2:$C$81,2,FALSE)</f>
        <v>PT17</v>
      </c>
      <c r="E75" s="76">
        <f>VLOOKUP(G75,[1]NUTS_Europa!$A$2:$C$81,3,FALSE)</f>
        <v>297</v>
      </c>
      <c r="F75" s="76">
        <v>66</v>
      </c>
      <c r="G75" s="76">
        <v>79</v>
      </c>
      <c r="H75" s="76">
        <v>787694.87137293536</v>
      </c>
      <c r="I75" s="76">
        <v>1115876.912990663</v>
      </c>
      <c r="J75" s="76">
        <v>192445.71807502842</v>
      </c>
      <c r="K75" s="76">
        <v>23.743589743589745</v>
      </c>
      <c r="L75" s="76">
        <v>9.0491547120513331</v>
      </c>
      <c r="M75" s="76">
        <v>4.284096139708292</v>
      </c>
      <c r="N75" s="76">
        <v>845.53281096249611</v>
      </c>
    </row>
    <row r="76" spans="2:14" s="76" customFormat="1" x14ac:dyDescent="0.25">
      <c r="B76" s="76" t="str">
        <f>VLOOKUP(F76,[1]NUTS_Europa!$A$2:$C$81,2,FALSE)</f>
        <v>NL12</v>
      </c>
      <c r="C76" s="76">
        <f>VLOOKUP(F76,[1]NUTS_Europa!$A$2:$C$81,3,FALSE)</f>
        <v>250</v>
      </c>
      <c r="D76" s="76" t="str">
        <f>VLOOKUP(G76,[1]NUTS_Europa!$A$2:$C$81,2,FALSE)</f>
        <v>PT11</v>
      </c>
      <c r="E76" s="76">
        <f>VLOOKUP(G76,[1]NUTS_Europa!$A$2:$C$81,3,FALSE)</f>
        <v>288</v>
      </c>
      <c r="F76" s="76">
        <v>71</v>
      </c>
      <c r="G76" s="76">
        <v>76</v>
      </c>
      <c r="H76" s="76">
        <v>659961.38431598071</v>
      </c>
      <c r="I76" s="76">
        <v>1699147.2520358642</v>
      </c>
      <c r="J76" s="76">
        <v>142841.86171918266</v>
      </c>
      <c r="K76" s="76">
        <v>46.657435897435903</v>
      </c>
      <c r="L76" s="76">
        <v>12.543913277775479</v>
      </c>
      <c r="M76" s="76">
        <v>5.39222130823378</v>
      </c>
      <c r="N76" s="76">
        <v>900.45195084406225</v>
      </c>
    </row>
    <row r="77" spans="2:14" s="76" customFormat="1" x14ac:dyDescent="0.25">
      <c r="B77" s="76" t="str">
        <f>VLOOKUP(F77,[1]NUTS_Europa!$A$2:$C$81,2,FALSE)</f>
        <v>NL12</v>
      </c>
      <c r="C77" s="76">
        <f>VLOOKUP(F77,[1]NUTS_Europa!$A$2:$C$81,3,FALSE)</f>
        <v>250</v>
      </c>
      <c r="D77" s="76" t="str">
        <f>VLOOKUP(G77,[1]NUTS_Europa!$A$2:$C$81,2,FALSE)</f>
        <v>PT16</v>
      </c>
      <c r="E77" s="76">
        <f>VLOOKUP(G77,[1]NUTS_Europa!$A$2:$C$81,3,FALSE)</f>
        <v>294</v>
      </c>
      <c r="F77" s="76">
        <v>71</v>
      </c>
      <c r="G77" s="76">
        <v>78</v>
      </c>
      <c r="H77" s="76">
        <v>2281594.6620497401</v>
      </c>
      <c r="I77" s="76">
        <v>1783623.1914678682</v>
      </c>
      <c r="J77" s="76">
        <v>135416.16142478216</v>
      </c>
      <c r="K77" s="76">
        <v>57.318461538461541</v>
      </c>
      <c r="L77" s="76">
        <v>11.763497288650704</v>
      </c>
      <c r="M77" s="76">
        <v>16.918682893828716</v>
      </c>
      <c r="N77" s="76">
        <v>2825.2662764782135</v>
      </c>
    </row>
    <row r="78" spans="2:14" s="76" customFormat="1" x14ac:dyDescent="0.25">
      <c r="B78" s="76" t="str">
        <f>VLOOKUP(F78,[1]NUTS_Europa!$A$2:$C$81,2,FALSE)</f>
        <v>NL32</v>
      </c>
      <c r="C78" s="76">
        <f>VLOOKUP(F78,[1]NUTS_Europa!$A$2:$C$81,3,FALSE)</f>
        <v>253</v>
      </c>
      <c r="D78" s="76" t="str">
        <f>VLOOKUP(G78,[1]NUTS_Europa!$A$2:$C$81,2,FALSE)</f>
        <v>NL34</v>
      </c>
      <c r="E78" s="76">
        <f>VLOOKUP(G78,[1]NUTS_Europa!$A$2:$C$81,3,FALSE)</f>
        <v>218</v>
      </c>
      <c r="F78" s="76">
        <v>72</v>
      </c>
      <c r="G78" s="76">
        <v>74</v>
      </c>
      <c r="H78" s="76">
        <v>2771440.968517235</v>
      </c>
      <c r="I78" s="76">
        <v>1057420.0427505791</v>
      </c>
      <c r="J78" s="76">
        <v>120125.80522925351</v>
      </c>
      <c r="K78" s="76">
        <v>9.1789743589743598</v>
      </c>
      <c r="L78" s="76">
        <v>8.9659064563418127</v>
      </c>
      <c r="M78" s="76">
        <v>30.82988255848452</v>
      </c>
      <c r="N78" s="76">
        <v>5443.4838411041892</v>
      </c>
    </row>
    <row r="79" spans="2:14" s="76" customFormat="1" x14ac:dyDescent="0.25">
      <c r="B79" s="76" t="str">
        <f>VLOOKUP(F79,[1]NUTS_Europa!$A$2:$C$81,2,FALSE)</f>
        <v>NL32</v>
      </c>
      <c r="C79" s="76">
        <f>VLOOKUP(F79,[1]NUTS_Europa!$A$2:$C$81,3,FALSE)</f>
        <v>253</v>
      </c>
      <c r="D79" s="76" t="str">
        <f>VLOOKUP(G79,[1]NUTS_Europa!$A$2:$C$81,2,FALSE)</f>
        <v>NL41</v>
      </c>
      <c r="E79" s="76">
        <f>VLOOKUP(G79,[1]NUTS_Europa!$A$2:$C$81,3,FALSE)</f>
        <v>218</v>
      </c>
      <c r="F79" s="76">
        <v>72</v>
      </c>
      <c r="G79" s="76">
        <v>75</v>
      </c>
      <c r="H79" s="76">
        <v>2378339.7829318959</v>
      </c>
      <c r="I79" s="76">
        <v>1057420.0427505791</v>
      </c>
      <c r="J79" s="76">
        <v>159445.52860932166</v>
      </c>
      <c r="K79" s="76">
        <v>9.1789743589743598</v>
      </c>
      <c r="L79" s="76">
        <v>8.9659064563418127</v>
      </c>
      <c r="M79" s="76">
        <v>30.82988255848452</v>
      </c>
      <c r="N79" s="76">
        <v>5443.4838411041892</v>
      </c>
    </row>
    <row r="80" spans="2:14" s="76" customFormat="1" x14ac:dyDescent="0.25">
      <c r="B80" s="76" t="str">
        <f>VLOOKUP(F80,[1]NUTS_Europa!$A$2:$C$81,2,FALSE)</f>
        <v>NL33</v>
      </c>
      <c r="C80" s="76">
        <f>VLOOKUP(F80,[1]NUTS_Europa!$A$2:$C$81,3,FALSE)</f>
        <v>220</v>
      </c>
      <c r="D80" s="76" t="str">
        <f>VLOOKUP(G80,[1]NUTS_Europa!$A$2:$C$81,2,FALSE)</f>
        <v>NL34</v>
      </c>
      <c r="E80" s="76">
        <f>VLOOKUP(G80,[1]NUTS_Europa!$A$2:$C$81,3,FALSE)</f>
        <v>218</v>
      </c>
      <c r="F80" s="76">
        <v>73</v>
      </c>
      <c r="G80" s="76">
        <v>74</v>
      </c>
      <c r="H80" s="76">
        <v>2934784.1223975481</v>
      </c>
      <c r="I80" s="76">
        <v>953995.88656433951</v>
      </c>
      <c r="J80" s="76">
        <v>145277.79316174539</v>
      </c>
      <c r="K80" s="76">
        <v>6.4102564102564106</v>
      </c>
      <c r="L80" s="76">
        <v>6.5763836368774982</v>
      </c>
      <c r="M80" s="76">
        <v>27.509549369291634</v>
      </c>
      <c r="N80" s="76">
        <v>5443.4838411041892</v>
      </c>
    </row>
    <row r="81" spans="2:19" s="76" customFormat="1" x14ac:dyDescent="0.25">
      <c r="B81" s="76" t="str">
        <f>VLOOKUP(F81,[1]NUTS_Europa!$A$2:$C$81,2,FALSE)</f>
        <v>NL33</v>
      </c>
      <c r="C81" s="76">
        <f>VLOOKUP(F81,[1]NUTS_Europa!$A$2:$C$81,3,FALSE)</f>
        <v>220</v>
      </c>
      <c r="D81" s="76" t="str">
        <f>VLOOKUP(G81,[1]NUTS_Europa!$A$2:$C$81,2,FALSE)</f>
        <v>NL41</v>
      </c>
      <c r="E81" s="76">
        <f>VLOOKUP(G81,[1]NUTS_Europa!$A$2:$C$81,3,FALSE)</f>
        <v>218</v>
      </c>
      <c r="F81" s="76">
        <v>73</v>
      </c>
      <c r="G81" s="76">
        <v>75</v>
      </c>
      <c r="H81" s="76">
        <v>2541682.936812209</v>
      </c>
      <c r="I81" s="76">
        <v>953995.88656433951</v>
      </c>
      <c r="J81" s="76">
        <v>176841.96373917855</v>
      </c>
      <c r="K81" s="76">
        <v>6.4102564102564106</v>
      </c>
      <c r="L81" s="76">
        <v>6.5763836368774982</v>
      </c>
      <c r="M81" s="76">
        <v>27.509549369291634</v>
      </c>
      <c r="N81" s="76">
        <v>5443.4838411041892</v>
      </c>
    </row>
    <row r="82" spans="2:19" s="76" customFormat="1" x14ac:dyDescent="0.25">
      <c r="B82" s="76" t="str">
        <f>VLOOKUP(F82,[1]NUTS_Europa!$A$2:$C$81,2,FALSE)</f>
        <v>PT15</v>
      </c>
      <c r="C82" s="76">
        <f>VLOOKUP(F82,[1]NUTS_Europa!$A$2:$C$81,3,FALSE)</f>
        <v>61</v>
      </c>
      <c r="D82" s="76" t="str">
        <f>VLOOKUP(G82,[1]NUTS_Europa!$A$2:$C$81,2,FALSE)</f>
        <v>PT16</v>
      </c>
      <c r="E82" s="76">
        <f>VLOOKUP(G82,[1]NUTS_Europa!$A$2:$C$81,3,FALSE)</f>
        <v>294</v>
      </c>
      <c r="F82" s="76">
        <v>77</v>
      </c>
      <c r="G82" s="76">
        <v>78</v>
      </c>
      <c r="H82" s="76">
        <v>2371896.3776358208</v>
      </c>
      <c r="I82" s="76">
        <v>1023805.8299801087</v>
      </c>
      <c r="J82" s="76">
        <v>127001.21695280854</v>
      </c>
      <c r="K82" s="76">
        <v>15.779487179487178</v>
      </c>
      <c r="L82" s="76">
        <v>10.092975794712569</v>
      </c>
      <c r="M82" s="76">
        <v>13.324614806577275</v>
      </c>
      <c r="N82" s="76">
        <v>2825.2662764782135</v>
      </c>
    </row>
    <row r="83" spans="2:19" s="76" customFormat="1" x14ac:dyDescent="0.25">
      <c r="B83" s="76" t="str">
        <f>VLOOKUP(F83,[1]NUTS_Europa!$A$2:$C$81,2,FALSE)</f>
        <v>PT15</v>
      </c>
      <c r="C83" s="76">
        <f>VLOOKUP(F83,[1]NUTS_Europa!$A$2:$C$81,3,FALSE)</f>
        <v>61</v>
      </c>
      <c r="D83" s="76" t="str">
        <f>VLOOKUP(G83,[1]NUTS_Europa!$A$2:$C$81,2,FALSE)</f>
        <v>PT17</v>
      </c>
      <c r="E83" s="76">
        <f>VLOOKUP(G83,[1]NUTS_Europa!$A$2:$C$81,3,FALSE)</f>
        <v>297</v>
      </c>
      <c r="F83" s="76">
        <v>77</v>
      </c>
      <c r="G83" s="76">
        <v>79</v>
      </c>
      <c r="H83" s="76">
        <v>720858.95459459571</v>
      </c>
      <c r="I83" s="76">
        <v>810079.13377194339</v>
      </c>
      <c r="J83" s="76">
        <v>113696.3812050019</v>
      </c>
      <c r="K83" s="76">
        <v>3.8461538461538463</v>
      </c>
      <c r="L83" s="76">
        <v>9.4035858397095158</v>
      </c>
      <c r="M83" s="76">
        <v>3.9877299729927453</v>
      </c>
      <c r="N83" s="76">
        <v>845.53281096249611</v>
      </c>
    </row>
    <row r="84" spans="2:19" s="76" customFormat="1" x14ac:dyDescent="0.25"/>
    <row r="85" spans="2:19" s="76" customFormat="1" x14ac:dyDescent="0.25"/>
    <row r="86" spans="2:19" s="76" customFormat="1" x14ac:dyDescent="0.25">
      <c r="B86" s="76" t="s">
        <v>132</v>
      </c>
    </row>
    <row r="87" spans="2:19" s="76" customFormat="1" x14ac:dyDescent="0.25">
      <c r="B87" s="76" t="s">
        <v>134</v>
      </c>
      <c r="C87" s="76" t="s">
        <v>135</v>
      </c>
      <c r="D87" s="76" t="s">
        <v>131</v>
      </c>
      <c r="E87" s="76" t="s">
        <v>136</v>
      </c>
      <c r="F87" s="76" t="s">
        <v>39</v>
      </c>
      <c r="G87" s="76" t="s">
        <v>40</v>
      </c>
      <c r="H87" s="76" t="s">
        <v>137</v>
      </c>
      <c r="I87" s="76" t="s">
        <v>133</v>
      </c>
      <c r="J87" s="76" t="s">
        <v>41</v>
      </c>
      <c r="K87" s="76" t="s">
        <v>42</v>
      </c>
      <c r="L87" s="76" t="s">
        <v>43</v>
      </c>
      <c r="M87" s="76" t="s">
        <v>44</v>
      </c>
      <c r="N87" s="76" t="s">
        <v>45</v>
      </c>
    </row>
    <row r="88" spans="2:19" s="76" customFormat="1" x14ac:dyDescent="0.25">
      <c r="B88" s="76" t="str">
        <f>VLOOKUP(F88,[1]NUTS_Europa!$A$2:$C$81,2,FALSE)</f>
        <v>NL12</v>
      </c>
      <c r="C88" s="76">
        <f>VLOOKUP(F88,[1]NUTS_Europa!$A$2:$C$81,3,FALSE)</f>
        <v>250</v>
      </c>
      <c r="D88" s="76" t="str">
        <f>VLOOKUP(G88,[1]NUTS_Europa!$A$2:$C$81,2,FALSE)</f>
        <v>PT11</v>
      </c>
      <c r="E88" s="76">
        <f>VLOOKUP(G88,[1]NUTS_Europa!$A$2:$C$81,3,FALSE)</f>
        <v>288</v>
      </c>
      <c r="F88" s="76">
        <v>71</v>
      </c>
      <c r="G88" s="76">
        <v>76</v>
      </c>
      <c r="H88" s="76">
        <v>659961.38431598071</v>
      </c>
      <c r="I88" s="76">
        <v>1699147.2520358642</v>
      </c>
      <c r="J88" s="76">
        <v>142841.86171918266</v>
      </c>
      <c r="K88" s="76">
        <v>46.657435897435903</v>
      </c>
      <c r="L88" s="76">
        <v>12.543913277775479</v>
      </c>
      <c r="M88" s="76">
        <v>5.39222130823378</v>
      </c>
      <c r="N88" s="76">
        <v>900.45195084406225</v>
      </c>
    </row>
    <row r="89" spans="2:19" s="76" customFormat="1" x14ac:dyDescent="0.25">
      <c r="B89" s="76" t="str">
        <f>VLOOKUP(G89,[1]NUTS_Europa!$A$2:$C$81,2,FALSE)</f>
        <v>PT11</v>
      </c>
      <c r="C89" s="76">
        <f>VLOOKUP(G89,[1]NUTS_Europa!$A$2:$C$81,3,FALSE)</f>
        <v>288</v>
      </c>
      <c r="D89" s="76" t="str">
        <f>VLOOKUP(F89,[1]NUTS_Europa!$A$2:$C$81,2,FALSE)</f>
        <v>FRJ1</v>
      </c>
      <c r="E89" s="76">
        <f>VLOOKUP(F89,[1]NUTS_Europa!$A$2:$C$81,3,FALSE)</f>
        <v>1064</v>
      </c>
      <c r="F89" s="76">
        <v>66</v>
      </c>
      <c r="G89" s="76">
        <v>76</v>
      </c>
      <c r="H89" s="76">
        <v>757491.44420810556</v>
      </c>
      <c r="I89" s="76">
        <v>1552703.6817658064</v>
      </c>
      <c r="J89" s="76">
        <v>123614.25510828695</v>
      </c>
      <c r="K89" s="76">
        <v>46.769230769230766</v>
      </c>
      <c r="L89" s="76">
        <v>10.518960656179161</v>
      </c>
      <c r="M89" s="76">
        <v>4.5623572220841391</v>
      </c>
      <c r="N89" s="76">
        <v>900.45195084406225</v>
      </c>
    </row>
    <row r="90" spans="2:19" s="76" customFormat="1" x14ac:dyDescent="0.25">
      <c r="B90" s="76" t="str">
        <f>VLOOKUP(F90,[1]NUTS_Europa!$A$2:$C$81,2,FALSE)</f>
        <v>FRJ1</v>
      </c>
      <c r="C90" s="76">
        <f>VLOOKUP(F90,[1]NUTS_Europa!$A$2:$C$81,3,FALSE)</f>
        <v>1064</v>
      </c>
      <c r="D90" s="76" t="str">
        <f>VLOOKUP(G90,[1]NUTS_Europa!$A$2:$C$81,2,FALSE)</f>
        <v>PT17</v>
      </c>
      <c r="E90" s="76">
        <f>VLOOKUP(G90,[1]NUTS_Europa!$A$2:$C$81,3,FALSE)</f>
        <v>297</v>
      </c>
      <c r="F90" s="76">
        <v>66</v>
      </c>
      <c r="G90" s="76">
        <v>79</v>
      </c>
      <c r="H90" s="76">
        <v>787694.87137293536</v>
      </c>
      <c r="I90" s="76">
        <v>1115876.912990663</v>
      </c>
      <c r="J90" s="76">
        <v>192445.71807502842</v>
      </c>
      <c r="K90" s="76">
        <v>23.743589743589745</v>
      </c>
      <c r="L90" s="76">
        <v>9.0491547120513331</v>
      </c>
      <c r="M90" s="76">
        <v>4.284096139708292</v>
      </c>
      <c r="N90" s="76">
        <v>845.53281096249611</v>
      </c>
    </row>
    <row r="91" spans="2:19" s="76" customFormat="1" x14ac:dyDescent="0.25">
      <c r="B91" s="76" t="str">
        <f>VLOOKUP(G91,[1]NUTS_Europa!$A$2:$C$81,2,FALSE)</f>
        <v>PT17</v>
      </c>
      <c r="C91" s="76">
        <f>VLOOKUP(G91,[1]NUTS_Europa!$A$2:$C$81,3,FALSE)</f>
        <v>297</v>
      </c>
      <c r="D91" s="76" t="str">
        <f>VLOOKUP(F91,[1]NUTS_Europa!$A$2:$C$81,2,FALSE)</f>
        <v>PT15</v>
      </c>
      <c r="E91" s="76">
        <f>VLOOKUP(F91,[1]NUTS_Europa!$A$2:$C$81,3,FALSE)</f>
        <v>61</v>
      </c>
      <c r="F91" s="76">
        <v>77</v>
      </c>
      <c r="G91" s="76">
        <v>79</v>
      </c>
      <c r="H91" s="76">
        <v>720858.95459459571</v>
      </c>
      <c r="I91" s="76">
        <v>810079.13377194339</v>
      </c>
      <c r="J91" s="76">
        <v>113696.3812050019</v>
      </c>
      <c r="K91" s="76">
        <v>3.8461538461538463</v>
      </c>
      <c r="L91" s="76">
        <v>9.4035858397095158</v>
      </c>
      <c r="M91" s="76">
        <v>3.9877299729927453</v>
      </c>
      <c r="N91" s="76">
        <v>845.53281096249611</v>
      </c>
    </row>
    <row r="92" spans="2:19" s="76" customFormat="1" x14ac:dyDescent="0.25">
      <c r="B92" s="76" t="str">
        <f>VLOOKUP(F92,[1]NUTS_Europa!$A$2:$C$81,2,FALSE)</f>
        <v>PT15</v>
      </c>
      <c r="C92" s="76">
        <f>VLOOKUP(F92,[1]NUTS_Europa!$A$2:$C$81,3,FALSE)</f>
        <v>61</v>
      </c>
      <c r="D92" s="76" t="str">
        <f>VLOOKUP(G92,[1]NUTS_Europa!$A$2:$C$81,2,FALSE)</f>
        <v>PT16</v>
      </c>
      <c r="E92" s="76">
        <f>VLOOKUP(G92,[1]NUTS_Europa!$A$2:$C$81,3,FALSE)</f>
        <v>294</v>
      </c>
      <c r="F92" s="76">
        <v>77</v>
      </c>
      <c r="G92" s="76">
        <v>78</v>
      </c>
      <c r="H92" s="76">
        <v>2371896.3776358208</v>
      </c>
      <c r="I92" s="76">
        <v>1023805.8299801087</v>
      </c>
      <c r="J92" s="76">
        <v>127001.21695280854</v>
      </c>
      <c r="K92" s="76">
        <v>15.779487179487178</v>
      </c>
      <c r="L92" s="76">
        <v>10.092975794712569</v>
      </c>
      <c r="M92" s="76">
        <v>13.324614806577275</v>
      </c>
      <c r="N92" s="76">
        <v>2825.2662764782135</v>
      </c>
    </row>
    <row r="93" spans="2:19" s="76" customFormat="1" x14ac:dyDescent="0.25">
      <c r="B93" s="76" t="str">
        <f>VLOOKUP(G93,[1]NUTS_Europa!$A$2:$C$81,2,FALSE)</f>
        <v>PT16</v>
      </c>
      <c r="C93" s="76">
        <f>VLOOKUP(G93,[1]NUTS_Europa!$A$2:$C$81,3,FALSE)</f>
        <v>294</v>
      </c>
      <c r="D93" s="76" t="str">
        <f>VLOOKUP(F93,[1]NUTS_Europa!$A$2:$C$81,2,FALSE)</f>
        <v>NL12</v>
      </c>
      <c r="E93" s="76">
        <f>VLOOKUP(F93,[1]NUTS_Europa!$A$2:$C$81,3,FALSE)</f>
        <v>250</v>
      </c>
      <c r="F93" s="76">
        <v>71</v>
      </c>
      <c r="G93" s="76">
        <v>78</v>
      </c>
      <c r="H93" s="76">
        <v>2281594.6620497401</v>
      </c>
      <c r="I93" s="76">
        <v>1783623.1914678682</v>
      </c>
      <c r="J93" s="76">
        <v>135416.16142478216</v>
      </c>
      <c r="K93" s="76">
        <v>57.318461538461541</v>
      </c>
      <c r="L93" s="76">
        <v>11.763497288650704</v>
      </c>
      <c r="M93" s="76">
        <v>16.918682893828716</v>
      </c>
      <c r="N93" s="76">
        <v>2825.2662764782135</v>
      </c>
    </row>
    <row r="94" spans="2:19" s="76" customFormat="1" x14ac:dyDescent="0.25"/>
    <row r="95" spans="2:19" s="76" customFormat="1" x14ac:dyDescent="0.25"/>
    <row r="96" spans="2:19" s="76" customFormat="1" x14ac:dyDescent="0.25">
      <c r="B96" s="76" t="s">
        <v>138</v>
      </c>
      <c r="Q96" s="80">
        <f>Q98+Q101+Q104+Q105</f>
        <v>204.38645297339437</v>
      </c>
      <c r="R96" s="76">
        <f>Q96/24</f>
        <v>8.5161022072247654</v>
      </c>
      <c r="S96" s="76">
        <f>R96/7</f>
        <v>1.216586029603538</v>
      </c>
    </row>
    <row r="97" spans="2:26" s="76" customFormat="1" x14ac:dyDescent="0.25">
      <c r="B97" s="76" t="s">
        <v>134</v>
      </c>
      <c r="C97" s="76" t="s">
        <v>135</v>
      </c>
      <c r="D97" s="76" t="s">
        <v>131</v>
      </c>
      <c r="E97" s="76" t="s">
        <v>136</v>
      </c>
      <c r="F97" s="76" t="s">
        <v>39</v>
      </c>
      <c r="G97" s="76" t="s">
        <v>40</v>
      </c>
      <c r="H97" s="76" t="s">
        <v>137</v>
      </c>
      <c r="I97" s="76" t="s">
        <v>133</v>
      </c>
      <c r="J97" s="76" t="s">
        <v>154</v>
      </c>
      <c r="K97" s="76" t="s">
        <v>41</v>
      </c>
      <c r="L97" s="76" t="s">
        <v>42</v>
      </c>
      <c r="M97" s="76" t="s">
        <v>43</v>
      </c>
      <c r="N97" s="76" t="s">
        <v>44</v>
      </c>
      <c r="O97" s="76" t="s">
        <v>45</v>
      </c>
      <c r="P97" s="76" t="str">
        <f>'14 buques 14 kn 50000'!P105</f>
        <v>Tiempo C/D</v>
      </c>
      <c r="Q97" s="76" t="str">
        <f>'14 buques 14 kn 50000'!Q105</f>
        <v>Tiempo total</v>
      </c>
      <c r="R97" s="76" t="str">
        <f>'14 buques 14 kn 50000'!R105</f>
        <v>TEUs/buque</v>
      </c>
      <c r="S97" s="76" t="str">
        <f>'14 buques 14 kn 50000'!S105</f>
        <v>Coste variable</v>
      </c>
      <c r="T97" s="76" t="str">
        <f>'14 buques 14 kn 50000'!T105</f>
        <v>Coste fijo</v>
      </c>
      <c r="U97" s="76" t="str">
        <f>'14 buques 14 kn 50000'!U105</f>
        <v>Coste Total</v>
      </c>
      <c r="V97" s="76" t="str">
        <f>'14 buques 14 kn 50000'!V105</f>
        <v>Nodo inicial</v>
      </c>
      <c r="W97" s="76" t="str">
        <f>'14 buques 14 kn 50000'!W105</f>
        <v>Puerto O</v>
      </c>
      <c r="X97" s="76" t="str">
        <f>'14 buques 14 kn 50000'!X105</f>
        <v>Nodo final</v>
      </c>
      <c r="Y97" s="76" t="str">
        <f>'14 buques 14 kn 50000'!Y105</f>
        <v>Puerto D</v>
      </c>
    </row>
    <row r="98" spans="2:26" s="76" customFormat="1" x14ac:dyDescent="0.25">
      <c r="B98" s="76" t="str">
        <f>VLOOKUP(F98,[1]NUTS_Europa!$A$2:$C$81,2,FALSE)</f>
        <v>DE60</v>
      </c>
      <c r="C98" s="76">
        <f>VLOOKUP(F98,[1]NUTS_Europa!$A$2:$C$81,3,FALSE)</f>
        <v>1069</v>
      </c>
      <c r="D98" s="76" t="str">
        <f>VLOOKUP(G98,[1]NUTS_Europa!$A$2:$C$81,2,FALSE)</f>
        <v>NL32</v>
      </c>
      <c r="E98" s="76">
        <f>VLOOKUP(G98,[1]NUTS_Europa!$A$2:$C$81,3,FALSE)</f>
        <v>218</v>
      </c>
      <c r="F98" s="76">
        <v>5</v>
      </c>
      <c r="G98" s="76">
        <v>32</v>
      </c>
      <c r="H98" s="78">
        <v>330390.53260692285</v>
      </c>
      <c r="I98" s="78">
        <v>1119968.8998791594</v>
      </c>
      <c r="J98" s="78">
        <f>I98/13</f>
        <v>86151.453836858418</v>
      </c>
      <c r="K98" s="79">
        <v>119215.96904421839</v>
      </c>
      <c r="L98" s="80">
        <v>13.844615384615386</v>
      </c>
      <c r="M98" s="80">
        <v>9.4410237766073877</v>
      </c>
      <c r="N98" s="80">
        <v>25.813122098324705</v>
      </c>
      <c r="O98" s="79">
        <v>5443.4838411041892</v>
      </c>
      <c r="P98" s="80">
        <f>N98*(R98/O98)</f>
        <v>7.4829112862570444</v>
      </c>
      <c r="Q98" s="80">
        <f>P98+M98+L98</f>
        <v>30.768550447479818</v>
      </c>
      <c r="R98" s="76">
        <v>1578</v>
      </c>
      <c r="S98" s="78">
        <f t="shared" ref="S98:S105" si="0">H98*(R98/O98)</f>
        <v>95776.211645365926</v>
      </c>
      <c r="T98" s="78">
        <f>J98</f>
        <v>86151.453836858418</v>
      </c>
      <c r="U98" s="78">
        <f>T98+S98</f>
        <v>181927.66548222434</v>
      </c>
      <c r="V98" s="76" t="str">
        <f>VLOOKUP(B98,NUTS_Europa!$B$2:$F$41,5,FALSE)</f>
        <v>Hamburg</v>
      </c>
      <c r="W98" s="76" t="str">
        <f>VLOOKUP(C98,Puertos!$N$3:$O$27,2,FALSE)</f>
        <v>Hamburgo</v>
      </c>
      <c r="X98" s="76" t="str">
        <f>VLOOKUP(D98,NUTS_Europa!$B$2:$F$41,5,FALSE)</f>
        <v>Noord-Holland</v>
      </c>
      <c r="Y98" s="76" t="str">
        <f>VLOOKUP(E98,Puertos!$N$3:$O$27,2,FALSE)</f>
        <v>Amsterdam</v>
      </c>
      <c r="Z98" s="76">
        <f>Q98/24</f>
        <v>1.282022935311659</v>
      </c>
    </row>
    <row r="99" spans="2:26" s="76" customFormat="1" x14ac:dyDescent="0.25">
      <c r="B99" s="76" t="str">
        <f>VLOOKUP(G99,[1]NUTS_Europa!$A$2:$C$81,2,FALSE)</f>
        <v>NL32</v>
      </c>
      <c r="C99" s="76">
        <f>VLOOKUP(G99,[1]NUTS_Europa!$A$2:$C$81,3,FALSE)</f>
        <v>218</v>
      </c>
      <c r="D99" s="76" t="str">
        <f>VLOOKUP(F99,[1]NUTS_Europa!$A$2:$C$81,2,FALSE)</f>
        <v>DE93</v>
      </c>
      <c r="E99" s="76">
        <f>VLOOKUP(F99,[1]NUTS_Europa!$A$2:$C$81,3,FALSE)</f>
        <v>1069</v>
      </c>
      <c r="F99" s="76">
        <v>7</v>
      </c>
      <c r="G99" s="76">
        <v>32</v>
      </c>
      <c r="H99" s="76">
        <v>612708.65680003003</v>
      </c>
      <c r="I99" s="78">
        <v>1119968.8998791594</v>
      </c>
      <c r="J99" s="78">
        <f t="shared" ref="J99:J134" si="1">I99/13</f>
        <v>86151.453836858418</v>
      </c>
      <c r="K99" s="79">
        <v>199058.85825050285</v>
      </c>
      <c r="L99" s="80">
        <v>13.844615384615386</v>
      </c>
      <c r="M99" s="80">
        <v>9.4410237766073877</v>
      </c>
      <c r="N99" s="80">
        <v>25.813122098324705</v>
      </c>
      <c r="O99" s="79">
        <v>5443.4838411041892</v>
      </c>
      <c r="P99" s="80">
        <f t="shared" ref="P99:P134" si="2">N99*(R99/O99)</f>
        <v>7.4829112862570444</v>
      </c>
      <c r="Q99" s="80">
        <f t="shared" ref="Q99:Q134" si="3">P99+M99+L99</f>
        <v>30.768550447479818</v>
      </c>
      <c r="R99" s="76">
        <v>1578</v>
      </c>
      <c r="S99" s="78">
        <f t="shared" si="0"/>
        <v>177616.81464536596</v>
      </c>
      <c r="T99" s="78">
        <f t="shared" ref="T99:T134" si="4">J99</f>
        <v>86151.453836858418</v>
      </c>
      <c r="U99" s="78">
        <f t="shared" ref="U99:U134" si="5">T99+S99</f>
        <v>263768.26848222438</v>
      </c>
      <c r="V99" s="76" t="str">
        <f>VLOOKUP(B99,NUTS_Europa!$B$2:$F$41,5,FALSE)</f>
        <v>Noord-Holland</v>
      </c>
      <c r="W99" s="76" t="str">
        <f>VLOOKUP(C99,Puertos!$N$3:$O$27,2,FALSE)</f>
        <v>Amsterdam</v>
      </c>
      <c r="X99" s="76" t="str">
        <f>VLOOKUP(D99,NUTS_Europa!$B$2:$F$41,5,FALSE)</f>
        <v>Lüneburg</v>
      </c>
      <c r="Y99" s="76" t="str">
        <f>VLOOKUP(E99,Puertos!$N$3:$O$27,2,FALSE)</f>
        <v>Hamburgo</v>
      </c>
      <c r="Z99" s="76">
        <f t="shared" ref="Z99:Z105" si="6">Q99/24</f>
        <v>1.282022935311659</v>
      </c>
    </row>
    <row r="100" spans="2:26" s="76" customFormat="1" x14ac:dyDescent="0.25">
      <c r="B100" s="76" t="str">
        <f>VLOOKUP(F100,[1]NUTS_Europa!$A$2:$C$81,2,FALSE)</f>
        <v>DE93</v>
      </c>
      <c r="C100" s="76">
        <f>VLOOKUP(F100,[1]NUTS_Europa!$A$2:$C$81,3,FALSE)</f>
        <v>1069</v>
      </c>
      <c r="D100" s="76" t="str">
        <f>VLOOKUP(G100,[1]NUTS_Europa!$A$2:$C$81,2,FALSE)</f>
        <v>NL12</v>
      </c>
      <c r="E100" s="76">
        <f>VLOOKUP(G100,[1]NUTS_Europa!$A$2:$C$81,3,FALSE)</f>
        <v>218</v>
      </c>
      <c r="F100" s="76">
        <v>7</v>
      </c>
      <c r="G100" s="76">
        <v>31</v>
      </c>
      <c r="H100" s="76">
        <v>1453945.1939526554</v>
      </c>
      <c r="I100" s="78">
        <v>1119968.8998791594</v>
      </c>
      <c r="J100" s="78">
        <f t="shared" si="1"/>
        <v>86151.453836858418</v>
      </c>
      <c r="K100" s="79">
        <v>163171.48832599766</v>
      </c>
      <c r="L100" s="80">
        <v>13.844615384615386</v>
      </c>
      <c r="M100" s="80">
        <v>9.4410237766073877</v>
      </c>
      <c r="N100" s="80">
        <v>25.813122098324705</v>
      </c>
      <c r="O100" s="79">
        <v>5443.4838411041892</v>
      </c>
      <c r="P100" s="80">
        <f t="shared" si="2"/>
        <v>7.4829112862570444</v>
      </c>
      <c r="Q100" s="80">
        <f t="shared" si="3"/>
        <v>30.768550447479818</v>
      </c>
      <c r="R100" s="76">
        <v>1578</v>
      </c>
      <c r="S100" s="78">
        <f t="shared" si="0"/>
        <v>421481.09244536591</v>
      </c>
      <c r="T100" s="78">
        <f t="shared" si="4"/>
        <v>86151.453836858418</v>
      </c>
      <c r="U100" s="78">
        <f t="shared" si="5"/>
        <v>507632.54628222436</v>
      </c>
      <c r="V100" s="76" t="str">
        <f>VLOOKUP(B100,NUTS_Europa!$B$2:$F$41,5,FALSE)</f>
        <v>Lüneburg</v>
      </c>
      <c r="W100" s="76" t="str">
        <f>VLOOKUP(C100,Puertos!$N$3:$O$27,2,FALSE)</f>
        <v>Hamburgo</v>
      </c>
      <c r="X100" s="76" t="str">
        <f>VLOOKUP(D100,NUTS_Europa!$B$2:$F$41,5,FALSE)</f>
        <v>Friesland (NL)</v>
      </c>
      <c r="Y100" s="76" t="str">
        <f>VLOOKUP(E100,Puertos!$N$3:$O$27,2,FALSE)</f>
        <v>Amsterdam</v>
      </c>
      <c r="Z100" s="76">
        <f t="shared" si="6"/>
        <v>1.282022935311659</v>
      </c>
    </row>
    <row r="101" spans="2:26" s="76" customFormat="1" x14ac:dyDescent="0.25">
      <c r="B101" s="76" t="str">
        <f>VLOOKUP(G101,[1]NUTS_Europa!$A$2:$C$81,2,FALSE)</f>
        <v>NL12</v>
      </c>
      <c r="C101" s="76">
        <f>VLOOKUP(G101,[1]NUTS_Europa!$A$2:$C$81,3,FALSE)</f>
        <v>218</v>
      </c>
      <c r="D101" s="76" t="str">
        <f>VLOOKUP(F101,[1]NUTS_Europa!$A$2:$C$81,2,FALSE)</f>
        <v>BE21</v>
      </c>
      <c r="E101" s="76">
        <f>VLOOKUP(F101,[1]NUTS_Europa!$A$2:$C$81,3,FALSE)</f>
        <v>253</v>
      </c>
      <c r="F101" s="76">
        <v>1</v>
      </c>
      <c r="G101" s="76">
        <v>31</v>
      </c>
      <c r="H101" s="78">
        <v>1331261.1704182203</v>
      </c>
      <c r="I101" s="78">
        <v>1057420.0427505791</v>
      </c>
      <c r="J101" s="78">
        <f t="shared" si="1"/>
        <v>81340.003288506079</v>
      </c>
      <c r="K101" s="79">
        <v>114203.52260471623</v>
      </c>
      <c r="L101" s="80">
        <v>9.1789743589743598</v>
      </c>
      <c r="M101" s="80">
        <v>8.9659064563418127</v>
      </c>
      <c r="N101" s="80">
        <v>30.82988255848452</v>
      </c>
      <c r="O101" s="79">
        <v>5443.4838411041892</v>
      </c>
      <c r="P101" s="80">
        <f t="shared" si="2"/>
        <v>8.9372093492648652</v>
      </c>
      <c r="Q101" s="80">
        <f t="shared" si="3"/>
        <v>27.082090164581039</v>
      </c>
      <c r="R101" s="76">
        <v>1578</v>
      </c>
      <c r="S101" s="78">
        <f t="shared" si="0"/>
        <v>385916.48073925887</v>
      </c>
      <c r="T101" s="78">
        <f t="shared" si="4"/>
        <v>81340.003288506079</v>
      </c>
      <c r="U101" s="78">
        <f t="shared" si="5"/>
        <v>467256.48402776493</v>
      </c>
      <c r="V101" s="76" t="str">
        <f>VLOOKUP(B101,NUTS_Europa!$B$2:$F$41,5,FALSE)</f>
        <v>Friesland (NL)</v>
      </c>
      <c r="W101" s="76" t="str">
        <f>VLOOKUP(C101,Puertos!$N$3:$O$27,2,FALSE)</f>
        <v>Amsterdam</v>
      </c>
      <c r="X101" s="76" t="str">
        <f>VLOOKUP(D101,NUTS_Europa!$B$2:$F$41,5,FALSE)</f>
        <v>Prov. Antwerpen</v>
      </c>
      <c r="Y101" s="76" t="str">
        <f>VLOOKUP(E101,Puertos!$N$3:$O$27,2,FALSE)</f>
        <v>Amberes</v>
      </c>
      <c r="Z101" s="76">
        <f t="shared" si="6"/>
        <v>1.1284204235242099</v>
      </c>
    </row>
    <row r="102" spans="2:26" s="76" customFormat="1" x14ac:dyDescent="0.25">
      <c r="B102" s="76" t="str">
        <f>VLOOKUP(F102,[1]NUTS_Europa!$A$2:$C$81,2,FALSE)</f>
        <v>BE21</v>
      </c>
      <c r="C102" s="76">
        <f>VLOOKUP(F102,[1]NUTS_Europa!$A$2:$C$81,3,FALSE)</f>
        <v>253</v>
      </c>
      <c r="D102" s="76" t="str">
        <f>VLOOKUP(G102,[1]NUTS_Europa!$A$2:$C$81,2,FALSE)</f>
        <v>BE25</v>
      </c>
      <c r="E102" s="76">
        <f>VLOOKUP(G102,[1]NUTS_Europa!$A$2:$C$81,3,FALSE)</f>
        <v>235</v>
      </c>
      <c r="F102" s="76">
        <v>1</v>
      </c>
      <c r="G102" s="76">
        <v>3</v>
      </c>
      <c r="H102" s="78">
        <v>343988.90551265067</v>
      </c>
      <c r="I102" s="78">
        <v>921585.02603011671</v>
      </c>
      <c r="J102" s="78">
        <f t="shared" si="1"/>
        <v>70891.155848470517</v>
      </c>
      <c r="K102" s="79">
        <v>135416.16142478216</v>
      </c>
      <c r="L102" s="80">
        <v>6.4512820512820515</v>
      </c>
      <c r="M102" s="80">
        <v>10.557124700981731</v>
      </c>
      <c r="N102" s="80">
        <v>10.958172373944803</v>
      </c>
      <c r="O102" s="79">
        <v>1827.1881523429399</v>
      </c>
      <c r="P102" s="80">
        <f t="shared" si="2"/>
        <v>9.4637194226067933</v>
      </c>
      <c r="Q102" s="80">
        <f t="shared" si="3"/>
        <v>26.472126174870574</v>
      </c>
      <c r="R102" s="76">
        <v>1578</v>
      </c>
      <c r="S102" s="78">
        <f t="shared" si="0"/>
        <v>297076.40792379843</v>
      </c>
      <c r="T102" s="78">
        <f t="shared" si="4"/>
        <v>70891.155848470517</v>
      </c>
      <c r="U102" s="78">
        <f t="shared" si="5"/>
        <v>367967.56377226894</v>
      </c>
      <c r="V102" s="76" t="str">
        <f>VLOOKUP(B102,NUTS_Europa!$B$2:$F$41,5,FALSE)</f>
        <v>Prov. Antwerpen</v>
      </c>
      <c r="W102" s="76" t="str">
        <f>VLOOKUP(C102,Puertos!$N$3:$O$27,2,FALSE)</f>
        <v>Amberes</v>
      </c>
      <c r="X102" s="76" t="str">
        <f>VLOOKUP(D102,NUTS_Europa!$B$2:$F$41,5,FALSE)</f>
        <v>Prov. West-Vlaanderen</v>
      </c>
      <c r="Y102" s="76" t="str">
        <f>VLOOKUP(E102,Puertos!$N$3:$O$27,2,FALSE)</f>
        <v>Dunkerque</v>
      </c>
      <c r="Z102" s="76">
        <f t="shared" si="6"/>
        <v>1.1030052572862739</v>
      </c>
    </row>
    <row r="103" spans="2:26" s="76" customFormat="1" x14ac:dyDescent="0.25">
      <c r="B103" s="76" t="str">
        <f>VLOOKUP(G103,[1]NUTS_Europa!$A$2:$C$81,2,FALSE)</f>
        <v>BE25</v>
      </c>
      <c r="C103" s="76">
        <f>VLOOKUP(G103,[1]NUTS_Europa!$A$2:$C$81,3,FALSE)</f>
        <v>235</v>
      </c>
      <c r="D103" s="76" t="str">
        <f>VLOOKUP(F103,[1]NUTS_Europa!$A$2:$C$81,2,FALSE)</f>
        <v>BE23</v>
      </c>
      <c r="E103" s="76">
        <f>VLOOKUP(F103,[1]NUTS_Europa!$A$2:$C$81,3,FALSE)</f>
        <v>253</v>
      </c>
      <c r="F103" s="76">
        <v>2</v>
      </c>
      <c r="G103" s="76">
        <v>3</v>
      </c>
      <c r="H103" s="78">
        <v>425558.2390095442</v>
      </c>
      <c r="I103" s="78">
        <v>921585.02603011671</v>
      </c>
      <c r="J103" s="78">
        <f t="shared" si="1"/>
        <v>70891.155848470517</v>
      </c>
      <c r="K103" s="79">
        <v>135416.16142478216</v>
      </c>
      <c r="L103" s="80">
        <v>6.4512820512820515</v>
      </c>
      <c r="M103" s="80">
        <v>10.557124700981731</v>
      </c>
      <c r="N103" s="80">
        <v>10.958172373944803</v>
      </c>
      <c r="O103" s="79">
        <v>1827.1881523429399</v>
      </c>
      <c r="P103" s="80">
        <f t="shared" si="2"/>
        <v>9.4637194226067933</v>
      </c>
      <c r="Q103" s="80">
        <f t="shared" si="3"/>
        <v>26.472126174870574</v>
      </c>
      <c r="R103" s="76">
        <v>1578</v>
      </c>
      <c r="S103" s="78">
        <f t="shared" si="0"/>
        <v>367521.48392379843</v>
      </c>
      <c r="T103" s="78">
        <f t="shared" si="4"/>
        <v>70891.155848470517</v>
      </c>
      <c r="U103" s="78">
        <f t="shared" si="5"/>
        <v>438412.63977226894</v>
      </c>
      <c r="V103" s="76" t="str">
        <f>VLOOKUP(B103,NUTS_Europa!$B$2:$F$41,5,FALSE)</f>
        <v>Prov. West-Vlaanderen</v>
      </c>
      <c r="W103" s="76" t="str">
        <f>VLOOKUP(C103,Puertos!$N$3:$O$27,2,FALSE)</f>
        <v>Dunkerque</v>
      </c>
      <c r="X103" s="76" t="str">
        <f>VLOOKUP(D103,NUTS_Europa!$B$2:$F$41,5,FALSE)</f>
        <v>Prov. Oost-Vlaanderen</v>
      </c>
      <c r="Y103" s="76" t="str">
        <f>VLOOKUP(E103,Puertos!$N$3:$O$27,2,FALSE)</f>
        <v>Amberes</v>
      </c>
      <c r="Z103" s="76">
        <f t="shared" si="6"/>
        <v>1.1030052572862739</v>
      </c>
    </row>
    <row r="104" spans="2:26" s="76" customFormat="1" x14ac:dyDescent="0.25">
      <c r="B104" s="76" t="str">
        <f>VLOOKUP(F104,[1]NUTS_Europa!$A$2:$C$81,2,FALSE)</f>
        <v>BE23</v>
      </c>
      <c r="C104" s="76">
        <f>VLOOKUP(F104,[1]NUTS_Europa!$A$2:$C$81,3,FALSE)</f>
        <v>253</v>
      </c>
      <c r="D104" s="76" t="str">
        <f>VLOOKUP(G104,[1]NUTS_Europa!$A$2:$C$81,2,FALSE)</f>
        <v>ES13</v>
      </c>
      <c r="E104" s="76">
        <f>VLOOKUP(G104,[1]NUTS_Europa!$A$2:$C$81,3,FALSE)</f>
        <v>163</v>
      </c>
      <c r="F104" s="76">
        <v>2</v>
      </c>
      <c r="G104" s="76">
        <v>13</v>
      </c>
      <c r="H104" s="78">
        <v>889716.78927710385</v>
      </c>
      <c r="I104" s="78">
        <v>1485638.270592419</v>
      </c>
      <c r="J104" s="78">
        <f t="shared" si="1"/>
        <v>114279.86696864761</v>
      </c>
      <c r="K104" s="79">
        <v>117923.68175590989</v>
      </c>
      <c r="L104" s="80">
        <v>39.790256410256411</v>
      </c>
      <c r="M104" s="80">
        <v>16.085377291453508</v>
      </c>
      <c r="N104" s="80">
        <v>19.985156806333826</v>
      </c>
      <c r="O104" s="79">
        <v>2892.2254025044726</v>
      </c>
      <c r="P104" s="80">
        <f t="shared" si="2"/>
        <v>10.903914132379247</v>
      </c>
      <c r="Q104" s="80">
        <f t="shared" si="3"/>
        <v>66.779547834089158</v>
      </c>
      <c r="R104" s="76">
        <v>1578</v>
      </c>
      <c r="S104" s="78">
        <f t="shared" si="0"/>
        <v>485430.0402256074</v>
      </c>
      <c r="T104" s="78">
        <f t="shared" si="4"/>
        <v>114279.86696864761</v>
      </c>
      <c r="U104" s="78">
        <f t="shared" si="5"/>
        <v>599709.90719425504</v>
      </c>
      <c r="V104" s="76" t="str">
        <f>VLOOKUP(B104,NUTS_Europa!$B$2:$F$41,5,FALSE)</f>
        <v>Prov. Oost-Vlaanderen</v>
      </c>
      <c r="W104" s="76" t="str">
        <f>VLOOKUP(C104,Puertos!$N$3:$O$27,2,FALSE)</f>
        <v>Amberes</v>
      </c>
      <c r="X104" s="76" t="str">
        <f>VLOOKUP(D104,NUTS_Europa!$B$2:$F$41,5,FALSE)</f>
        <v>Cantabria</v>
      </c>
      <c r="Y104" s="76" t="str">
        <f>VLOOKUP(E104,Puertos!$N$3:$O$27,2,FALSE)</f>
        <v>Bilbao</v>
      </c>
      <c r="Z104" s="76">
        <f t="shared" si="6"/>
        <v>2.7824811597537149</v>
      </c>
    </row>
    <row r="105" spans="2:26" s="76" customFormat="1" x14ac:dyDescent="0.25">
      <c r="B105" s="76" t="str">
        <f>VLOOKUP(G105,[1]NUTS_Europa!$A$2:$C$81,2,FALSE)</f>
        <v>ES13</v>
      </c>
      <c r="C105" s="76">
        <f>VLOOKUP(G105,[1]NUTS_Europa!$A$2:$C$81,3,FALSE)</f>
        <v>163</v>
      </c>
      <c r="D105" s="76" t="str">
        <f>VLOOKUP(F105,[1]NUTS_Europa!$A$2:$C$81,2,FALSE)</f>
        <v>DEF0</v>
      </c>
      <c r="E105" s="76">
        <f>VLOOKUP(F105,[1]NUTS_Europa!$A$2:$C$81,3,FALSE)</f>
        <v>1069</v>
      </c>
      <c r="F105" s="76">
        <v>10</v>
      </c>
      <c r="G105" s="76">
        <v>13</v>
      </c>
      <c r="H105" s="78">
        <v>1012466.1390654267</v>
      </c>
      <c r="I105" s="78">
        <v>1682252.7033484408</v>
      </c>
      <c r="J105" s="78">
        <f t="shared" si="1"/>
        <v>129404.05410372622</v>
      </c>
      <c r="K105" s="79">
        <v>163171.48832599766</v>
      </c>
      <c r="L105" s="80">
        <v>53.746153846153845</v>
      </c>
      <c r="M105" s="80">
        <v>16.560494611719086</v>
      </c>
      <c r="N105" s="80">
        <v>17.319657566381824</v>
      </c>
      <c r="O105" s="79">
        <v>2892.2254025044726</v>
      </c>
      <c r="P105" s="80">
        <f t="shared" si="2"/>
        <v>9.4496160693714302</v>
      </c>
      <c r="Q105" s="80">
        <f t="shared" si="3"/>
        <v>79.756264527244355</v>
      </c>
      <c r="R105" s="76">
        <v>1578</v>
      </c>
      <c r="S105" s="78">
        <f t="shared" si="0"/>
        <v>552402.16272969835</v>
      </c>
      <c r="T105" s="78">
        <f t="shared" si="4"/>
        <v>129404.05410372622</v>
      </c>
      <c r="U105" s="78">
        <f t="shared" si="5"/>
        <v>681806.21683342452</v>
      </c>
      <c r="V105" s="76" t="str">
        <f>VLOOKUP(B105,NUTS_Europa!$B$2:$F$41,5,FALSE)</f>
        <v>Cantabria</v>
      </c>
      <c r="W105" s="76" t="str">
        <f>VLOOKUP(C105,Puertos!$N$3:$O$27,2,FALSE)</f>
        <v>Bilbao</v>
      </c>
      <c r="X105" s="76" t="str">
        <f>VLOOKUP(D105,NUTS_Europa!$B$2:$F$41,5,FALSE)</f>
        <v>Schleswig-Holstein</v>
      </c>
      <c r="Y105" s="76" t="str">
        <f>VLOOKUP(E105,Puertos!$N$3:$O$27,2,FALSE)</f>
        <v>Hamburgo</v>
      </c>
      <c r="Z105" s="76">
        <f t="shared" si="6"/>
        <v>3.3231776886351816</v>
      </c>
    </row>
    <row r="106" spans="2:26" s="76" customFormat="1" x14ac:dyDescent="0.25">
      <c r="B106" s="76" t="str">
        <f>VLOOKUP(F106,[1]NUTS_Europa!$A$2:$C$81,2,FALSE)</f>
        <v>DEF0</v>
      </c>
      <c r="C106" s="76">
        <f>VLOOKUP(F106,[1]NUTS_Europa!$A$2:$C$81,3,FALSE)</f>
        <v>1069</v>
      </c>
      <c r="D106" s="76" t="str">
        <f>VLOOKUP(G106,[1]NUTS_Europa!$A$2:$C$81,2,FALSE)</f>
        <v>ES21</v>
      </c>
      <c r="E106" s="76">
        <f>VLOOKUP(G106,[1]NUTS_Europa!$A$2:$C$81,3,FALSE)</f>
        <v>163</v>
      </c>
      <c r="F106" s="76">
        <v>10</v>
      </c>
      <c r="G106" s="76">
        <v>14</v>
      </c>
      <c r="H106" s="76">
        <v>842338.49954914767</v>
      </c>
      <c r="I106" s="76">
        <v>1682252.7033484408</v>
      </c>
      <c r="J106" s="78">
        <f t="shared" si="1"/>
        <v>129404.05410372622</v>
      </c>
      <c r="K106" s="76">
        <v>199058.85825050285</v>
      </c>
      <c r="L106" s="76">
        <v>53.746153846153845</v>
      </c>
      <c r="M106" s="76">
        <v>16.560494611719086</v>
      </c>
      <c r="N106" s="76">
        <v>17.319657566381824</v>
      </c>
      <c r="O106" s="76">
        <v>2892.2254025044726</v>
      </c>
      <c r="P106" s="80"/>
      <c r="Q106" s="80"/>
      <c r="S106" s="78"/>
      <c r="T106" s="78"/>
      <c r="U106" s="78"/>
    </row>
    <row r="107" spans="2:26" s="76" customFormat="1" x14ac:dyDescent="0.25">
      <c r="B107" s="76" t="str">
        <f>VLOOKUP(G107,[1]NUTS_Europa!$A$2:$C$81,2,FALSE)</f>
        <v>ES21</v>
      </c>
      <c r="C107" s="76">
        <f>VLOOKUP(G107,[1]NUTS_Europa!$A$2:$C$81,3,FALSE)</f>
        <v>163</v>
      </c>
      <c r="D107" s="76" t="str">
        <f>VLOOKUP(F107,[1]NUTS_Europa!$A$2:$C$81,2,FALSE)</f>
        <v>DE80</v>
      </c>
      <c r="E107" s="76">
        <f>VLOOKUP(F107,[1]NUTS_Europa!$A$2:$C$81,3,FALSE)</f>
        <v>1069</v>
      </c>
      <c r="F107" s="76">
        <v>6</v>
      </c>
      <c r="G107" s="76">
        <v>14</v>
      </c>
      <c r="H107" s="76">
        <v>1374367.1222328686</v>
      </c>
      <c r="I107" s="76">
        <v>1682252.7033484408</v>
      </c>
      <c r="J107" s="78">
        <f t="shared" si="1"/>
        <v>129404.05410372622</v>
      </c>
      <c r="K107" s="76">
        <v>154854.30087154222</v>
      </c>
      <c r="L107" s="76">
        <v>53.746153846153845</v>
      </c>
      <c r="M107" s="76">
        <v>16.560494611719086</v>
      </c>
      <c r="N107" s="76">
        <v>17.319657566381824</v>
      </c>
      <c r="O107" s="76">
        <v>2892.2254025044726</v>
      </c>
      <c r="P107" s="80"/>
      <c r="Q107" s="80"/>
      <c r="S107" s="78"/>
      <c r="T107" s="78"/>
      <c r="U107" s="78"/>
    </row>
    <row r="108" spans="2:26" s="76" customFormat="1" x14ac:dyDescent="0.25">
      <c r="B108" s="76" t="str">
        <f>VLOOKUP(F108,[1]NUTS_Europa!$A$2:$C$81,2,FALSE)</f>
        <v>DE80</v>
      </c>
      <c r="C108" s="76">
        <f>VLOOKUP(F108,[1]NUTS_Europa!$A$2:$C$81,3,FALSE)</f>
        <v>1069</v>
      </c>
      <c r="D108" s="76" t="str">
        <f>VLOOKUP(G108,[1]NUTS_Europa!$A$2:$C$81,2,FALSE)</f>
        <v>ES11</v>
      </c>
      <c r="E108" s="76">
        <f>VLOOKUP(G108,[1]NUTS_Europa!$A$2:$C$81,3,FALSE)</f>
        <v>288</v>
      </c>
      <c r="F108" s="76">
        <v>6</v>
      </c>
      <c r="G108" s="76">
        <v>11</v>
      </c>
      <c r="H108" s="76">
        <v>484887.43203389447</v>
      </c>
      <c r="I108" s="76">
        <v>1785145.2508272217</v>
      </c>
      <c r="J108" s="78">
        <f t="shared" si="1"/>
        <v>137318.86544824782</v>
      </c>
      <c r="K108" s="76">
        <v>142841.86171918266</v>
      </c>
      <c r="L108" s="76">
        <v>59.42307692307692</v>
      </c>
      <c r="M108" s="76">
        <v>12.573019113067861</v>
      </c>
      <c r="N108" s="76">
        <v>4.5623572220841391</v>
      </c>
      <c r="O108" s="76">
        <v>900.45195084406225</v>
      </c>
      <c r="P108" s="80"/>
      <c r="Q108" s="80"/>
      <c r="S108" s="78"/>
      <c r="T108" s="78"/>
      <c r="U108" s="78"/>
    </row>
    <row r="109" spans="2:26" s="76" customFormat="1" x14ac:dyDescent="0.25">
      <c r="B109" s="76" t="str">
        <f>VLOOKUP(G109,[1]NUTS_Europa!$A$2:$C$81,2,FALSE)</f>
        <v>ES11</v>
      </c>
      <c r="C109" s="76">
        <f>VLOOKUP(G109,[1]NUTS_Europa!$A$2:$C$81,3,FALSE)</f>
        <v>288</v>
      </c>
      <c r="D109" s="76" t="str">
        <f>VLOOKUP(F109,[1]NUTS_Europa!$A$2:$C$81,2,FALSE)</f>
        <v>DEA1</v>
      </c>
      <c r="E109" s="76">
        <f>VLOOKUP(F109,[1]NUTS_Europa!$A$2:$C$81,3,FALSE)</f>
        <v>253</v>
      </c>
      <c r="F109" s="76">
        <v>9</v>
      </c>
      <c r="G109" s="76">
        <v>11</v>
      </c>
      <c r="H109" s="76">
        <v>504902.26773104165</v>
      </c>
      <c r="I109" s="76">
        <v>1586426.136485212</v>
      </c>
      <c r="J109" s="78">
        <f t="shared" si="1"/>
        <v>122032.7797296317</v>
      </c>
      <c r="K109" s="76">
        <v>142392.8717171422</v>
      </c>
      <c r="L109" s="76">
        <v>45.494871794871791</v>
      </c>
      <c r="M109" s="76">
        <v>12.097901792802286</v>
      </c>
      <c r="N109" s="76">
        <v>5.39222130823378</v>
      </c>
      <c r="O109" s="76">
        <v>900.45195084406225</v>
      </c>
      <c r="P109" s="80"/>
      <c r="Q109" s="80"/>
      <c r="S109" s="78"/>
      <c r="T109" s="78"/>
      <c r="U109" s="78"/>
    </row>
    <row r="110" spans="2:26" s="76" customFormat="1" x14ac:dyDescent="0.25">
      <c r="B110" s="76" t="str">
        <f>VLOOKUP(F110,[1]NUTS_Europa!$A$2:$C$81,2,FALSE)</f>
        <v>DEA1</v>
      </c>
      <c r="C110" s="76">
        <f>VLOOKUP(F110,[1]NUTS_Europa!$A$2:$C$81,3,FALSE)</f>
        <v>253</v>
      </c>
      <c r="D110" s="76" t="str">
        <f>VLOOKUP(G110,[1]NUTS_Europa!$A$2:$C$81,2,FALSE)</f>
        <v>FRI1</v>
      </c>
      <c r="E110" s="76">
        <f>VLOOKUP(G110,[1]NUTS_Europa!$A$2:$C$81,3,FALSE)</f>
        <v>283</v>
      </c>
      <c r="F110" s="76">
        <v>9</v>
      </c>
      <c r="G110" s="76">
        <v>24</v>
      </c>
      <c r="H110" s="76">
        <v>1470165.5906090594</v>
      </c>
      <c r="I110" s="76">
        <v>1340007.0801588229</v>
      </c>
      <c r="J110" s="78">
        <f t="shared" si="1"/>
        <v>103077.46770452484</v>
      </c>
      <c r="K110" s="76">
        <v>118487.95435333898</v>
      </c>
      <c r="L110" s="76">
        <v>35.415384615384617</v>
      </c>
      <c r="M110" s="76">
        <v>9.6647317499878245</v>
      </c>
      <c r="N110" s="76">
        <v>14.508624423727444</v>
      </c>
      <c r="O110" s="76">
        <v>2344.8291581632657</v>
      </c>
      <c r="P110" s="80"/>
      <c r="Q110" s="80"/>
      <c r="S110" s="78"/>
      <c r="T110" s="78"/>
      <c r="U110" s="78"/>
    </row>
    <row r="111" spans="2:26" s="76" customFormat="1" x14ac:dyDescent="0.25">
      <c r="B111" s="76" t="s">
        <v>97</v>
      </c>
      <c r="C111" s="76">
        <v>283</v>
      </c>
      <c r="D111" s="76" t="s">
        <v>83</v>
      </c>
      <c r="E111" s="76">
        <v>61</v>
      </c>
      <c r="F111" s="76">
        <v>17</v>
      </c>
      <c r="G111" s="76">
        <v>24</v>
      </c>
      <c r="H111" s="78">
        <v>1535964.2777240064</v>
      </c>
      <c r="I111" s="78">
        <v>1530597.307470588</v>
      </c>
      <c r="J111" s="78">
        <f t="shared" si="1"/>
        <v>117738.25442081447</v>
      </c>
      <c r="K111" s="79">
        <v>163029.68053166996</v>
      </c>
      <c r="L111" s="80">
        <v>52.611282051282053</v>
      </c>
      <c r="M111" s="80">
        <v>8.4402217410228815</v>
      </c>
      <c r="N111" s="80">
        <v>11.525728362717443</v>
      </c>
      <c r="O111" s="79">
        <v>2344.8291581632657</v>
      </c>
      <c r="P111" s="80">
        <f t="shared" si="2"/>
        <v>7.7564709962130891</v>
      </c>
      <c r="Q111" s="80">
        <f t="shared" si="3"/>
        <v>68.807974788518024</v>
      </c>
      <c r="R111" s="76">
        <v>1578</v>
      </c>
      <c r="S111" s="78">
        <f t="shared" ref="S111:S134" si="7">H111*(R111/O111)</f>
        <v>1033658.0905310123</v>
      </c>
      <c r="T111" s="78">
        <f t="shared" si="4"/>
        <v>117738.25442081447</v>
      </c>
      <c r="U111" s="78">
        <f t="shared" si="5"/>
        <v>1151396.3449518268</v>
      </c>
      <c r="V111" s="76" t="str">
        <f>VLOOKUP(B111,NUTS_Europa!$B$2:$F$41,5,FALSE)</f>
        <v>Aquitaine</v>
      </c>
      <c r="W111" s="76" t="str">
        <f>VLOOKUP(C111,Puertos!$N$3:$O$27,2,FALSE)</f>
        <v>La Rochelle</v>
      </c>
      <c r="X111" s="76" t="str">
        <f>VLOOKUP(D111,NUTS_Europa!$B$2:$F$41,5,FALSE)</f>
        <v>Andalucía</v>
      </c>
      <c r="Y111" s="76" t="str">
        <f>VLOOKUP(E111,Puertos!$N$3:$O$27,2,FALSE)</f>
        <v>Algeciras</v>
      </c>
    </row>
    <row r="112" spans="2:26" s="76" customFormat="1" x14ac:dyDescent="0.25">
      <c r="B112" s="76" t="s">
        <v>83</v>
      </c>
      <c r="C112" s="76">
        <v>61</v>
      </c>
      <c r="D112" s="76" t="s">
        <v>93</v>
      </c>
      <c r="E112" s="76">
        <v>282</v>
      </c>
      <c r="F112" s="76">
        <v>17</v>
      </c>
      <c r="G112" s="76">
        <v>22</v>
      </c>
      <c r="H112" s="78">
        <v>554223.8332952155</v>
      </c>
      <c r="I112" s="78">
        <v>1586997.0990681113</v>
      </c>
      <c r="J112" s="78">
        <f t="shared" si="1"/>
        <v>122076.69992831626</v>
      </c>
      <c r="K112" s="79">
        <v>115262.59218235347</v>
      </c>
      <c r="L112" s="80">
        <v>53.940307692307691</v>
      </c>
      <c r="M112" s="80">
        <v>10.552650619347396</v>
      </c>
      <c r="N112" s="80">
        <v>4.7621406380274678</v>
      </c>
      <c r="O112" s="79">
        <v>844.67441860465112</v>
      </c>
      <c r="P112" s="80">
        <f t="shared" si="2"/>
        <v>4.7621406380274678</v>
      </c>
      <c r="Q112" s="80">
        <f t="shared" si="3"/>
        <v>69.255098949682548</v>
      </c>
      <c r="R112" s="79">
        <f>O112</f>
        <v>844.67441860465112</v>
      </c>
      <c r="S112" s="78">
        <f t="shared" si="7"/>
        <v>554223.8332952155</v>
      </c>
      <c r="T112" s="78">
        <f t="shared" si="4"/>
        <v>122076.69992831626</v>
      </c>
      <c r="U112" s="78">
        <f t="shared" si="5"/>
        <v>676300.53322353179</v>
      </c>
      <c r="V112" s="76" t="str">
        <f>VLOOKUP(B112,NUTS_Europa!$B$2:$F$41,5,FALSE)</f>
        <v>Andalucía</v>
      </c>
      <c r="W112" s="76" t="str">
        <f>VLOOKUP(C112,Puertos!$N$3:$O$27,2,FALSE)</f>
        <v>Algeciras</v>
      </c>
      <c r="X112" s="76" t="str">
        <f>VLOOKUP(D112,NUTS_Europa!$B$2:$F$41,5,FALSE)</f>
        <v>Pays de la Loire</v>
      </c>
      <c r="Y112" s="76" t="str">
        <f>VLOOKUP(E112,Puertos!$N$3:$O$27,2,FALSE)</f>
        <v>Saint Nazaire</v>
      </c>
    </row>
    <row r="113" spans="2:25" s="76" customFormat="1" x14ac:dyDescent="0.25">
      <c r="B113" s="76" t="s">
        <v>93</v>
      </c>
      <c r="C113" s="76">
        <v>282</v>
      </c>
      <c r="D113" s="76" t="s">
        <v>85</v>
      </c>
      <c r="E113" s="76">
        <v>1064</v>
      </c>
      <c r="F113" s="76">
        <v>18</v>
      </c>
      <c r="G113" s="76">
        <v>22</v>
      </c>
      <c r="H113" s="78">
        <v>531339.04304623115</v>
      </c>
      <c r="I113" s="78">
        <v>1755510.9261015332</v>
      </c>
      <c r="J113" s="78">
        <f t="shared" si="1"/>
        <v>135039.30200781024</v>
      </c>
      <c r="K113" s="79">
        <v>135416.16142478216</v>
      </c>
      <c r="L113" s="80">
        <v>64.462512820512828</v>
      </c>
      <c r="M113" s="80">
        <v>10.198219491689215</v>
      </c>
      <c r="N113" s="80">
        <v>5.0582059311999252</v>
      </c>
      <c r="O113" s="79">
        <v>844.67441860465112</v>
      </c>
      <c r="P113" s="80">
        <f t="shared" si="2"/>
        <v>5.0582059311999252</v>
      </c>
      <c r="Q113" s="80">
        <f t="shared" si="3"/>
        <v>79.718938243401965</v>
      </c>
      <c r="R113" s="79">
        <f>O113</f>
        <v>844.67441860465112</v>
      </c>
      <c r="S113" s="78">
        <f t="shared" si="7"/>
        <v>531339.04304623115</v>
      </c>
      <c r="T113" s="78">
        <f t="shared" si="4"/>
        <v>135039.30200781024</v>
      </c>
      <c r="U113" s="78">
        <f t="shared" si="5"/>
        <v>666378.34505404136</v>
      </c>
      <c r="V113" s="76" t="str">
        <f>VLOOKUP(B113,NUTS_Europa!$B$2:$F$41,5,FALSE)</f>
        <v>Pays de la Loire</v>
      </c>
      <c r="W113" s="76" t="str">
        <f>VLOOKUP(C113,Puertos!$N$3:$O$27,2,FALSE)</f>
        <v>Saint Nazaire</v>
      </c>
      <c r="X113" s="76" t="str">
        <f>VLOOKUP(D113,NUTS_Europa!$B$2:$F$41,5,FALSE)</f>
        <v>Región de Murcia</v>
      </c>
      <c r="Y113" s="76" t="str">
        <f>VLOOKUP(E113,Puertos!$N$3:$O$27,2,FALSE)</f>
        <v>Valencia</v>
      </c>
    </row>
    <row r="114" spans="2:25" s="76" customFormat="1" x14ac:dyDescent="0.25">
      <c r="B114" s="76" t="s">
        <v>85</v>
      </c>
      <c r="C114" s="76">
        <v>1064</v>
      </c>
      <c r="D114" s="76" t="s">
        <v>127</v>
      </c>
      <c r="E114" s="76">
        <v>294</v>
      </c>
      <c r="F114" s="76">
        <v>18</v>
      </c>
      <c r="G114" s="76">
        <v>39</v>
      </c>
      <c r="H114" s="78">
        <v>1124742.302171458</v>
      </c>
      <c r="I114" s="78">
        <v>1272323.7268212647</v>
      </c>
      <c r="J114" s="78">
        <f t="shared" si="1"/>
        <v>97871.055909328061</v>
      </c>
      <c r="K114" s="79">
        <v>191087.21980936834</v>
      </c>
      <c r="L114" s="80">
        <v>31.760512820512822</v>
      </c>
      <c r="M114" s="80">
        <v>9.7385446670543878</v>
      </c>
      <c r="N114" s="80">
        <v>14.314893747210476</v>
      </c>
      <c r="O114" s="79">
        <v>2825.2662764782135</v>
      </c>
      <c r="P114" s="80">
        <f t="shared" si="2"/>
        <v>7.9953180063636111</v>
      </c>
      <c r="Q114" s="80">
        <f t="shared" si="3"/>
        <v>49.494375493930818</v>
      </c>
      <c r="R114" s="76">
        <v>1578</v>
      </c>
      <c r="S114" s="78">
        <f t="shared" si="7"/>
        <v>628203.92102614872</v>
      </c>
      <c r="T114" s="78">
        <f t="shared" si="4"/>
        <v>97871.055909328061</v>
      </c>
      <c r="U114" s="78">
        <f t="shared" si="5"/>
        <v>726074.97693547676</v>
      </c>
      <c r="V114" s="76" t="str">
        <f>VLOOKUP(B114,NUTS_Europa!$B$2:$F$41,5,FALSE)</f>
        <v>Región de Murcia</v>
      </c>
      <c r="W114" s="76" t="str">
        <f>VLOOKUP(C114,Puertos!$N$3:$O$27,2,FALSE)</f>
        <v>Valencia</v>
      </c>
      <c r="X114" s="76" t="str">
        <f>VLOOKUP(D114,NUTS_Europa!$B$2:$F$41,5,FALSE)</f>
        <v>Área Metropolitana de Lisboa</v>
      </c>
      <c r="Y114" s="76" t="str">
        <f>VLOOKUP(E114,Puertos!$N$3:$O$27,2,FALSE)</f>
        <v>Lisboa</v>
      </c>
    </row>
    <row r="115" spans="2:25" s="76" customFormat="1" x14ac:dyDescent="0.25">
      <c r="B115" s="76" t="s">
        <v>127</v>
      </c>
      <c r="C115" s="76">
        <v>294</v>
      </c>
      <c r="D115" s="76" t="s">
        <v>101</v>
      </c>
      <c r="E115" s="76">
        <v>1063</v>
      </c>
      <c r="F115" s="76">
        <v>26</v>
      </c>
      <c r="G115" s="76">
        <v>39</v>
      </c>
      <c r="H115" s="78">
        <v>1491107.6623920791</v>
      </c>
      <c r="I115" s="78">
        <v>5059678.4890053226</v>
      </c>
      <c r="J115" s="78">
        <f t="shared" si="1"/>
        <v>389206.03761579405</v>
      </c>
      <c r="K115" s="79">
        <v>137713.62258431225</v>
      </c>
      <c r="L115" s="80">
        <v>41.743589743589745</v>
      </c>
      <c r="M115" s="80">
        <v>9.0795770273485203</v>
      </c>
      <c r="N115" s="80">
        <v>14.314893747210476</v>
      </c>
      <c r="O115" s="79">
        <v>2825.2662764782135</v>
      </c>
      <c r="P115" s="80">
        <f t="shared" si="2"/>
        <v>7.9953180063636111</v>
      </c>
      <c r="Q115" s="80">
        <f t="shared" si="3"/>
        <v>58.818484777301876</v>
      </c>
      <c r="R115" s="76">
        <v>1578</v>
      </c>
      <c r="S115" s="78">
        <f t="shared" si="7"/>
        <v>832830.48781786056</v>
      </c>
      <c r="T115" s="78">
        <f t="shared" si="4"/>
        <v>389206.03761579405</v>
      </c>
      <c r="U115" s="78">
        <f t="shared" si="5"/>
        <v>1222036.5254336547</v>
      </c>
      <c r="V115" s="76" t="str">
        <f>VLOOKUP(B115,NUTS_Europa!$B$2:$F$41,5,FALSE)</f>
        <v>Área Metropolitana de Lisboa</v>
      </c>
      <c r="W115" s="76" t="str">
        <f>VLOOKUP(C115,Puertos!$N$3:$O$27,2,FALSE)</f>
        <v>Lisboa</v>
      </c>
      <c r="X115" s="76" t="str">
        <f>VLOOKUP(D115,NUTS_Europa!$B$2:$F$41,5,FALSE)</f>
        <v>Languedoc-Roussillon</v>
      </c>
      <c r="Y115" s="76" t="str">
        <f>VLOOKUP(E115,Puertos!$N$3:$O$27,2,FALSE)</f>
        <v>Barcelona</v>
      </c>
    </row>
    <row r="116" spans="2:25" s="76" customFormat="1" x14ac:dyDescent="0.25">
      <c r="B116" s="76" t="s">
        <v>101</v>
      </c>
      <c r="C116" s="76">
        <v>1063</v>
      </c>
      <c r="D116" s="76" t="s">
        <v>105</v>
      </c>
      <c r="E116" s="76">
        <v>283</v>
      </c>
      <c r="F116" s="76">
        <v>26</v>
      </c>
      <c r="G116" s="76">
        <v>28</v>
      </c>
      <c r="H116" s="78">
        <v>2392976.3029271034</v>
      </c>
      <c r="I116" s="78">
        <v>5570880.4666000344</v>
      </c>
      <c r="J116" s="78">
        <f t="shared" si="1"/>
        <v>428529.26666154113</v>
      </c>
      <c r="K116" s="79">
        <v>142841.86171918266</v>
      </c>
      <c r="L116" s="80">
        <v>79.166000000000011</v>
      </c>
      <c r="M116" s="80">
        <v>7.4268229736588314</v>
      </c>
      <c r="N116" s="80">
        <v>12.347610163397219</v>
      </c>
      <c r="O116" s="79">
        <v>2344.8291581632657</v>
      </c>
      <c r="P116" s="80">
        <f t="shared" si="2"/>
        <v>8.3095729042807065</v>
      </c>
      <c r="Q116" s="80">
        <f t="shared" si="3"/>
        <v>94.902395877939554</v>
      </c>
      <c r="R116" s="76">
        <v>1578</v>
      </c>
      <c r="S116" s="78">
        <f t="shared" si="7"/>
        <v>1610401.5906117652</v>
      </c>
      <c r="T116" s="78">
        <f t="shared" si="4"/>
        <v>428529.26666154113</v>
      </c>
      <c r="U116" s="78">
        <f t="shared" si="5"/>
        <v>2038930.8572733062</v>
      </c>
      <c r="V116" s="76" t="str">
        <f>VLOOKUP(B116,NUTS_Europa!$B$2:$F$41,5,FALSE)</f>
        <v>Languedoc-Roussillon</v>
      </c>
      <c r="W116" s="76" t="str">
        <f>VLOOKUP(C116,Puertos!$N$3:$O$27,2,FALSE)</f>
        <v>Barcelona</v>
      </c>
      <c r="X116" s="76" t="str">
        <f>VLOOKUP(D116,NUTS_Europa!$B$2:$F$41,5,FALSE)</f>
        <v>Midi-Pyrénées</v>
      </c>
      <c r="Y116" s="76" t="str">
        <f>VLOOKUP(E116,Puertos!$N$3:$O$27,2,FALSE)</f>
        <v>La Rochelle</v>
      </c>
    </row>
    <row r="117" spans="2:25" s="76" customFormat="1" x14ac:dyDescent="0.25">
      <c r="B117" s="76" t="s">
        <v>105</v>
      </c>
      <c r="C117" s="76">
        <v>283</v>
      </c>
      <c r="D117" s="76" t="s">
        <v>103</v>
      </c>
      <c r="E117" s="76">
        <v>269</v>
      </c>
      <c r="F117" s="76">
        <v>27</v>
      </c>
      <c r="G117" s="76">
        <v>28</v>
      </c>
      <c r="H117" s="76">
        <v>1947814.0373826975</v>
      </c>
      <c r="I117" s="76">
        <v>1210680.4219483074</v>
      </c>
      <c r="J117" s="78">
        <f t="shared" si="1"/>
        <v>93129.263226792886</v>
      </c>
      <c r="K117" s="76">
        <v>176841.96373917855</v>
      </c>
      <c r="L117" s="76">
        <v>23.743589743589745</v>
      </c>
      <c r="M117" s="76">
        <v>9.2346160534042276</v>
      </c>
      <c r="N117" s="76">
        <v>14.508624423727444</v>
      </c>
      <c r="O117" s="76">
        <v>2344.8291581632657</v>
      </c>
      <c r="P117" s="80">
        <f t="shared" si="2"/>
        <v>0</v>
      </c>
      <c r="Q117" s="80">
        <f t="shared" si="3"/>
        <v>32.978205796993976</v>
      </c>
      <c r="S117" s="78">
        <f t="shared" si="7"/>
        <v>0</v>
      </c>
      <c r="T117" s="78">
        <f t="shared" si="4"/>
        <v>93129.263226792886</v>
      </c>
      <c r="U117" s="78">
        <f t="shared" si="5"/>
        <v>93129.263226792886</v>
      </c>
      <c r="V117" s="76" t="str">
        <f>VLOOKUP(B117,NUTS_Europa!$B$2:$F$41,5,FALSE)</f>
        <v>Midi-Pyrénées</v>
      </c>
      <c r="W117" s="76" t="str">
        <f>VLOOKUP(C117,Puertos!$N$3:$O$27,2,FALSE)</f>
        <v>La Rochelle</v>
      </c>
      <c r="X117" s="76" t="str">
        <f>VLOOKUP(D117,NUTS_Europa!$B$2:$F$41,5,FALSE)</f>
        <v>Champagne-Ardenne</v>
      </c>
      <c r="Y117" s="76" t="str">
        <f>VLOOKUP(E117,Puertos!$N$3:$O$27,2,FALSE)</f>
        <v>Le Havre</v>
      </c>
    </row>
    <row r="118" spans="2:25" s="76" customFormat="1" x14ac:dyDescent="0.25">
      <c r="B118" s="76" t="s">
        <v>103</v>
      </c>
      <c r="C118" s="76">
        <v>269</v>
      </c>
      <c r="D118" s="76" t="s">
        <v>93</v>
      </c>
      <c r="E118" s="76">
        <v>283</v>
      </c>
      <c r="F118" s="76">
        <v>27</v>
      </c>
      <c r="G118" s="76">
        <v>62</v>
      </c>
      <c r="H118" s="76">
        <v>1399794.635511728</v>
      </c>
      <c r="I118" s="76">
        <v>1210680.4219483074</v>
      </c>
      <c r="J118" s="78">
        <f t="shared" si="1"/>
        <v>93129.263226792886</v>
      </c>
      <c r="K118" s="76">
        <v>141512.315270936</v>
      </c>
      <c r="L118" s="76">
        <v>23.743589743589745</v>
      </c>
      <c r="M118" s="76">
        <v>9.2346160534042276</v>
      </c>
      <c r="N118" s="76">
        <v>14.508624423727444</v>
      </c>
      <c r="O118" s="76">
        <v>2344.8291581632657</v>
      </c>
      <c r="P118" s="80">
        <f t="shared" si="2"/>
        <v>0</v>
      </c>
      <c r="Q118" s="80">
        <f t="shared" si="3"/>
        <v>32.978205796993976</v>
      </c>
      <c r="S118" s="78">
        <f t="shared" si="7"/>
        <v>0</v>
      </c>
      <c r="T118" s="78">
        <f t="shared" si="4"/>
        <v>93129.263226792886</v>
      </c>
      <c r="U118" s="78">
        <f t="shared" si="5"/>
        <v>93129.263226792886</v>
      </c>
      <c r="V118" s="76" t="str">
        <f>VLOOKUP(B118,NUTS_Europa!$B$2:$F$41,5,FALSE)</f>
        <v>Champagne-Ardenne</v>
      </c>
      <c r="W118" s="76" t="str">
        <f>VLOOKUP(C118,Puertos!$N$3:$O$27,2,FALSE)</f>
        <v>Le Havre</v>
      </c>
      <c r="X118" s="76" t="str">
        <f>VLOOKUP(D118,NUTS_Europa!$B$2:$F$41,5,FALSE)</f>
        <v>Pays de la Loire</v>
      </c>
      <c r="Y118" s="76" t="str">
        <f>VLOOKUP(E118,Puertos!$N$3:$O$27,2,FALSE)</f>
        <v>La Rochelle</v>
      </c>
    </row>
    <row r="119" spans="2:25" s="76" customFormat="1" x14ac:dyDescent="0.25">
      <c r="B119" s="76" t="str">
        <f>VLOOKUP(G119,[1]NUTS_Europa!$A$2:$C$81,2,FALSE)</f>
        <v>FRG0</v>
      </c>
      <c r="C119" s="76">
        <f>VLOOKUP(G119,[1]NUTS_Europa!$A$2:$C$81,3,FALSE)</f>
        <v>283</v>
      </c>
      <c r="D119" s="76" t="str">
        <f>VLOOKUP(F119,[1]NUTS_Europa!$A$2:$C$81,2,FALSE)</f>
        <v>FRI2</v>
      </c>
      <c r="E119" s="76">
        <f>VLOOKUP(F119,[1]NUTS_Europa!$A$2:$C$81,3,FALSE)</f>
        <v>269</v>
      </c>
      <c r="F119" s="76">
        <v>29</v>
      </c>
      <c r="G119" s="76">
        <v>62</v>
      </c>
      <c r="H119" s="76">
        <v>1412109.6782504013</v>
      </c>
      <c r="I119" s="76">
        <v>1210680.4219483074</v>
      </c>
      <c r="J119" s="78">
        <f t="shared" si="1"/>
        <v>93129.263226792886</v>
      </c>
      <c r="K119" s="76">
        <v>118487.95435333898</v>
      </c>
      <c r="L119" s="76">
        <v>23.743589743589745</v>
      </c>
      <c r="M119" s="76">
        <v>9.2346160534042276</v>
      </c>
      <c r="N119" s="76">
        <v>14.508624423727444</v>
      </c>
      <c r="O119" s="76">
        <v>2344.8291581632657</v>
      </c>
      <c r="P119" s="80"/>
      <c r="Q119" s="80"/>
      <c r="S119" s="78"/>
      <c r="T119" s="78"/>
      <c r="U119" s="78"/>
    </row>
    <row r="120" spans="2:25" s="76" customFormat="1" x14ac:dyDescent="0.25">
      <c r="B120" s="76" t="str">
        <f>VLOOKUP(F120,[1]NUTS_Europa!$A$2:$C$81,2,FALSE)</f>
        <v>FRI2</v>
      </c>
      <c r="C120" s="76">
        <f>VLOOKUP(F120,[1]NUTS_Europa!$A$2:$C$81,3,FALSE)</f>
        <v>269</v>
      </c>
      <c r="D120" s="76" t="str">
        <f>VLOOKUP(G120,[1]NUTS_Europa!$A$2:$C$81,2,FALSE)</f>
        <v>PT11</v>
      </c>
      <c r="E120" s="76">
        <f>VLOOKUP(G120,[1]NUTS_Europa!$A$2:$C$81,3,FALSE)</f>
        <v>111</v>
      </c>
      <c r="F120" s="76">
        <v>29</v>
      </c>
      <c r="G120" s="76">
        <v>36</v>
      </c>
      <c r="H120" s="76">
        <v>1519464.1826084547</v>
      </c>
      <c r="I120" s="76">
        <v>1499403.1764362748</v>
      </c>
      <c r="J120" s="78">
        <f t="shared" si="1"/>
        <v>115338.70587971344</v>
      </c>
      <c r="K120" s="76">
        <v>114346.85142443764</v>
      </c>
      <c r="L120" s="76">
        <v>40.87025641025641</v>
      </c>
      <c r="M120" s="76">
        <v>11.450877385334255</v>
      </c>
      <c r="N120" s="76">
        <v>18.046595086750624</v>
      </c>
      <c r="O120" s="76">
        <v>3013.6173615767602</v>
      </c>
      <c r="P120" s="80"/>
      <c r="Q120" s="80"/>
      <c r="S120" s="78"/>
      <c r="T120" s="78"/>
      <c r="U120" s="78"/>
    </row>
    <row r="121" spans="2:25" s="76" customFormat="1" x14ac:dyDescent="0.25">
      <c r="B121" s="76" t="str">
        <f>VLOOKUP(G121,[1]NUTS_Europa!$A$2:$C$81,2,FALSE)</f>
        <v>PT11</v>
      </c>
      <c r="C121" s="76">
        <f>VLOOKUP(G121,[1]NUTS_Europa!$A$2:$C$81,3,FALSE)</f>
        <v>111</v>
      </c>
      <c r="D121" s="76" t="str">
        <f>VLOOKUP(F121,[1]NUTS_Europa!$A$2:$C$81,2,FALSE)</f>
        <v>NL34</v>
      </c>
      <c r="E121" s="76">
        <f>VLOOKUP(F121,[1]NUTS_Europa!$A$2:$C$81,3,FALSE)</f>
        <v>250</v>
      </c>
      <c r="F121" s="76">
        <v>34</v>
      </c>
      <c r="G121" s="76">
        <v>36</v>
      </c>
      <c r="H121" s="76">
        <v>1317440.4719074205</v>
      </c>
      <c r="I121" s="76">
        <v>1677098.8760671082</v>
      </c>
      <c r="J121" s="78">
        <f t="shared" si="1"/>
        <v>129007.60585131602</v>
      </c>
      <c r="K121" s="76">
        <v>176841.96373917855</v>
      </c>
      <c r="L121" s="76">
        <v>49.426666666666669</v>
      </c>
      <c r="M121" s="76">
        <v>12.327004566891045</v>
      </c>
      <c r="N121" s="76">
        <v>18.046595086750624</v>
      </c>
      <c r="O121" s="76">
        <v>3013.6173615767602</v>
      </c>
      <c r="P121" s="80"/>
      <c r="Q121" s="80"/>
      <c r="S121" s="78"/>
      <c r="T121" s="78"/>
      <c r="U121" s="78"/>
    </row>
    <row r="122" spans="2:25" s="76" customFormat="1" x14ac:dyDescent="0.25">
      <c r="B122" s="76" t="str">
        <f>VLOOKUP(F122,[1]NUTS_Europa!$A$2:$C$81,2,FALSE)</f>
        <v>NL34</v>
      </c>
      <c r="C122" s="76">
        <f>VLOOKUP(F122,[1]NUTS_Europa!$A$2:$C$81,3,FALSE)</f>
        <v>250</v>
      </c>
      <c r="D122" s="76" t="str">
        <f>VLOOKUP(G122,[1]NUTS_Europa!$A$2:$C$81,2,FALSE)</f>
        <v>PT16</v>
      </c>
      <c r="E122" s="76">
        <f>VLOOKUP(G122,[1]NUTS_Europa!$A$2:$C$81,3,FALSE)</f>
        <v>111</v>
      </c>
      <c r="F122" s="76">
        <v>34</v>
      </c>
      <c r="G122" s="76">
        <v>38</v>
      </c>
      <c r="H122" s="78">
        <v>1218518.4820136633</v>
      </c>
      <c r="I122" s="78">
        <v>1677098.8760671082</v>
      </c>
      <c r="J122" s="78">
        <f t="shared" si="1"/>
        <v>129007.60585131602</v>
      </c>
      <c r="K122" s="79">
        <v>199058.85825050285</v>
      </c>
      <c r="L122" s="80">
        <v>49.426666666666669</v>
      </c>
      <c r="M122" s="80">
        <v>12.327004566891045</v>
      </c>
      <c r="N122" s="80">
        <v>18.046595086750624</v>
      </c>
      <c r="O122" s="79">
        <v>3013.6173615767602</v>
      </c>
      <c r="P122" s="80">
        <f t="shared" si="2"/>
        <v>9.4496160693714302</v>
      </c>
      <c r="Q122" s="80">
        <f t="shared" si="3"/>
        <v>71.203287302929141</v>
      </c>
      <c r="R122" s="76">
        <v>1578</v>
      </c>
      <c r="S122" s="78">
        <f t="shared" si="7"/>
        <v>638044.56037893193</v>
      </c>
      <c r="T122" s="78">
        <f t="shared" si="4"/>
        <v>129007.60585131602</v>
      </c>
      <c r="U122" s="78">
        <f t="shared" si="5"/>
        <v>767052.16623024794</v>
      </c>
      <c r="V122" s="76" t="str">
        <f>VLOOKUP(B122,NUTS_Europa!$B$2:$F$41,5,FALSE)</f>
        <v>Zeeland</v>
      </c>
      <c r="W122" s="76" t="str">
        <f>VLOOKUP(C122,Puertos!$N$3:$O$27,2,FALSE)</f>
        <v>Rotterdam</v>
      </c>
      <c r="X122" s="76" t="str">
        <f>VLOOKUP(D122,NUTS_Europa!$B$2:$F$41,5,FALSE)</f>
        <v>Centro (PT)</v>
      </c>
      <c r="Y122" s="76" t="str">
        <f>VLOOKUP(E122,Puertos!$N$3:$O$27,2,FALSE)</f>
        <v>Oporto</v>
      </c>
    </row>
    <row r="123" spans="2:25" s="76" customFormat="1" x14ac:dyDescent="0.25">
      <c r="B123" s="76" t="str">
        <f>VLOOKUP(G123,[1]NUTS_Europa!$A$2:$C$81,2,FALSE)</f>
        <v>PT16</v>
      </c>
      <c r="C123" s="76">
        <f>VLOOKUP(G123,[1]NUTS_Europa!$A$2:$C$81,3,FALSE)</f>
        <v>111</v>
      </c>
      <c r="D123" s="76" t="str">
        <f>VLOOKUP(F123,[1]NUTS_Europa!$A$2:$C$81,2,FALSE)</f>
        <v>NL41</v>
      </c>
      <c r="E123" s="76">
        <f>VLOOKUP(F123,[1]NUTS_Europa!$A$2:$C$81,3,FALSE)</f>
        <v>253</v>
      </c>
      <c r="F123" s="76">
        <v>35</v>
      </c>
      <c r="G123" s="76">
        <v>38</v>
      </c>
      <c r="H123" s="78">
        <v>926298.45366240968</v>
      </c>
      <c r="I123" s="78">
        <v>1584866.4512864437</v>
      </c>
      <c r="J123" s="78">
        <f t="shared" si="1"/>
        <v>121912.80394511105</v>
      </c>
      <c r="K123" s="79">
        <v>122072.63094995193</v>
      </c>
      <c r="L123" s="80">
        <v>49.48205128205128</v>
      </c>
      <c r="M123" s="80">
        <v>11.88099308191785</v>
      </c>
      <c r="N123" s="80">
        <v>18.046595086750624</v>
      </c>
      <c r="O123" s="79">
        <v>3013.6173615767602</v>
      </c>
      <c r="P123" s="80">
        <f t="shared" si="2"/>
        <v>9.4496160693714302</v>
      </c>
      <c r="Q123" s="80">
        <f t="shared" si="3"/>
        <v>70.812660433340568</v>
      </c>
      <c r="R123" s="76">
        <v>1578</v>
      </c>
      <c r="S123" s="78">
        <f t="shared" si="7"/>
        <v>485031.3707757857</v>
      </c>
      <c r="T123" s="78">
        <f t="shared" si="4"/>
        <v>121912.80394511105</v>
      </c>
      <c r="U123" s="78">
        <f t="shared" si="5"/>
        <v>606944.17472089676</v>
      </c>
      <c r="V123" s="76" t="str">
        <f>VLOOKUP(B123,NUTS_Europa!$B$2:$F$41,5,FALSE)</f>
        <v>Centro (PT)</v>
      </c>
      <c r="W123" s="76" t="str">
        <f>VLOOKUP(C123,Puertos!$N$3:$O$27,2,FALSE)</f>
        <v>Oporto</v>
      </c>
      <c r="X123" s="76" t="str">
        <f>VLOOKUP(D123,NUTS_Europa!$B$2:$F$41,5,FALSE)</f>
        <v>Noord-Brabant</v>
      </c>
      <c r="Y123" s="76" t="str">
        <f>VLOOKUP(E123,Puertos!$N$3:$O$27,2,FALSE)</f>
        <v>Amberes</v>
      </c>
    </row>
    <row r="124" spans="2:25" s="76" customFormat="1" x14ac:dyDescent="0.25">
      <c r="B124" s="76" t="str">
        <f>VLOOKUP(F124,[1]NUTS_Europa!$A$2:$C$81,2,FALSE)</f>
        <v>NL41</v>
      </c>
      <c r="C124" s="76">
        <f>VLOOKUP(F124,[1]NUTS_Europa!$A$2:$C$81,3,FALSE)</f>
        <v>253</v>
      </c>
      <c r="D124" s="76" t="str">
        <f>VLOOKUP(G124,[1]NUTS_Europa!$A$2:$C$81,2,FALSE)</f>
        <v>PT18</v>
      </c>
      <c r="E124" s="76">
        <f>VLOOKUP(G124,[1]NUTS_Europa!$A$2:$C$81,3,FALSE)</f>
        <v>1065</v>
      </c>
      <c r="F124" s="76">
        <v>35</v>
      </c>
      <c r="G124" s="76">
        <v>40</v>
      </c>
      <c r="H124" s="78">
        <v>2484666.1135778977</v>
      </c>
      <c r="I124" s="78">
        <v>1748864.1945082347</v>
      </c>
      <c r="J124" s="78">
        <f t="shared" si="1"/>
        <v>134528.0149621719</v>
      </c>
      <c r="K124" s="79">
        <v>120437.35243536306</v>
      </c>
      <c r="L124" s="80">
        <v>59.782923076923076</v>
      </c>
      <c r="M124" s="80">
        <v>9.9264668408806092</v>
      </c>
      <c r="N124" s="80">
        <v>45.245059093132895</v>
      </c>
      <c r="O124" s="79">
        <v>7555.5136552455588</v>
      </c>
      <c r="P124" s="80">
        <f t="shared" si="2"/>
        <v>9.4496160693714302</v>
      </c>
      <c r="Q124" s="80">
        <f t="shared" si="3"/>
        <v>79.159005987175107</v>
      </c>
      <c r="R124" s="76">
        <v>1578</v>
      </c>
      <c r="S124" s="78">
        <f t="shared" si="7"/>
        <v>518932.70347064099</v>
      </c>
      <c r="T124" s="78">
        <f t="shared" si="4"/>
        <v>134528.0149621719</v>
      </c>
      <c r="U124" s="78">
        <f t="shared" si="5"/>
        <v>653460.71843281295</v>
      </c>
      <c r="V124" s="76" t="str">
        <f>VLOOKUP(B124,NUTS_Europa!$B$2:$F$41,5,FALSE)</f>
        <v>Noord-Brabant</v>
      </c>
      <c r="W124" s="76" t="str">
        <f>VLOOKUP(C124,Puertos!$N$3:$O$27,2,FALSE)</f>
        <v>Amberes</v>
      </c>
      <c r="X124" s="76" t="str">
        <f>VLOOKUP(D124,NUTS_Europa!$B$2:$F$41,5,FALSE)</f>
        <v>Alentejo</v>
      </c>
      <c r="Y124" s="76" t="str">
        <f>VLOOKUP(E124,Puertos!$N$3:$O$27,2,FALSE)</f>
        <v>Sines</v>
      </c>
    </row>
    <row r="125" spans="2:25" s="76" customFormat="1" x14ac:dyDescent="0.25">
      <c r="B125" s="76" t="str">
        <f>VLOOKUP(G125,[1]NUTS_Europa!$A$2:$C$81,2,FALSE)</f>
        <v>PT18</v>
      </c>
      <c r="C125" s="76">
        <f>VLOOKUP(G125,[1]NUTS_Europa!$A$2:$C$81,3,FALSE)</f>
        <v>1065</v>
      </c>
      <c r="D125" s="76" t="str">
        <f>VLOOKUP(F125,[1]NUTS_Europa!$A$2:$C$81,2,FALSE)</f>
        <v>NL33</v>
      </c>
      <c r="E125" s="76">
        <f>VLOOKUP(F125,[1]NUTS_Europa!$A$2:$C$81,3,FALSE)</f>
        <v>250</v>
      </c>
      <c r="F125" s="76">
        <v>33</v>
      </c>
      <c r="G125" s="76">
        <v>40</v>
      </c>
      <c r="H125" s="78">
        <v>2391921.6797739128</v>
      </c>
      <c r="I125" s="78">
        <v>1830529.7241048366</v>
      </c>
      <c r="J125" s="78">
        <f t="shared" si="1"/>
        <v>140809.97877729512</v>
      </c>
      <c r="K125" s="79">
        <v>137713.62258431225</v>
      </c>
      <c r="L125" s="80">
        <v>59.782564102564102</v>
      </c>
      <c r="M125" s="80">
        <v>10.372478325853802</v>
      </c>
      <c r="N125" s="80">
        <v>45.245059093132895</v>
      </c>
      <c r="O125" s="79">
        <v>7555.5136552455588</v>
      </c>
      <c r="P125" s="80">
        <f t="shared" si="2"/>
        <v>9.4496160693714302</v>
      </c>
      <c r="Q125" s="80">
        <f t="shared" si="3"/>
        <v>79.60465849778933</v>
      </c>
      <c r="R125" s="76">
        <v>1578</v>
      </c>
      <c r="S125" s="78">
        <f t="shared" si="7"/>
        <v>499562.64827378729</v>
      </c>
      <c r="T125" s="78">
        <f t="shared" si="4"/>
        <v>140809.97877729512</v>
      </c>
      <c r="U125" s="78">
        <f t="shared" si="5"/>
        <v>640372.62705108244</v>
      </c>
      <c r="V125" s="76" t="str">
        <f>VLOOKUP(B125,NUTS_Europa!$B$2:$F$41,5,FALSE)</f>
        <v>Alentejo</v>
      </c>
      <c r="W125" s="76" t="str">
        <f>VLOOKUP(C125,Puertos!$N$3:$O$27,2,FALSE)</f>
        <v>Sines</v>
      </c>
      <c r="X125" s="76" t="str">
        <f>VLOOKUP(D125,NUTS_Europa!$B$2:$F$41,5,FALSE)</f>
        <v>Zuid-Holland</v>
      </c>
      <c r="Y125" s="76" t="str">
        <f>VLOOKUP(E125,Puertos!$N$3:$O$27,2,FALSE)</f>
        <v>Rotterdam</v>
      </c>
    </row>
    <row r="126" spans="2:25" s="76" customFormat="1" x14ac:dyDescent="0.25">
      <c r="B126" s="76" t="str">
        <f>VLOOKUP(F126,[1]NUTS_Europa!$A$2:$C$81,2,FALSE)</f>
        <v>NL33</v>
      </c>
      <c r="C126" s="76">
        <f>VLOOKUP(F126,[1]NUTS_Europa!$A$2:$C$81,3,FALSE)</f>
        <v>250</v>
      </c>
      <c r="D126" s="76" t="str">
        <f>VLOOKUP(G126,[1]NUTS_Europa!$A$2:$C$81,2,FALSE)</f>
        <v>NL11</v>
      </c>
      <c r="E126" s="76">
        <f>VLOOKUP(G126,[1]NUTS_Europa!$A$2:$C$81,3,FALSE)</f>
        <v>218</v>
      </c>
      <c r="F126" s="76">
        <v>33</v>
      </c>
      <c r="G126" s="76">
        <v>70</v>
      </c>
      <c r="H126" s="76">
        <v>1952115.0801900036</v>
      </c>
      <c r="I126" s="76">
        <v>1048369.8267615541</v>
      </c>
      <c r="J126" s="78">
        <f t="shared" si="1"/>
        <v>80643.832827811857</v>
      </c>
      <c r="K126" s="76">
        <v>135416.16142478216</v>
      </c>
      <c r="L126" s="76">
        <v>3.4871794871794872</v>
      </c>
      <c r="M126" s="76">
        <v>9.4119179413150054</v>
      </c>
      <c r="N126" s="76">
        <v>30.82988255848452</v>
      </c>
      <c r="O126" s="76">
        <v>5443.4838411041892</v>
      </c>
      <c r="P126" s="80"/>
      <c r="Q126" s="80">
        <f>SUM(Q122:Q125)</f>
        <v>300.77961222123417</v>
      </c>
      <c r="R126" s="76">
        <f>Q126/24</f>
        <v>12.532483842551423</v>
      </c>
      <c r="S126" s="78"/>
      <c r="T126" s="78"/>
      <c r="U126" s="78"/>
    </row>
    <row r="127" spans="2:25" s="76" customFormat="1" x14ac:dyDescent="0.25">
      <c r="B127" s="76" t="str">
        <f>VLOOKUP(G127,[1]NUTS_Europa!$A$2:$C$81,2,FALSE)</f>
        <v>NL11</v>
      </c>
      <c r="C127" s="76">
        <f>VLOOKUP(G127,[1]NUTS_Europa!$A$2:$C$81,3,FALSE)</f>
        <v>218</v>
      </c>
      <c r="D127" s="76" t="str">
        <f>VLOOKUP(F127,[1]NUTS_Europa!$A$2:$C$81,2,FALSE)</f>
        <v>DE50</v>
      </c>
      <c r="E127" s="76">
        <f>VLOOKUP(F127,[1]NUTS_Europa!$A$2:$C$81,3,FALSE)</f>
        <v>1069</v>
      </c>
      <c r="F127" s="76">
        <v>44</v>
      </c>
      <c r="G127" s="76">
        <v>70</v>
      </c>
      <c r="H127" s="76">
        <v>2200837.4465647996</v>
      </c>
      <c r="I127" s="76">
        <v>1119968.8998791594</v>
      </c>
      <c r="J127" s="78">
        <f t="shared" si="1"/>
        <v>86151.453836858418</v>
      </c>
      <c r="K127" s="76">
        <v>120437.35243536306</v>
      </c>
      <c r="L127" s="76">
        <v>13.844615384615386</v>
      </c>
      <c r="M127" s="76">
        <v>9.4410237766073877</v>
      </c>
      <c r="N127" s="76">
        <v>25.813122098324705</v>
      </c>
      <c r="O127" s="76">
        <v>5443.4838411041892</v>
      </c>
      <c r="P127" s="80"/>
      <c r="Q127" s="80"/>
      <c r="S127" s="78"/>
      <c r="T127" s="78"/>
      <c r="U127" s="78"/>
    </row>
    <row r="128" spans="2:25" s="76" customFormat="1" x14ac:dyDescent="0.25">
      <c r="B128" s="76" t="str">
        <f>VLOOKUP(F128,[1]NUTS_Europa!$A$2:$C$81,2,FALSE)</f>
        <v>DE50</v>
      </c>
      <c r="C128" s="76">
        <f>VLOOKUP(F128,[1]NUTS_Europa!$A$2:$C$81,3,FALSE)</f>
        <v>1069</v>
      </c>
      <c r="D128" s="76" t="str">
        <f>VLOOKUP(G128,[1]NUTS_Europa!$A$2:$C$81,2,FALSE)</f>
        <v>ES12</v>
      </c>
      <c r="E128" s="76">
        <f>VLOOKUP(G128,[1]NUTS_Europa!$A$2:$C$81,3,FALSE)</f>
        <v>163</v>
      </c>
      <c r="F128" s="76">
        <v>44</v>
      </c>
      <c r="G128" s="76">
        <v>52</v>
      </c>
      <c r="H128" s="78">
        <v>1593862.1571444965</v>
      </c>
      <c r="I128" s="78">
        <v>1682252.7033484408</v>
      </c>
      <c r="J128" s="78">
        <f t="shared" si="1"/>
        <v>129404.05410372622</v>
      </c>
      <c r="K128" s="79">
        <v>120125.80522925351</v>
      </c>
      <c r="L128" s="80">
        <v>53.746153846153845</v>
      </c>
      <c r="M128" s="80">
        <v>16.560494611719086</v>
      </c>
      <c r="N128" s="80">
        <v>17.319657566381824</v>
      </c>
      <c r="O128" s="79">
        <v>2892.2254025044726</v>
      </c>
      <c r="P128" s="80">
        <f t="shared" si="2"/>
        <v>9.4496160693714302</v>
      </c>
      <c r="Q128" s="80">
        <f t="shared" si="3"/>
        <v>79.756264527244355</v>
      </c>
      <c r="R128" s="76">
        <v>1578</v>
      </c>
      <c r="S128" s="78">
        <f t="shared" si="7"/>
        <v>869612.19612969831</v>
      </c>
      <c r="T128" s="78">
        <f t="shared" si="4"/>
        <v>129404.05410372622</v>
      </c>
      <c r="U128" s="78">
        <f t="shared" si="5"/>
        <v>999016.25023342448</v>
      </c>
      <c r="V128" s="76" t="str">
        <f>VLOOKUP(B128,NUTS_Europa!$B$2:$F$41,5,FALSE)</f>
        <v>Bremen</v>
      </c>
      <c r="W128" s="76" t="str">
        <f>VLOOKUP(C128,Puertos!$N$3:$O$27,2,FALSE)</f>
        <v>Hamburgo</v>
      </c>
      <c r="X128" s="76" t="str">
        <f>VLOOKUP(D128,NUTS_Europa!$B$2:$F$41,5,FALSE)</f>
        <v>Principado de Asturias</v>
      </c>
      <c r="Y128" s="76" t="str">
        <f>VLOOKUP(E128,Puertos!$N$3:$O$27,2,FALSE)</f>
        <v>Bilbao</v>
      </c>
    </row>
    <row r="129" spans="2:25" s="76" customFormat="1" x14ac:dyDescent="0.25">
      <c r="B129" s="76" t="str">
        <f>VLOOKUP(G129,[1]NUTS_Europa!$A$2:$C$81,2,FALSE)</f>
        <v>ES12</v>
      </c>
      <c r="C129" s="76">
        <f>VLOOKUP(G129,[1]NUTS_Europa!$A$2:$C$81,3,FALSE)</f>
        <v>163</v>
      </c>
      <c r="D129" s="76" t="str">
        <f>VLOOKUP(F129,[1]NUTS_Europa!$A$2:$C$81,2,FALSE)</f>
        <v>BE23</v>
      </c>
      <c r="E129" s="76">
        <f>VLOOKUP(F129,[1]NUTS_Europa!$A$2:$C$81,3,FALSE)</f>
        <v>220</v>
      </c>
      <c r="F129" s="76">
        <v>42</v>
      </c>
      <c r="G129" s="76">
        <v>52</v>
      </c>
      <c r="H129" s="78">
        <v>1456265.8346192527</v>
      </c>
      <c r="I129" s="78">
        <v>1389267.0034295968</v>
      </c>
      <c r="J129" s="78">
        <f t="shared" si="1"/>
        <v>106866.69257150745</v>
      </c>
      <c r="K129" s="79">
        <v>137713.62258431225</v>
      </c>
      <c r="L129" s="80">
        <v>37.435897435897438</v>
      </c>
      <c r="M129" s="80">
        <v>13.695854471989193</v>
      </c>
      <c r="N129" s="80">
        <v>18.221001299515166</v>
      </c>
      <c r="O129" s="79">
        <v>2892.2254025044726</v>
      </c>
      <c r="P129" s="80">
        <f t="shared" si="2"/>
        <v>9.9413897774831064</v>
      </c>
      <c r="Q129" s="80">
        <f t="shared" si="3"/>
        <v>61.073141685369734</v>
      </c>
      <c r="R129" s="76">
        <v>1578</v>
      </c>
      <c r="S129" s="78">
        <f t="shared" si="7"/>
        <v>794539.5559555206</v>
      </c>
      <c r="T129" s="78">
        <f t="shared" si="4"/>
        <v>106866.69257150745</v>
      </c>
      <c r="U129" s="78">
        <f t="shared" si="5"/>
        <v>901406.24852702802</v>
      </c>
      <c r="V129" s="76" t="str">
        <f>VLOOKUP(B129,NUTS_Europa!$B$2:$F$41,5,FALSE)</f>
        <v>Principado de Asturias</v>
      </c>
      <c r="W129" s="76" t="str">
        <f>VLOOKUP(C129,Puertos!$N$3:$O$27,2,FALSE)</f>
        <v>Bilbao</v>
      </c>
      <c r="X129" s="76" t="str">
        <f>VLOOKUP(D129,NUTS_Europa!$B$2:$F$41,5,FALSE)</f>
        <v>Prov. Oost-Vlaanderen</v>
      </c>
      <c r="Y129" s="76" t="str">
        <f>VLOOKUP(E129,Puertos!$N$3:$O$27,2,FALSE)</f>
        <v>Zeebrugge</v>
      </c>
    </row>
    <row r="130" spans="2:25" s="76" customFormat="1" x14ac:dyDescent="0.25">
      <c r="B130" s="76" t="str">
        <f>VLOOKUP(F130,[1]NUTS_Europa!$A$2:$C$81,2,FALSE)</f>
        <v>BE23</v>
      </c>
      <c r="C130" s="76">
        <f>VLOOKUP(F130,[1]NUTS_Europa!$A$2:$C$81,3,FALSE)</f>
        <v>220</v>
      </c>
      <c r="D130" s="76" t="str">
        <f>VLOOKUP(G130,[1]NUTS_Europa!$A$2:$C$81,2,FALSE)</f>
        <v>FRJ2</v>
      </c>
      <c r="E130" s="76">
        <f>VLOOKUP(G130,[1]NUTS_Europa!$A$2:$C$81,3,FALSE)</f>
        <v>163</v>
      </c>
      <c r="F130" s="76">
        <v>42</v>
      </c>
      <c r="G130" s="76">
        <v>68</v>
      </c>
      <c r="H130" s="78">
        <v>2417031.2988518104</v>
      </c>
      <c r="I130" s="78">
        <v>1389267.0034295968</v>
      </c>
      <c r="J130" s="78">
        <f t="shared" si="1"/>
        <v>106866.69257150745</v>
      </c>
      <c r="K130" s="79">
        <v>156784.57749147405</v>
      </c>
      <c r="L130" s="80">
        <v>37.435897435897438</v>
      </c>
      <c r="M130" s="80">
        <v>13.695854471989193</v>
      </c>
      <c r="N130" s="80">
        <v>18.221001299515166</v>
      </c>
      <c r="O130" s="79">
        <v>2892.2254025044726</v>
      </c>
      <c r="P130" s="80">
        <f t="shared" si="2"/>
        <v>9.9413897774831064</v>
      </c>
      <c r="Q130" s="80">
        <f t="shared" si="3"/>
        <v>61.073141685369734</v>
      </c>
      <c r="R130" s="76">
        <v>1578</v>
      </c>
      <c r="S130" s="78">
        <f t="shared" si="7"/>
        <v>1318733.7979555202</v>
      </c>
      <c r="T130" s="78">
        <f t="shared" si="4"/>
        <v>106866.69257150745</v>
      </c>
      <c r="U130" s="78">
        <f t="shared" si="5"/>
        <v>1425600.4905270278</v>
      </c>
      <c r="V130" s="76" t="str">
        <f>VLOOKUP(B130,NUTS_Europa!$B$2:$F$41,5,FALSE)</f>
        <v>Prov. Oost-Vlaanderen</v>
      </c>
      <c r="W130" s="76" t="str">
        <f>VLOOKUP(C130,Puertos!$N$3:$O$27,2,FALSE)</f>
        <v>Zeebrugge</v>
      </c>
      <c r="X130" s="76" t="str">
        <f>VLOOKUP(D130,NUTS_Europa!$B$2:$F$41,5,FALSE)</f>
        <v>Midi-Pyrénées</v>
      </c>
      <c r="Y130" s="76" t="str">
        <f>VLOOKUP(E130,Puertos!$N$3:$O$27,2,FALSE)</f>
        <v>Bilbao</v>
      </c>
    </row>
    <row r="131" spans="2:25" s="76" customFormat="1" x14ac:dyDescent="0.25">
      <c r="B131" s="76" t="str">
        <f>VLOOKUP(G131,[1]NUTS_Europa!$A$2:$C$81,2,FALSE)</f>
        <v>FRJ2</v>
      </c>
      <c r="C131" s="76">
        <f>VLOOKUP(G131,[1]NUTS_Europa!$A$2:$C$81,3,FALSE)</f>
        <v>163</v>
      </c>
      <c r="D131" s="76" t="str">
        <f>VLOOKUP(F131,[1]NUTS_Europa!$A$2:$C$81,2,FALSE)</f>
        <v>FRD1</v>
      </c>
      <c r="E131" s="76">
        <f>VLOOKUP(F131,[1]NUTS_Europa!$A$2:$C$81,3,FALSE)</f>
        <v>269</v>
      </c>
      <c r="F131" s="76">
        <v>59</v>
      </c>
      <c r="G131" s="76">
        <v>68</v>
      </c>
      <c r="H131" s="78">
        <v>2634321.0838791667</v>
      </c>
      <c r="I131" s="78">
        <v>1398442.5411609532</v>
      </c>
      <c r="J131" s="78">
        <f t="shared" si="1"/>
        <v>107572.50316622716</v>
      </c>
      <c r="K131" s="79">
        <v>145277.79316174539</v>
      </c>
      <c r="L131" s="80">
        <v>31.178974358974358</v>
      </c>
      <c r="M131" s="80">
        <v>15.655261594869913</v>
      </c>
      <c r="N131" s="80">
        <v>19.985156806333826</v>
      </c>
      <c r="O131" s="79">
        <v>2892.2254025044726</v>
      </c>
      <c r="P131" s="80">
        <f t="shared" si="2"/>
        <v>10.903914132379247</v>
      </c>
      <c r="Q131" s="80">
        <f t="shared" si="3"/>
        <v>57.73815008622352</v>
      </c>
      <c r="R131" s="76">
        <v>1578</v>
      </c>
      <c r="S131" s="78">
        <f t="shared" si="7"/>
        <v>1437287.241430657</v>
      </c>
      <c r="T131" s="78">
        <f t="shared" si="4"/>
        <v>107572.50316622716</v>
      </c>
      <c r="U131" s="78">
        <f t="shared" si="5"/>
        <v>1544859.7445968841</v>
      </c>
      <c r="V131" s="76" t="str">
        <f>VLOOKUP(B131,NUTS_Europa!$B$2:$F$41,5,FALSE)</f>
        <v>Midi-Pyrénées</v>
      </c>
      <c r="W131" s="76" t="str">
        <f>VLOOKUP(C131,Puertos!$N$3:$O$27,2,FALSE)</f>
        <v>Bilbao</v>
      </c>
      <c r="X131" s="76" t="str">
        <f>VLOOKUP(D131,NUTS_Europa!$B$2:$F$41,5,FALSE)</f>
        <v xml:space="preserve">Basse-Normandie </v>
      </c>
      <c r="Y131" s="76" t="str">
        <f>VLOOKUP(E131,Puertos!$N$3:$O$27,2,FALSE)</f>
        <v>Le Havre</v>
      </c>
    </row>
    <row r="132" spans="2:25" s="76" customFormat="1" x14ac:dyDescent="0.25">
      <c r="B132" s="76" t="str">
        <f>VLOOKUP(G132,[1]NUTS_Europa!$A$2:$C$81,2,FALSE)</f>
        <v>FRD1</v>
      </c>
      <c r="C132" s="76">
        <f>VLOOKUP(G132,[1]NUTS_Europa!$A$2:$C$81,3,FALSE)</f>
        <v>269</v>
      </c>
      <c r="D132" s="76" t="str">
        <f>VLOOKUP(F132,[1]NUTS_Europa!$A$2:$C$81,2,FALSE)</f>
        <v>BE25</v>
      </c>
      <c r="E132" s="76">
        <f>VLOOKUP(F132,[1]NUTS_Europa!$A$2:$C$81,3,FALSE)</f>
        <v>220</v>
      </c>
      <c r="F132" s="76">
        <v>43</v>
      </c>
      <c r="G132" s="76">
        <v>59</v>
      </c>
      <c r="H132" s="78">
        <v>4232837.4788314467</v>
      </c>
      <c r="I132" s="78">
        <v>1006369.5534397762</v>
      </c>
      <c r="J132" s="78">
        <f t="shared" si="1"/>
        <v>77413.042572290477</v>
      </c>
      <c r="K132" s="79">
        <v>199058.85825050285</v>
      </c>
      <c r="L132" s="80">
        <v>9.281538461538462</v>
      </c>
      <c r="M132" s="80">
        <v>9.1618570264339638</v>
      </c>
      <c r="N132" s="80">
        <v>103.79774657649504</v>
      </c>
      <c r="O132" s="79">
        <v>16475.849731663686</v>
      </c>
      <c r="P132" s="80">
        <f t="shared" si="2"/>
        <v>9.9413897774831081</v>
      </c>
      <c r="Q132" s="80">
        <f t="shared" si="3"/>
        <v>28.384785265455534</v>
      </c>
      <c r="R132" s="76">
        <v>1578</v>
      </c>
      <c r="S132" s="78">
        <f t="shared" si="7"/>
        <v>405406.55871359137</v>
      </c>
      <c r="T132" s="78">
        <f t="shared" si="4"/>
        <v>77413.042572290477</v>
      </c>
      <c r="U132" s="78">
        <f t="shared" si="5"/>
        <v>482819.60128588183</v>
      </c>
      <c r="V132" s="76" t="str">
        <f>VLOOKUP(B132,NUTS_Europa!$B$2:$F$41,5,FALSE)</f>
        <v xml:space="preserve">Basse-Normandie </v>
      </c>
      <c r="W132" s="76" t="str">
        <f>VLOOKUP(C132,Puertos!$N$3:$O$27,2,FALSE)</f>
        <v>Le Havre</v>
      </c>
      <c r="X132" s="76" t="str">
        <f>VLOOKUP(D132,NUTS_Europa!$B$2:$F$41,5,FALSE)</f>
        <v>Prov. West-Vlaanderen</v>
      </c>
      <c r="Y132" s="76" t="str">
        <f>VLOOKUP(E132,Puertos!$N$3:$O$27,2,FALSE)</f>
        <v>Zeebrugge</v>
      </c>
    </row>
    <row r="133" spans="2:25" s="76" customFormat="1" x14ac:dyDescent="0.25">
      <c r="B133" s="76" t="str">
        <f>VLOOKUP(F133,[1]NUTS_Europa!$A$2:$C$81,2,FALSE)</f>
        <v>BE25</v>
      </c>
      <c r="C133" s="76">
        <f>VLOOKUP(F133,[1]NUTS_Europa!$A$2:$C$81,3,FALSE)</f>
        <v>220</v>
      </c>
      <c r="D133" s="76" t="str">
        <f>VLOOKUP(G133,[1]NUTS_Europa!$A$2:$C$81,2,FALSE)</f>
        <v>PT18</v>
      </c>
      <c r="E133" s="76">
        <f>VLOOKUP(G133,[1]NUTS_Europa!$A$2:$C$81,3,FALSE)</f>
        <v>61</v>
      </c>
      <c r="F133" s="76">
        <v>43</v>
      </c>
      <c r="G133" s="76">
        <v>80</v>
      </c>
      <c r="H133" s="78">
        <v>11692365.699720269</v>
      </c>
      <c r="I133" s="78">
        <v>1783944.226474572</v>
      </c>
      <c r="J133" s="78">
        <f t="shared" si="1"/>
        <v>137226.47895958245</v>
      </c>
      <c r="K133" s="79">
        <v>117768.50934211678</v>
      </c>
      <c r="L133" s="80">
        <v>69.418974358974367</v>
      </c>
      <c r="M133" s="80">
        <v>8.3674627140526177</v>
      </c>
      <c r="N133" s="80">
        <v>87.377887414160924</v>
      </c>
      <c r="O133" s="79">
        <v>17378.68458416584</v>
      </c>
      <c r="P133" s="80">
        <f t="shared" si="2"/>
        <v>7.9339898064076726</v>
      </c>
      <c r="Q133" s="80">
        <f t="shared" si="3"/>
        <v>85.720426879434655</v>
      </c>
      <c r="R133" s="76">
        <v>1578</v>
      </c>
      <c r="S133" s="78">
        <f t="shared" si="7"/>
        <v>1061677.1933918032</v>
      </c>
      <c r="T133" s="78">
        <f t="shared" si="4"/>
        <v>137226.47895958245</v>
      </c>
      <c r="U133" s="78">
        <f t="shared" si="5"/>
        <v>1198903.6723513857</v>
      </c>
      <c r="V133" s="76" t="str">
        <f>VLOOKUP(B133,NUTS_Europa!$B$2:$F$41,5,FALSE)</f>
        <v>Prov. West-Vlaanderen</v>
      </c>
      <c r="W133" s="76" t="str">
        <f>VLOOKUP(C133,Puertos!$N$3:$O$27,2,FALSE)</f>
        <v>Zeebrugge</v>
      </c>
      <c r="X133" s="76" t="str">
        <f>VLOOKUP(D133,NUTS_Europa!$B$2:$F$41,5,FALSE)</f>
        <v>Alentejo</v>
      </c>
      <c r="Y133" s="76" t="str">
        <f>VLOOKUP(E133,Puertos!$N$3:$O$27,2,FALSE)</f>
        <v>Algeciras</v>
      </c>
    </row>
    <row r="134" spans="2:25" s="76" customFormat="1" x14ac:dyDescent="0.25">
      <c r="B134" s="76" t="str">
        <f>VLOOKUP(G134,[1]NUTS_Europa!$A$2:$C$81,2,FALSE)</f>
        <v>PT18</v>
      </c>
      <c r="C134" s="76">
        <f>VLOOKUP(G134,[1]NUTS_Europa!$A$2:$C$81,3,FALSE)</f>
        <v>61</v>
      </c>
      <c r="D134" s="76" t="str">
        <f>VLOOKUP(F134,[1]NUTS_Europa!$A$2:$C$81,2,FALSE)</f>
        <v>DE60</v>
      </c>
      <c r="E134" s="76">
        <f>VLOOKUP(F134,[1]NUTS_Europa!$A$2:$C$81,3,FALSE)</f>
        <v>1069</v>
      </c>
      <c r="F134" s="76">
        <v>5</v>
      </c>
      <c r="G134" s="76">
        <v>80</v>
      </c>
      <c r="H134" s="78">
        <v>10857914.458970347</v>
      </c>
      <c r="I134" s="78">
        <v>2079866.4262658227</v>
      </c>
      <c r="J134" s="78">
        <f t="shared" si="1"/>
        <v>159989.72509737097</v>
      </c>
      <c r="K134" s="79">
        <v>118487.95435333898</v>
      </c>
      <c r="L134" s="80">
        <v>85.783589743589744</v>
      </c>
      <c r="M134" s="80">
        <v>11.232102853782507</v>
      </c>
      <c r="N134" s="80">
        <v>81.961930405251849</v>
      </c>
      <c r="O134" s="79">
        <v>17378.68458416584</v>
      </c>
      <c r="P134" s="80">
        <f t="shared" si="2"/>
        <v>7.4422160982959928</v>
      </c>
      <c r="Q134" s="80">
        <f t="shared" si="3"/>
        <v>104.45790869566824</v>
      </c>
      <c r="R134" s="76">
        <v>1578</v>
      </c>
      <c r="S134" s="78">
        <f t="shared" si="7"/>
        <v>985908.27937957039</v>
      </c>
      <c r="T134" s="78">
        <f t="shared" si="4"/>
        <v>159989.72509737097</v>
      </c>
      <c r="U134" s="78">
        <f t="shared" si="5"/>
        <v>1145898.0044769414</v>
      </c>
      <c r="V134" s="76" t="str">
        <f>VLOOKUP(B134,NUTS_Europa!$B$2:$F$41,5,FALSE)</f>
        <v>Alentejo</v>
      </c>
      <c r="W134" s="76" t="str">
        <f>VLOOKUP(C134,Puertos!$N$3:$O$27,2,FALSE)</f>
        <v>Algeciras</v>
      </c>
      <c r="X134" s="76" t="str">
        <f>VLOOKUP(D134,NUTS_Europa!$B$2:$F$41,5,FALSE)</f>
        <v>Hamburg</v>
      </c>
      <c r="Y134" s="76" t="str">
        <f>VLOOKUP(E134,Puertos!$N$3:$O$27,2,FALSE)</f>
        <v>Hamburgo</v>
      </c>
    </row>
    <row r="135" spans="2:25" s="76" customFormat="1" x14ac:dyDescent="0.25"/>
    <row r="136" spans="2:25" s="76" customFormat="1" x14ac:dyDescent="0.25"/>
    <row r="137" spans="2:25" s="76" customFormat="1" x14ac:dyDescent="0.25"/>
    <row r="138" spans="2:25" s="76" customFormat="1" x14ac:dyDescent="0.25"/>
    <row r="139" spans="2:25" s="76" customFormat="1" x14ac:dyDescent="0.25"/>
    <row r="140" spans="2:25" s="76" customFormat="1" x14ac:dyDescent="0.25"/>
    <row r="141" spans="2:25" s="76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13 buques 14 kn 25000</vt:lpstr>
      <vt:lpstr>14 buques 19.5 kn 25000 charter</vt:lpstr>
      <vt:lpstr>13 buques 21.4 kn 25000 charter</vt:lpstr>
      <vt:lpstr>13 buques 21.4 12500 charter</vt:lpstr>
      <vt:lpstr>13 buques 19.5 kn 12500 charter</vt:lpstr>
      <vt:lpstr>13 buques 14 kn 12500</vt:lpstr>
      <vt:lpstr>14 buques 21.4 kn 50000</vt:lpstr>
      <vt:lpstr>14 buques 14 kn 50000</vt:lpstr>
      <vt:lpstr>13 buques 19.5 kn 50000</vt:lpstr>
      <vt:lpstr>Puertos</vt:lpstr>
      <vt:lpstr>NUTS_Europa</vt:lpstr>
      <vt:lpstr>NUTS_Europa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alicia Munín Doce</cp:lastModifiedBy>
  <dcterms:created xsi:type="dcterms:W3CDTF">2015-06-05T18:19:34Z</dcterms:created>
  <dcterms:modified xsi:type="dcterms:W3CDTF">2022-10-15T17:22:06Z</dcterms:modified>
</cp:coreProperties>
</file>