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Data/"/>
    </mc:Choice>
  </mc:AlternateContent>
  <xr:revisionPtr revIDLastSave="39" documentId="8_{1B77986B-3AA0-410A-9892-FE394A8CBAC7}" xr6:coauthVersionLast="47" xr6:coauthVersionMax="47" xr10:uidLastSave="{2F582B61-00F8-42E4-A2A3-648F46B3DBAC}"/>
  <bookViews>
    <workbookView xWindow="-28920" yWindow="-120" windowWidth="29040" windowHeight="15225" activeTab="9" xr2:uid="{00000000-000D-0000-FFFF-FFFF00000000}"/>
  </bookViews>
  <sheets>
    <sheet name="Puertos" sheetId="11" r:id="rId1"/>
    <sheet name="Datos" sheetId="1" r:id="rId2"/>
    <sheet name="Coste" sheetId="14" r:id="rId3"/>
    <sheet name="Variables auxiliares" sheetId="2" r:id="rId4"/>
    <sheet name="GT" sheetId="13" r:id="rId5"/>
    <sheet name="PR" sheetId="12" r:id="rId6"/>
    <sheet name="Gruas" sheetId="4" r:id="rId7"/>
    <sheet name="Altura castillo" sheetId="5" r:id="rId8"/>
    <sheet name="slots con grua" sheetId="6" r:id="rId9"/>
    <sheet name="slots sin grua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1" i="11"/>
  <c r="C25" i="1"/>
  <c r="F10" i="11" l="1"/>
  <c r="F9" i="11"/>
  <c r="E6" i="11" l="1"/>
  <c r="G6" i="11" s="1"/>
  <c r="E5" i="11"/>
  <c r="G5" i="11" s="1"/>
  <c r="E4" i="11"/>
  <c r="G4" i="11" s="1"/>
  <c r="E8" i="11" l="1"/>
  <c r="F8" i="11" s="1"/>
  <c r="M41" i="2" l="1"/>
  <c r="C7" i="13" l="1"/>
  <c r="C12" i="12"/>
  <c r="E3" i="12"/>
  <c r="C11" i="12" s="1"/>
  <c r="C9" i="12" l="1"/>
  <c r="M16" i="2"/>
  <c r="M18" i="2" s="1"/>
  <c r="R13" i="2"/>
  <c r="R10" i="2" s="1"/>
  <c r="M6" i="2"/>
  <c r="M19" i="2" l="1"/>
  <c r="M17" i="2"/>
  <c r="G30" i="2"/>
  <c r="G15" i="2"/>
  <c r="G13" i="2"/>
  <c r="M20" i="2" l="1"/>
  <c r="C11" i="13" s="1"/>
  <c r="C8" i="12"/>
  <c r="H19" i="2"/>
  <c r="M40" i="2" l="1"/>
  <c r="M39" i="2"/>
  <c r="Q50" i="2" l="1"/>
  <c r="N50" i="2"/>
  <c r="M50" i="2"/>
  <c r="O39" i="2"/>
  <c r="P50" i="2"/>
  <c r="O50" i="2"/>
  <c r="N52" i="2"/>
  <c r="M52" i="2"/>
  <c r="O52" i="2"/>
  <c r="Q52" i="2"/>
  <c r="P52" i="2"/>
  <c r="O40" i="2"/>
  <c r="M48" i="2" l="1"/>
  <c r="M51" i="2"/>
  <c r="P49" i="2"/>
  <c r="P53" i="2"/>
  <c r="N53" i="2"/>
  <c r="N49" i="2"/>
  <c r="Q49" i="2"/>
  <c r="Q53" i="2"/>
  <c r="O48" i="2"/>
  <c r="O51" i="2"/>
  <c r="N48" i="2"/>
  <c r="N51" i="2"/>
  <c r="M49" i="2"/>
  <c r="M53" i="2"/>
  <c r="O53" i="2"/>
  <c r="O49" i="2"/>
  <c r="P48" i="2"/>
  <c r="P51" i="2"/>
  <c r="Q51" i="2"/>
  <c r="Q48" i="2"/>
  <c r="P57" i="7" l="1"/>
  <c r="D78" i="7" l="1"/>
  <c r="D63" i="7"/>
  <c r="D125" i="7" s="1"/>
  <c r="F30" i="2"/>
  <c r="I73" i="7" s="1"/>
  <c r="D83" i="7" s="1"/>
  <c r="D113" i="7" s="1"/>
  <c r="D147" i="7" s="1"/>
  <c r="D181" i="7" s="1"/>
  <c r="D215" i="7" s="1"/>
  <c r="D249" i="7" s="1"/>
  <c r="D278" i="7" s="1"/>
  <c r="D306" i="7" s="1"/>
  <c r="L33" i="2"/>
  <c r="L32" i="2"/>
  <c r="B366" i="7"/>
  <c r="B372" i="7" s="1"/>
  <c r="B338" i="7"/>
  <c r="B344" i="7" s="1"/>
  <c r="B310" i="7"/>
  <c r="B330" i="7" s="1"/>
  <c r="B334" i="7" s="1"/>
  <c r="B282" i="7"/>
  <c r="B296" i="7" s="1"/>
  <c r="B302" i="7" s="1"/>
  <c r="B306" i="7" s="1"/>
  <c r="B254" i="7"/>
  <c r="B268" i="7" s="1"/>
  <c r="B220" i="7"/>
  <c r="B227" i="7" s="1"/>
  <c r="B186" i="7"/>
  <c r="B193" i="7" s="1"/>
  <c r="B210" i="7" s="1"/>
  <c r="B215" i="7" s="1"/>
  <c r="B152" i="7"/>
  <c r="B169" i="7" s="1"/>
  <c r="B118" i="7"/>
  <c r="B135" i="7" s="1"/>
  <c r="B88" i="7"/>
  <c r="B93" i="7" s="1"/>
  <c r="B98" i="7" s="1"/>
  <c r="B58" i="7"/>
  <c r="F35" i="7" s="1"/>
  <c r="F259" i="7"/>
  <c r="F258" i="7"/>
  <c r="F262" i="7" s="1"/>
  <c r="F257" i="7"/>
  <c r="F256" i="7"/>
  <c r="F260" i="7" s="1"/>
  <c r="F255" i="7"/>
  <c r="F269" i="7" s="1"/>
  <c r="F254" i="7"/>
  <c r="F268" i="7" s="1"/>
  <c r="F282" i="7" s="1"/>
  <c r="F310" i="7" s="1"/>
  <c r="F338" i="7" s="1"/>
  <c r="F366" i="7" s="1"/>
  <c r="F220" i="7"/>
  <c r="F237" i="7" s="1"/>
  <c r="F203" i="7"/>
  <c r="F186" i="7"/>
  <c r="F169" i="7"/>
  <c r="F152" i="7"/>
  <c r="F135" i="7"/>
  <c r="F119" i="7"/>
  <c r="F136" i="7" s="1"/>
  <c r="F118" i="7"/>
  <c r="H48" i="7" s="1"/>
  <c r="E32" i="7" s="1"/>
  <c r="E73" i="7"/>
  <c r="E83" i="7" s="1"/>
  <c r="E113" i="7" s="1"/>
  <c r="E147" i="7" s="1"/>
  <c r="E181" i="7" s="1"/>
  <c r="E215" i="7" s="1"/>
  <c r="E249" i="7" s="1"/>
  <c r="E278" i="7" s="1"/>
  <c r="E306" i="7" s="1"/>
  <c r="E320" i="7" s="1"/>
  <c r="D73" i="7"/>
  <c r="F62" i="7"/>
  <c r="F77" i="7" s="1"/>
  <c r="F61" i="7"/>
  <c r="F76" i="7" s="1"/>
  <c r="F60" i="7"/>
  <c r="F75" i="7" s="1"/>
  <c r="F59" i="7"/>
  <c r="F64" i="7" s="1"/>
  <c r="F89" i="7" s="1"/>
  <c r="F104" i="7" s="1"/>
  <c r="G58" i="7"/>
  <c r="G61" i="7" s="1"/>
  <c r="F58" i="7"/>
  <c r="F73" i="7" s="1"/>
  <c r="E58" i="7"/>
  <c r="E118" i="7" s="1"/>
  <c r="E186" i="7" s="1"/>
  <c r="E220" i="7" s="1"/>
  <c r="D58" i="7"/>
  <c r="D282" i="7" s="1"/>
  <c r="D310" i="7" s="1"/>
  <c r="D338" i="7" s="1"/>
  <c r="D366" i="7" s="1"/>
  <c r="H49" i="7"/>
  <c r="E33" i="7" s="1"/>
  <c r="C23" i="7"/>
  <c r="B352" i="7" l="1"/>
  <c r="B358" i="7" s="1"/>
  <c r="B362" i="7" s="1"/>
  <c r="B348" i="7"/>
  <c r="B380" i="7"/>
  <c r="B386" i="7" s="1"/>
  <c r="B390" i="7" s="1"/>
  <c r="B376" i="7"/>
  <c r="E334" i="7"/>
  <c r="E348" i="7"/>
  <c r="E29" i="7"/>
  <c r="B244" i="7"/>
  <c r="B249" i="7" s="1"/>
  <c r="B232" i="7"/>
  <c r="B198" i="7"/>
  <c r="L35" i="7"/>
  <c r="E27" i="7"/>
  <c r="I35" i="7"/>
  <c r="B159" i="7"/>
  <c r="M35" i="7"/>
  <c r="B125" i="7"/>
  <c r="H35" i="7"/>
  <c r="I36" i="7" s="1"/>
  <c r="E39" i="7"/>
  <c r="P35" i="7"/>
  <c r="E78" i="7"/>
  <c r="B203" i="7"/>
  <c r="N35" i="7"/>
  <c r="J35" i="7"/>
  <c r="C39" i="7"/>
  <c r="E63" i="7"/>
  <c r="E68" i="7"/>
  <c r="E98" i="7" s="1"/>
  <c r="E130" i="7" s="1"/>
  <c r="E164" i="7" s="1"/>
  <c r="E198" i="7" s="1"/>
  <c r="E232" i="7" s="1"/>
  <c r="E264" i="7" s="1"/>
  <c r="E292" i="7" s="1"/>
  <c r="D68" i="7"/>
  <c r="D98" i="7" s="1"/>
  <c r="D130" i="7" s="1"/>
  <c r="D164" i="7" s="1"/>
  <c r="D198" i="7" s="1"/>
  <c r="D232" i="7" s="1"/>
  <c r="D264" i="7" s="1"/>
  <c r="D292" i="7" s="1"/>
  <c r="F69" i="7"/>
  <c r="B237" i="7"/>
  <c r="B288" i="7"/>
  <c r="B292" i="7" s="1"/>
  <c r="B316" i="7"/>
  <c r="B260" i="7"/>
  <c r="F78" i="7"/>
  <c r="I33" i="2"/>
  <c r="F39" i="7"/>
  <c r="D93" i="7"/>
  <c r="G35" i="7"/>
  <c r="G36" i="7" s="1"/>
  <c r="K35" i="7"/>
  <c r="O35" i="7"/>
  <c r="F82" i="7"/>
  <c r="F296" i="7"/>
  <c r="F324" i="7" s="1"/>
  <c r="F352" i="7" s="1"/>
  <c r="F380" i="7" s="1"/>
  <c r="E28" i="7"/>
  <c r="G59" i="7"/>
  <c r="G79" i="7" s="1"/>
  <c r="G73" i="7"/>
  <c r="B103" i="7"/>
  <c r="B108" i="7" s="1"/>
  <c r="B113" i="7" s="1"/>
  <c r="F270" i="7"/>
  <c r="D193" i="7"/>
  <c r="F272" i="7"/>
  <c r="E237" i="7"/>
  <c r="E282" i="7"/>
  <c r="G81" i="7"/>
  <c r="G66" i="7"/>
  <c r="G76" i="7"/>
  <c r="F94" i="7"/>
  <c r="H44" i="7"/>
  <c r="B63" i="7"/>
  <c r="F63" i="7"/>
  <c r="F65" i="7"/>
  <c r="F67" i="7"/>
  <c r="F74" i="7"/>
  <c r="F79" i="7"/>
  <c r="D296" i="7"/>
  <c r="D324" i="7" s="1"/>
  <c r="D352" i="7" s="1"/>
  <c r="D380" i="7" s="1"/>
  <c r="D268" i="7"/>
  <c r="D237" i="7"/>
  <c r="D203" i="7"/>
  <c r="D169" i="7"/>
  <c r="D135" i="7"/>
  <c r="D103" i="7"/>
  <c r="E135" i="7"/>
  <c r="E203" i="7"/>
  <c r="E254" i="7"/>
  <c r="E268" i="7" s="1"/>
  <c r="E88" i="7"/>
  <c r="G78" i="7"/>
  <c r="G63" i="7"/>
  <c r="F80" i="7"/>
  <c r="E26" i="7"/>
  <c r="E30" i="7"/>
  <c r="D39" i="7"/>
  <c r="D220" i="7"/>
  <c r="D254" i="7"/>
  <c r="D186" i="7"/>
  <c r="D152" i="7"/>
  <c r="D118" i="7"/>
  <c r="D88" i="7"/>
  <c r="G60" i="7"/>
  <c r="G62" i="7"/>
  <c r="D227" i="7"/>
  <c r="D288" i="7"/>
  <c r="D316" i="7" s="1"/>
  <c r="D260" i="7"/>
  <c r="F66" i="7"/>
  <c r="D302" i="7"/>
  <c r="D330" i="7" s="1"/>
  <c r="D274" i="7"/>
  <c r="D244" i="7"/>
  <c r="D210" i="7"/>
  <c r="D176" i="7"/>
  <c r="D142" i="7"/>
  <c r="D108" i="7"/>
  <c r="F81" i="7"/>
  <c r="D159" i="7"/>
  <c r="F271" i="7"/>
  <c r="F261" i="7"/>
  <c r="F153" i="7"/>
  <c r="F286" i="7"/>
  <c r="F276" i="7"/>
  <c r="F273" i="7"/>
  <c r="F263" i="7"/>
  <c r="F284" i="7"/>
  <c r="F274" i="7"/>
  <c r="F170" i="6"/>
  <c r="F182" i="6" s="1"/>
  <c r="F158" i="6"/>
  <c r="F146" i="6"/>
  <c r="F134" i="6"/>
  <c r="F122" i="6"/>
  <c r="F110" i="6"/>
  <c r="F99" i="6"/>
  <c r="H49" i="6" s="1"/>
  <c r="F98" i="6"/>
  <c r="H48" i="6" s="1"/>
  <c r="B254" i="6"/>
  <c r="Q35" i="6" s="1"/>
  <c r="B234" i="6"/>
  <c r="B250" i="6" s="1"/>
  <c r="B214" i="6"/>
  <c r="O35" i="6" s="1"/>
  <c r="B194" i="6"/>
  <c r="M35" i="6" s="1"/>
  <c r="B170" i="6"/>
  <c r="L35" i="6" s="1"/>
  <c r="B146" i="6"/>
  <c r="K35" i="6" s="1"/>
  <c r="B122" i="6"/>
  <c r="J35" i="6" s="1"/>
  <c r="B98" i="6"/>
  <c r="H35" i="6" s="1"/>
  <c r="B78" i="6"/>
  <c r="G35" i="6" s="1"/>
  <c r="B58" i="6"/>
  <c r="I32" i="2" s="1"/>
  <c r="P35" i="6" l="1"/>
  <c r="B260" i="6"/>
  <c r="B264" i="6" s="1"/>
  <c r="B270" i="6" s="1"/>
  <c r="D358" i="7"/>
  <c r="D334" i="7"/>
  <c r="B324" i="7"/>
  <c r="B320" i="7"/>
  <c r="B240" i="6"/>
  <c r="B244" i="6" s="1"/>
  <c r="E362" i="7"/>
  <c r="E376" i="7"/>
  <c r="E390" i="7" s="1"/>
  <c r="D344" i="7"/>
  <c r="D320" i="7"/>
  <c r="B274" i="7"/>
  <c r="B278" i="7" s="1"/>
  <c r="B264" i="7"/>
  <c r="B176" i="7"/>
  <c r="B181" i="7" s="1"/>
  <c r="B164" i="7"/>
  <c r="B142" i="7"/>
  <c r="B147" i="7" s="1"/>
  <c r="B130" i="7"/>
  <c r="F84" i="7"/>
  <c r="F114" i="7" s="1"/>
  <c r="F148" i="7" s="1"/>
  <c r="F182" i="7" s="1"/>
  <c r="F216" i="7" s="1"/>
  <c r="F250" i="7" s="1"/>
  <c r="F279" i="7" s="1"/>
  <c r="F307" i="7" s="1"/>
  <c r="F99" i="7"/>
  <c r="F131" i="7" s="1"/>
  <c r="F165" i="7" s="1"/>
  <c r="F199" i="7" s="1"/>
  <c r="F233" i="7" s="1"/>
  <c r="F265" i="7" s="1"/>
  <c r="F293" i="7" s="1"/>
  <c r="G64" i="7"/>
  <c r="G89" i="7" s="1"/>
  <c r="B73" i="7"/>
  <c r="B78" i="7" s="1"/>
  <c r="B83" i="7" s="1"/>
  <c r="B68" i="7"/>
  <c r="F92" i="7"/>
  <c r="H41" i="7" s="1"/>
  <c r="F72" i="7"/>
  <c r="F91" i="7"/>
  <c r="F106" i="7" s="1"/>
  <c r="F71" i="7"/>
  <c r="G91" i="7"/>
  <c r="G106" i="7" s="1"/>
  <c r="G71" i="7"/>
  <c r="G88" i="7"/>
  <c r="G103" i="7" s="1"/>
  <c r="G68" i="7"/>
  <c r="F88" i="7"/>
  <c r="H45" i="7" s="1"/>
  <c r="F68" i="7"/>
  <c r="F90" i="7"/>
  <c r="F105" i="7" s="1"/>
  <c r="F70" i="7"/>
  <c r="G74" i="7"/>
  <c r="F288" i="7"/>
  <c r="F312" i="7"/>
  <c r="F340" i="7" s="1"/>
  <c r="F368" i="7" s="1"/>
  <c r="F298" i="7"/>
  <c r="F326" i="7" s="1"/>
  <c r="F354" i="7" s="1"/>
  <c r="F382" i="7" s="1"/>
  <c r="F277" i="7"/>
  <c r="F287" i="7"/>
  <c r="F170" i="7"/>
  <c r="F187" i="7"/>
  <c r="G82" i="7"/>
  <c r="G67" i="7"/>
  <c r="G77" i="7"/>
  <c r="E125" i="7"/>
  <c r="E93" i="7"/>
  <c r="F275" i="7"/>
  <c r="F285" i="7"/>
  <c r="G80" i="7"/>
  <c r="G75" i="7"/>
  <c r="G65" i="7"/>
  <c r="E296" i="7"/>
  <c r="E324" i="7" s="1"/>
  <c r="E352" i="7" s="1"/>
  <c r="E380" i="7" s="1"/>
  <c r="E310" i="7"/>
  <c r="E338" i="7" s="1"/>
  <c r="E366" i="7" s="1"/>
  <c r="F290" i="7"/>
  <c r="F314" i="7"/>
  <c r="F342" i="7" s="1"/>
  <c r="F370" i="7" s="1"/>
  <c r="F300" i="7"/>
  <c r="F328" i="7" s="1"/>
  <c r="F356" i="7" s="1"/>
  <c r="F384" i="7" s="1"/>
  <c r="E152" i="7"/>
  <c r="E169" i="7" s="1"/>
  <c r="E103" i="7"/>
  <c r="F97" i="7"/>
  <c r="F109" i="7"/>
  <c r="F121" i="7"/>
  <c r="F29" i="2"/>
  <c r="D386" i="7" l="1"/>
  <c r="D390" i="7" s="1"/>
  <c r="D362" i="7"/>
  <c r="D372" i="7"/>
  <c r="D376" i="7" s="1"/>
  <c r="D348" i="7"/>
  <c r="F107" i="7"/>
  <c r="H43" i="7"/>
  <c r="G93" i="7"/>
  <c r="G120" i="7" s="1"/>
  <c r="F95" i="7"/>
  <c r="F110" i="7" s="1"/>
  <c r="G96" i="7"/>
  <c r="G123" i="7" s="1"/>
  <c r="F85" i="7"/>
  <c r="F115" i="7" s="1"/>
  <c r="F149" i="7" s="1"/>
  <c r="F183" i="7" s="1"/>
  <c r="F217" i="7" s="1"/>
  <c r="F251" i="7" s="1"/>
  <c r="F280" i="7" s="1"/>
  <c r="F308" i="7" s="1"/>
  <c r="F100" i="7"/>
  <c r="F132" i="7" s="1"/>
  <c r="F166" i="7" s="1"/>
  <c r="F200" i="7" s="1"/>
  <c r="F234" i="7" s="1"/>
  <c r="F266" i="7" s="1"/>
  <c r="F294" i="7" s="1"/>
  <c r="G83" i="7"/>
  <c r="G113" i="7" s="1"/>
  <c r="G147" i="7" s="1"/>
  <c r="G181" i="7" s="1"/>
  <c r="G215" i="7" s="1"/>
  <c r="G249" i="7" s="1"/>
  <c r="G278" i="7" s="1"/>
  <c r="G306" i="7" s="1"/>
  <c r="G98" i="7"/>
  <c r="G130" i="7" s="1"/>
  <c r="G164" i="7" s="1"/>
  <c r="G198" i="7" s="1"/>
  <c r="G232" i="7" s="1"/>
  <c r="G264" i="7" s="1"/>
  <c r="G292" i="7" s="1"/>
  <c r="G86" i="7"/>
  <c r="G116" i="7" s="1"/>
  <c r="G150" i="7" s="1"/>
  <c r="G184" i="7" s="1"/>
  <c r="G218" i="7" s="1"/>
  <c r="G252" i="7" s="1"/>
  <c r="G281" i="7" s="1"/>
  <c r="G309" i="7" s="1"/>
  <c r="G101" i="7"/>
  <c r="G133" i="7" s="1"/>
  <c r="G167" i="7" s="1"/>
  <c r="G201" i="7" s="1"/>
  <c r="G235" i="7" s="1"/>
  <c r="G267" i="7" s="1"/>
  <c r="G295" i="7" s="1"/>
  <c r="F87" i="7"/>
  <c r="F117" i="7" s="1"/>
  <c r="F151" i="7" s="1"/>
  <c r="F185" i="7" s="1"/>
  <c r="F219" i="7" s="1"/>
  <c r="F253" i="7" s="1"/>
  <c r="F102" i="7"/>
  <c r="F134" i="7" s="1"/>
  <c r="F168" i="7" s="1"/>
  <c r="F202" i="7" s="1"/>
  <c r="F236" i="7" s="1"/>
  <c r="G69" i="7"/>
  <c r="F83" i="7"/>
  <c r="F113" i="7" s="1"/>
  <c r="F147" i="7" s="1"/>
  <c r="F181" i="7" s="1"/>
  <c r="F215" i="7" s="1"/>
  <c r="F249" i="7" s="1"/>
  <c r="F278" i="7" s="1"/>
  <c r="F306" i="7" s="1"/>
  <c r="F98" i="7"/>
  <c r="F130" i="7" s="1"/>
  <c r="F164" i="7" s="1"/>
  <c r="F198" i="7" s="1"/>
  <c r="F232" i="7" s="1"/>
  <c r="F264" i="7" s="1"/>
  <c r="F292" i="7" s="1"/>
  <c r="F86" i="7"/>
  <c r="F116" i="7" s="1"/>
  <c r="F150" i="7" s="1"/>
  <c r="F184" i="7" s="1"/>
  <c r="F218" i="7" s="1"/>
  <c r="F252" i="7" s="1"/>
  <c r="F281" i="7" s="1"/>
  <c r="F309" i="7" s="1"/>
  <c r="F101" i="7"/>
  <c r="F133" i="7" s="1"/>
  <c r="F167" i="7" s="1"/>
  <c r="F201" i="7" s="1"/>
  <c r="F235" i="7" s="1"/>
  <c r="F267" i="7" s="1"/>
  <c r="F295" i="7" s="1"/>
  <c r="G94" i="7"/>
  <c r="G121" i="7" s="1"/>
  <c r="G104" i="7"/>
  <c r="F93" i="7"/>
  <c r="F120" i="7" s="1"/>
  <c r="F103" i="7"/>
  <c r="F96" i="7"/>
  <c r="F111" i="7" s="1"/>
  <c r="H42" i="7"/>
  <c r="G92" i="7"/>
  <c r="G107" i="7" s="1"/>
  <c r="G72" i="7"/>
  <c r="G90" i="7"/>
  <c r="G105" i="7" s="1"/>
  <c r="G70" i="7"/>
  <c r="F299" i="7"/>
  <c r="F327" i="7" s="1"/>
  <c r="F355" i="7" s="1"/>
  <c r="F383" i="7" s="1"/>
  <c r="F289" i="7"/>
  <c r="F313" i="7"/>
  <c r="F341" i="7" s="1"/>
  <c r="F369" i="7" s="1"/>
  <c r="F138" i="7"/>
  <c r="F126" i="7"/>
  <c r="F124" i="7"/>
  <c r="F112" i="7"/>
  <c r="F301" i="7"/>
  <c r="F329" i="7" s="1"/>
  <c r="F357" i="7" s="1"/>
  <c r="F385" i="7" s="1"/>
  <c r="F291" i="7"/>
  <c r="F315" i="7"/>
  <c r="F343" i="7" s="1"/>
  <c r="F371" i="7" s="1"/>
  <c r="E142" i="7"/>
  <c r="E193" i="7"/>
  <c r="F318" i="7"/>
  <c r="F304" i="7"/>
  <c r="F332" i="7" s="1"/>
  <c r="E108" i="7"/>
  <c r="E159" i="7"/>
  <c r="F204" i="7"/>
  <c r="F221" i="7"/>
  <c r="F316" i="7"/>
  <c r="F302" i="7"/>
  <c r="F330" i="7" s="1"/>
  <c r="J36" i="6"/>
  <c r="G36" i="6"/>
  <c r="F35" i="6"/>
  <c r="D73" i="6"/>
  <c r="D93" i="6" s="1"/>
  <c r="D68" i="6"/>
  <c r="D39" i="6" s="1"/>
  <c r="D63" i="6"/>
  <c r="G39" i="6" s="1"/>
  <c r="D58" i="6"/>
  <c r="D78" i="6" s="1"/>
  <c r="F197" i="6"/>
  <c r="F207" i="6" s="1"/>
  <c r="F198" i="6"/>
  <c r="F208" i="6" s="1"/>
  <c r="F199" i="6"/>
  <c r="F209" i="6" s="1"/>
  <c r="F196" i="6"/>
  <c r="F206" i="6" s="1"/>
  <c r="F195" i="6"/>
  <c r="F205" i="6" s="1"/>
  <c r="F194" i="6"/>
  <c r="F204" i="6" s="1"/>
  <c r="F214" i="6" s="1"/>
  <c r="B204" i="6"/>
  <c r="G58" i="6"/>
  <c r="G59" i="6" s="1"/>
  <c r="G74" i="6" s="1"/>
  <c r="F59" i="6"/>
  <c r="F74" i="6" s="1"/>
  <c r="F60" i="6"/>
  <c r="F70" i="6" s="1"/>
  <c r="F61" i="6"/>
  <c r="F76" i="6" s="1"/>
  <c r="F62" i="6"/>
  <c r="F72" i="6" s="1"/>
  <c r="F58" i="6"/>
  <c r="F73" i="6" s="1"/>
  <c r="E68" i="6"/>
  <c r="E73" i="6" s="1"/>
  <c r="B224" i="6"/>
  <c r="B230" i="6" s="1"/>
  <c r="B182" i="6"/>
  <c r="B158" i="6"/>
  <c r="B134" i="6"/>
  <c r="F122" i="7" l="1"/>
  <c r="F234" i="6"/>
  <c r="F254" i="6" s="1"/>
  <c r="F224" i="6"/>
  <c r="F244" i="6" s="1"/>
  <c r="F264" i="6" s="1"/>
  <c r="G108" i="7"/>
  <c r="F360" i="7"/>
  <c r="F336" i="7"/>
  <c r="F358" i="7"/>
  <c r="F334" i="7"/>
  <c r="F346" i="7"/>
  <c r="F322" i="7"/>
  <c r="F344" i="7"/>
  <c r="F320" i="7"/>
  <c r="G111" i="7"/>
  <c r="G109" i="7"/>
  <c r="F123" i="7"/>
  <c r="F128" i="7" s="1"/>
  <c r="G95" i="7"/>
  <c r="G122" i="7" s="1"/>
  <c r="G87" i="7"/>
  <c r="G117" i="7" s="1"/>
  <c r="G151" i="7" s="1"/>
  <c r="G185" i="7" s="1"/>
  <c r="G219" i="7" s="1"/>
  <c r="G253" i="7" s="1"/>
  <c r="G102" i="7"/>
  <c r="G134" i="7" s="1"/>
  <c r="G168" i="7" s="1"/>
  <c r="G202" i="7" s="1"/>
  <c r="G236" i="7" s="1"/>
  <c r="G85" i="7"/>
  <c r="G115" i="7" s="1"/>
  <c r="G149" i="7" s="1"/>
  <c r="G183" i="7" s="1"/>
  <c r="G217" i="7" s="1"/>
  <c r="G251" i="7" s="1"/>
  <c r="G280" i="7" s="1"/>
  <c r="G308" i="7" s="1"/>
  <c r="G100" i="7"/>
  <c r="G132" i="7" s="1"/>
  <c r="G166" i="7" s="1"/>
  <c r="G200" i="7" s="1"/>
  <c r="G234" i="7" s="1"/>
  <c r="G266" i="7" s="1"/>
  <c r="G294" i="7" s="1"/>
  <c r="F108" i="7"/>
  <c r="G84" i="7"/>
  <c r="G114" i="7" s="1"/>
  <c r="G148" i="7" s="1"/>
  <c r="G182" i="7" s="1"/>
  <c r="G216" i="7" s="1"/>
  <c r="G250" i="7" s="1"/>
  <c r="G279" i="7" s="1"/>
  <c r="G307" i="7" s="1"/>
  <c r="G99" i="7"/>
  <c r="G131" i="7" s="1"/>
  <c r="G165" i="7" s="1"/>
  <c r="G199" i="7" s="1"/>
  <c r="G233" i="7" s="1"/>
  <c r="G265" i="7" s="1"/>
  <c r="G293" i="7" s="1"/>
  <c r="G97" i="7"/>
  <c r="G124" i="7" s="1"/>
  <c r="F305" i="7"/>
  <c r="F333" i="7" s="1"/>
  <c r="F319" i="7"/>
  <c r="E176" i="7"/>
  <c r="E227" i="7"/>
  <c r="G125" i="7"/>
  <c r="G137" i="7"/>
  <c r="G188" i="7"/>
  <c r="F129" i="7"/>
  <c r="F141" i="7"/>
  <c r="F127" i="7"/>
  <c r="F139" i="7"/>
  <c r="F143" i="7"/>
  <c r="F155" i="7"/>
  <c r="F238" i="7"/>
  <c r="F283" i="7"/>
  <c r="G191" i="7"/>
  <c r="G128" i="7"/>
  <c r="G140" i="7"/>
  <c r="E260" i="7"/>
  <c r="E274" i="7" s="1"/>
  <c r="E210" i="7"/>
  <c r="G189" i="7"/>
  <c r="G126" i="7"/>
  <c r="G138" i="7"/>
  <c r="F125" i="7"/>
  <c r="F137" i="7"/>
  <c r="F303" i="7"/>
  <c r="F331" i="7" s="1"/>
  <c r="F317" i="7"/>
  <c r="D189" i="6"/>
  <c r="C39" i="6"/>
  <c r="F68" i="6"/>
  <c r="D117" i="6"/>
  <c r="D210" i="6"/>
  <c r="D141" i="6"/>
  <c r="D230" i="6"/>
  <c r="D250" i="6" s="1"/>
  <c r="D270" i="6" s="1"/>
  <c r="D165" i="6"/>
  <c r="B177" i="6"/>
  <c r="B189" i="6" s="1"/>
  <c r="D83" i="6"/>
  <c r="D88" i="6"/>
  <c r="D122" i="6"/>
  <c r="D146" i="6"/>
  <c r="D170" i="6"/>
  <c r="D194" i="6"/>
  <c r="D214" i="6"/>
  <c r="D234" i="6" s="1"/>
  <c r="D254" i="6" s="1"/>
  <c r="E39" i="6"/>
  <c r="E33" i="6"/>
  <c r="E30" i="6"/>
  <c r="D129" i="6"/>
  <c r="D153" i="6"/>
  <c r="D177" i="6"/>
  <c r="D200" i="6"/>
  <c r="D220" i="6"/>
  <c r="D240" i="6" s="1"/>
  <c r="D260" i="6" s="1"/>
  <c r="E32" i="6"/>
  <c r="D110" i="6"/>
  <c r="D134" i="6"/>
  <c r="D158" i="6"/>
  <c r="D182" i="6"/>
  <c r="D204" i="6"/>
  <c r="D224" i="6"/>
  <c r="D244" i="6" s="1"/>
  <c r="D264" i="6" s="1"/>
  <c r="E26" i="6"/>
  <c r="E29" i="6"/>
  <c r="E27" i="6"/>
  <c r="E28" i="6"/>
  <c r="F111" i="6"/>
  <c r="F123" i="6"/>
  <c r="G68" i="6"/>
  <c r="G73" i="6"/>
  <c r="G69" i="6"/>
  <c r="F77" i="6"/>
  <c r="G62" i="6"/>
  <c r="F71" i="6"/>
  <c r="G61" i="6"/>
  <c r="F69" i="6"/>
  <c r="F75" i="6"/>
  <c r="G60" i="6"/>
  <c r="B110" i="6"/>
  <c r="B88" i="6"/>
  <c r="B93" i="6" s="1"/>
  <c r="B63" i="6"/>
  <c r="B68" i="6" s="1"/>
  <c r="B73" i="6" s="1"/>
  <c r="F372" i="7" l="1"/>
  <c r="F376" i="7" s="1"/>
  <c r="F348" i="7"/>
  <c r="F386" i="7"/>
  <c r="F390" i="7" s="1"/>
  <c r="F362" i="7"/>
  <c r="F374" i="7"/>
  <c r="F378" i="7" s="1"/>
  <c r="F350" i="7"/>
  <c r="F388" i="7"/>
  <c r="F392" i="7" s="1"/>
  <c r="F364" i="7"/>
  <c r="F359" i="7"/>
  <c r="F335" i="7"/>
  <c r="F361" i="7"/>
  <c r="F337" i="7"/>
  <c r="F347" i="7"/>
  <c r="F323" i="7"/>
  <c r="F345" i="7"/>
  <c r="F321" i="7"/>
  <c r="F140" i="7"/>
  <c r="G110" i="7"/>
  <c r="G112" i="7"/>
  <c r="E288" i="7"/>
  <c r="E244" i="7"/>
  <c r="G206" i="7"/>
  <c r="G223" i="7"/>
  <c r="G194" i="7"/>
  <c r="G211" i="7" s="1"/>
  <c r="G145" i="7"/>
  <c r="G157" i="7"/>
  <c r="F172" i="7"/>
  <c r="F160" i="7"/>
  <c r="G129" i="7"/>
  <c r="G141" i="7"/>
  <c r="G192" i="7"/>
  <c r="G127" i="7"/>
  <c r="G139" i="7"/>
  <c r="G190" i="7"/>
  <c r="G142" i="7"/>
  <c r="G154" i="7"/>
  <c r="F154" i="7"/>
  <c r="F142" i="7"/>
  <c r="G208" i="7"/>
  <c r="G225" i="7"/>
  <c r="G196" i="7"/>
  <c r="G213" i="7" s="1"/>
  <c r="F145" i="7"/>
  <c r="F157" i="7"/>
  <c r="G143" i="7"/>
  <c r="G155" i="7"/>
  <c r="F156" i="7"/>
  <c r="F144" i="7"/>
  <c r="F158" i="7"/>
  <c r="F146" i="7"/>
  <c r="F297" i="7"/>
  <c r="F325" i="7" s="1"/>
  <c r="F353" i="7" s="1"/>
  <c r="F381" i="7" s="1"/>
  <c r="F311" i="7"/>
  <c r="F339" i="7" s="1"/>
  <c r="F367" i="7" s="1"/>
  <c r="G222" i="7"/>
  <c r="G193" i="7"/>
  <c r="G210" i="7" s="1"/>
  <c r="G205" i="7"/>
  <c r="F147" i="6"/>
  <c r="F135" i="6"/>
  <c r="G71" i="6"/>
  <c r="G76" i="6"/>
  <c r="G70" i="6"/>
  <c r="G75" i="6"/>
  <c r="G77" i="6"/>
  <c r="G72" i="6"/>
  <c r="M11" i="2"/>
  <c r="C20" i="1"/>
  <c r="M5" i="2"/>
  <c r="F13" i="2" s="1"/>
  <c r="C3" i="13" l="1"/>
  <c r="F373" i="7"/>
  <c r="F377" i="7" s="1"/>
  <c r="F349" i="7"/>
  <c r="F389" i="7"/>
  <c r="F393" i="7" s="1"/>
  <c r="F365" i="7"/>
  <c r="F375" i="7"/>
  <c r="F379" i="7" s="1"/>
  <c r="F351" i="7"/>
  <c r="F387" i="7"/>
  <c r="F391" i="7" s="1"/>
  <c r="F363" i="7"/>
  <c r="F174" i="7"/>
  <c r="F162" i="7"/>
  <c r="G146" i="7"/>
  <c r="G158" i="7"/>
  <c r="G227" i="7"/>
  <c r="G244" i="7" s="1"/>
  <c r="G256" i="7" s="1"/>
  <c r="G239" i="7"/>
  <c r="F161" i="7"/>
  <c r="F173" i="7"/>
  <c r="G224" i="7"/>
  <c r="G207" i="7"/>
  <c r="G195" i="7"/>
  <c r="G212" i="7" s="1"/>
  <c r="F177" i="7"/>
  <c r="F189" i="7"/>
  <c r="E316" i="7"/>
  <c r="E344" i="7" s="1"/>
  <c r="E372" i="7" s="1"/>
  <c r="E302" i="7"/>
  <c r="E330" i="7" s="1"/>
  <c r="E358" i="7" s="1"/>
  <c r="E386" i="7" s="1"/>
  <c r="G160" i="7"/>
  <c r="G177" i="7" s="1"/>
  <c r="G172" i="7"/>
  <c r="F159" i="7"/>
  <c r="F171" i="7"/>
  <c r="G226" i="7"/>
  <c r="G197" i="7"/>
  <c r="G214" i="7" s="1"/>
  <c r="G209" i="7"/>
  <c r="G240" i="7"/>
  <c r="G228" i="7"/>
  <c r="G245" i="7" s="1"/>
  <c r="G257" i="7" s="1"/>
  <c r="F163" i="7"/>
  <c r="F175" i="7"/>
  <c r="G242" i="7"/>
  <c r="G230" i="7"/>
  <c r="G247" i="7" s="1"/>
  <c r="G159" i="7"/>
  <c r="G176" i="7" s="1"/>
  <c r="G171" i="7"/>
  <c r="G144" i="7"/>
  <c r="G156" i="7"/>
  <c r="G162" i="7"/>
  <c r="G179" i="7" s="1"/>
  <c r="G174" i="7"/>
  <c r="F171" i="6"/>
  <c r="F159" i="6"/>
  <c r="G163" i="7" l="1"/>
  <c r="G180" i="7" s="1"/>
  <c r="G175" i="7"/>
  <c r="G271" i="7"/>
  <c r="G261" i="7"/>
  <c r="G231" i="7"/>
  <c r="G248" i="7" s="1"/>
  <c r="G243" i="7"/>
  <c r="F190" i="7"/>
  <c r="F178" i="7"/>
  <c r="F179" i="7"/>
  <c r="F191" i="7"/>
  <c r="F206" i="7"/>
  <c r="F194" i="7"/>
  <c r="F211" i="7" s="1"/>
  <c r="F223" i="7"/>
  <c r="F192" i="7"/>
  <c r="F180" i="7"/>
  <c r="G161" i="7"/>
  <c r="G178" i="7" s="1"/>
  <c r="G173" i="7"/>
  <c r="F188" i="7"/>
  <c r="F176" i="7"/>
  <c r="G229" i="7"/>
  <c r="G246" i="7" s="1"/>
  <c r="G258" i="7" s="1"/>
  <c r="G241" i="7"/>
  <c r="G270" i="7"/>
  <c r="G260" i="7"/>
  <c r="F183" i="6"/>
  <c r="F215" i="6"/>
  <c r="B220" i="6"/>
  <c r="F203" i="6"/>
  <c r="F202" i="6"/>
  <c r="F201" i="6"/>
  <c r="F200" i="6"/>
  <c r="B200" i="6"/>
  <c r="B210" i="6" s="1"/>
  <c r="B153" i="6"/>
  <c r="B165" i="6" s="1"/>
  <c r="D105" i="6"/>
  <c r="B105" i="6"/>
  <c r="D98" i="6"/>
  <c r="F67" i="6"/>
  <c r="F82" i="6" s="1"/>
  <c r="H41" i="6" s="1"/>
  <c r="F66" i="6"/>
  <c r="F81" i="6" s="1"/>
  <c r="H42" i="6" s="1"/>
  <c r="F65" i="6"/>
  <c r="F80" i="6" s="1"/>
  <c r="H43" i="6" s="1"/>
  <c r="F64" i="6"/>
  <c r="F79" i="6" s="1"/>
  <c r="H44" i="6" s="1"/>
  <c r="F63" i="6"/>
  <c r="F78" i="6" s="1"/>
  <c r="H45" i="6" s="1"/>
  <c r="B83" i="6"/>
  <c r="G63" i="6"/>
  <c r="G78" i="6" s="1"/>
  <c r="E58" i="6"/>
  <c r="E98" i="6" s="1"/>
  <c r="E110" i="6" s="1"/>
  <c r="C23" i="6"/>
  <c r="F225" i="6" l="1"/>
  <c r="F245" i="6" s="1"/>
  <c r="F265" i="6" s="1"/>
  <c r="F235" i="6"/>
  <c r="F255" i="6" s="1"/>
  <c r="G285" i="7"/>
  <c r="G275" i="7"/>
  <c r="F224" i="7"/>
  <c r="F207" i="7"/>
  <c r="F195" i="7"/>
  <c r="F212" i="7" s="1"/>
  <c r="F222" i="7"/>
  <c r="F193" i="7"/>
  <c r="F210" i="7" s="1"/>
  <c r="F205" i="7"/>
  <c r="F226" i="7"/>
  <c r="F197" i="7"/>
  <c r="F214" i="7" s="1"/>
  <c r="F209" i="7"/>
  <c r="F208" i="7"/>
  <c r="F225" i="7"/>
  <c r="F196" i="7"/>
  <c r="F213" i="7" s="1"/>
  <c r="G272" i="7"/>
  <c r="G262" i="7"/>
  <c r="G284" i="7"/>
  <c r="G274" i="7"/>
  <c r="F228" i="7"/>
  <c r="F245" i="7" s="1"/>
  <c r="F240" i="7"/>
  <c r="F217" i="6"/>
  <c r="F237" i="6" s="1"/>
  <c r="F257" i="6" s="1"/>
  <c r="F211" i="6"/>
  <c r="F219" i="6"/>
  <c r="F239" i="6" s="1"/>
  <c r="F259" i="6" s="1"/>
  <c r="F213" i="6"/>
  <c r="F216" i="6"/>
  <c r="F236" i="6" s="1"/>
  <c r="F256" i="6" s="1"/>
  <c r="F210" i="6"/>
  <c r="F218" i="6"/>
  <c r="F238" i="6" s="1"/>
  <c r="F258" i="6" s="1"/>
  <c r="F212" i="6"/>
  <c r="B129" i="6"/>
  <c r="B141" i="6" s="1"/>
  <c r="B117" i="6"/>
  <c r="F83" i="6"/>
  <c r="F88" i="6"/>
  <c r="F87" i="6"/>
  <c r="F92" i="6"/>
  <c r="E146" i="6"/>
  <c r="E63" i="6"/>
  <c r="E105" i="6" s="1"/>
  <c r="E117" i="6" s="1"/>
  <c r="E78" i="6"/>
  <c r="E88" i="6" s="1"/>
  <c r="F84" i="6"/>
  <c r="F89" i="6"/>
  <c r="G83" i="6"/>
  <c r="G88" i="6"/>
  <c r="F85" i="6"/>
  <c r="F90" i="6"/>
  <c r="F86" i="6"/>
  <c r="F91" i="6"/>
  <c r="G64" i="6"/>
  <c r="G79" i="6" s="1"/>
  <c r="C13" i="5"/>
  <c r="C12" i="5"/>
  <c r="C23" i="4"/>
  <c r="G286" i="7" l="1"/>
  <c r="G276" i="7"/>
  <c r="F241" i="7"/>
  <c r="F229" i="7"/>
  <c r="F246" i="7" s="1"/>
  <c r="F227" i="7"/>
  <c r="F244" i="7" s="1"/>
  <c r="F239" i="7"/>
  <c r="G312" i="7"/>
  <c r="G340" i="7" s="1"/>
  <c r="G368" i="7" s="1"/>
  <c r="G298" i="7"/>
  <c r="G326" i="7" s="1"/>
  <c r="G354" i="7" s="1"/>
  <c r="G382" i="7" s="1"/>
  <c r="G288" i="7"/>
  <c r="F230" i="7"/>
  <c r="F247" i="7" s="1"/>
  <c r="F242" i="7"/>
  <c r="F231" i="7"/>
  <c r="F248" i="7" s="1"/>
  <c r="F243" i="7"/>
  <c r="G299" i="7"/>
  <c r="G327" i="7" s="1"/>
  <c r="G355" i="7" s="1"/>
  <c r="G383" i="7" s="1"/>
  <c r="G289" i="7"/>
  <c r="G313" i="7"/>
  <c r="G341" i="7" s="1"/>
  <c r="G369" i="7" s="1"/>
  <c r="F223" i="6"/>
  <c r="F243" i="6" s="1"/>
  <c r="F263" i="6" s="1"/>
  <c r="F229" i="6"/>
  <c r="F249" i="6" s="1"/>
  <c r="F269" i="6" s="1"/>
  <c r="F220" i="6"/>
  <c r="F240" i="6" s="1"/>
  <c r="F260" i="6" s="1"/>
  <c r="F226" i="6"/>
  <c r="F246" i="6" s="1"/>
  <c r="F266" i="6" s="1"/>
  <c r="F222" i="6"/>
  <c r="F242" i="6" s="1"/>
  <c r="F262" i="6" s="1"/>
  <c r="F228" i="6"/>
  <c r="F248" i="6" s="1"/>
  <c r="F268" i="6" s="1"/>
  <c r="F221" i="6"/>
  <c r="F241" i="6" s="1"/>
  <c r="F261" i="6" s="1"/>
  <c r="F227" i="6"/>
  <c r="F247" i="6" s="1"/>
  <c r="F267" i="6" s="1"/>
  <c r="F100" i="6"/>
  <c r="F93" i="6"/>
  <c r="E194" i="6"/>
  <c r="E158" i="6"/>
  <c r="E170" i="6"/>
  <c r="E182" i="6" s="1"/>
  <c r="F103" i="6"/>
  <c r="F96" i="6"/>
  <c r="G100" i="6"/>
  <c r="G112" i="6" s="1"/>
  <c r="G93" i="6"/>
  <c r="F102" i="6"/>
  <c r="F95" i="6"/>
  <c r="F101" i="6"/>
  <c r="F94" i="6"/>
  <c r="F104" i="6"/>
  <c r="F97" i="6"/>
  <c r="E122" i="6"/>
  <c r="G84" i="6"/>
  <c r="G89" i="6"/>
  <c r="E83" i="6"/>
  <c r="E153" i="6"/>
  <c r="G65" i="6"/>
  <c r="G80" i="6" s="1"/>
  <c r="G317" i="7" l="1"/>
  <c r="G303" i="7"/>
  <c r="G331" i="7" s="1"/>
  <c r="G302" i="7"/>
  <c r="G330" i="7" s="1"/>
  <c r="G316" i="7"/>
  <c r="G314" i="7"/>
  <c r="G342" i="7" s="1"/>
  <c r="G370" i="7" s="1"/>
  <c r="G300" i="7"/>
  <c r="G328" i="7" s="1"/>
  <c r="G356" i="7" s="1"/>
  <c r="G384" i="7" s="1"/>
  <c r="G290" i="7"/>
  <c r="F230" i="6"/>
  <c r="F250" i="6" s="1"/>
  <c r="F270" i="6" s="1"/>
  <c r="F231" i="6"/>
  <c r="F251" i="6" s="1"/>
  <c r="F271" i="6" s="1"/>
  <c r="F232" i="6"/>
  <c r="F252" i="6" s="1"/>
  <c r="F272" i="6" s="1"/>
  <c r="F233" i="6"/>
  <c r="F253" i="6" s="1"/>
  <c r="F273" i="6" s="1"/>
  <c r="E204" i="6"/>
  <c r="F105" i="6"/>
  <c r="F112" i="6"/>
  <c r="E200" i="6"/>
  <c r="E210" i="6" s="1"/>
  <c r="E165" i="6"/>
  <c r="G148" i="6"/>
  <c r="E214" i="6"/>
  <c r="E134" i="6"/>
  <c r="G105" i="6"/>
  <c r="F106" i="6"/>
  <c r="F113" i="6"/>
  <c r="F109" i="6"/>
  <c r="F116" i="6"/>
  <c r="F107" i="6"/>
  <c r="F114" i="6"/>
  <c r="F108" i="6"/>
  <c r="F115" i="6"/>
  <c r="E129" i="6"/>
  <c r="E93" i="6"/>
  <c r="G101" i="6"/>
  <c r="G113" i="6" s="1"/>
  <c r="G94" i="6"/>
  <c r="G85" i="6"/>
  <c r="G90" i="6"/>
  <c r="G66" i="6"/>
  <c r="G81" i="6" s="1"/>
  <c r="C22" i="4"/>
  <c r="E224" i="6" l="1"/>
  <c r="E244" i="6" s="1"/>
  <c r="E264" i="6" s="1"/>
  <c r="E234" i="6"/>
  <c r="E254" i="6" s="1"/>
  <c r="G358" i="7"/>
  <c r="G334" i="7"/>
  <c r="G359" i="7"/>
  <c r="G335" i="7"/>
  <c r="G344" i="7"/>
  <c r="G320" i="7"/>
  <c r="G345" i="7"/>
  <c r="G321" i="7"/>
  <c r="G304" i="7"/>
  <c r="G332" i="7" s="1"/>
  <c r="G318" i="7"/>
  <c r="G106" i="6"/>
  <c r="G118" i="6" s="1"/>
  <c r="F124" i="6"/>
  <c r="F117" i="6"/>
  <c r="G160" i="6"/>
  <c r="G172" i="6"/>
  <c r="G184" i="6" s="1"/>
  <c r="F126" i="6"/>
  <c r="F119" i="6"/>
  <c r="G124" i="6"/>
  <c r="G117" i="6"/>
  <c r="E177" i="6"/>
  <c r="E141" i="6"/>
  <c r="F127" i="6"/>
  <c r="F120" i="6"/>
  <c r="F128" i="6"/>
  <c r="F121" i="6"/>
  <c r="F125" i="6"/>
  <c r="F118" i="6"/>
  <c r="G125" i="6"/>
  <c r="G149" i="6"/>
  <c r="G102" i="6"/>
  <c r="G107" i="6" s="1"/>
  <c r="G95" i="6"/>
  <c r="G86" i="6"/>
  <c r="G91" i="6"/>
  <c r="G67" i="6"/>
  <c r="G82" i="6" s="1"/>
  <c r="G387" i="7" l="1"/>
  <c r="G391" i="7" s="1"/>
  <c r="G363" i="7"/>
  <c r="G386" i="7"/>
  <c r="G390" i="7" s="1"/>
  <c r="G362" i="7"/>
  <c r="G373" i="7"/>
  <c r="G377" i="7" s="1"/>
  <c r="G349" i="7"/>
  <c r="G372" i="7"/>
  <c r="G376" i="7" s="1"/>
  <c r="G348" i="7"/>
  <c r="G360" i="7"/>
  <c r="G336" i="7"/>
  <c r="G346" i="7"/>
  <c r="G322" i="7"/>
  <c r="E220" i="6"/>
  <c r="E240" i="6" s="1"/>
  <c r="E260" i="6" s="1"/>
  <c r="E189" i="6"/>
  <c r="K189" i="6" s="1"/>
  <c r="F129" i="6"/>
  <c r="F136" i="6"/>
  <c r="G173" i="6"/>
  <c r="G185" i="6" s="1"/>
  <c r="G161" i="6"/>
  <c r="G126" i="6"/>
  <c r="G119" i="6"/>
  <c r="F130" i="6"/>
  <c r="F137" i="6"/>
  <c r="F132" i="6"/>
  <c r="F139" i="6"/>
  <c r="G129" i="6"/>
  <c r="G141" i="6" s="1"/>
  <c r="G136" i="6"/>
  <c r="G130" i="6"/>
  <c r="G142" i="6" s="1"/>
  <c r="G137" i="6"/>
  <c r="F133" i="6"/>
  <c r="F140" i="6"/>
  <c r="F131" i="6"/>
  <c r="F138" i="6"/>
  <c r="G150" i="6"/>
  <c r="G114" i="6"/>
  <c r="G103" i="6"/>
  <c r="G115" i="6" s="1"/>
  <c r="G96" i="6"/>
  <c r="G87" i="6"/>
  <c r="G92" i="6"/>
  <c r="G108" i="6" l="1"/>
  <c r="G120" i="6" s="1"/>
  <c r="G388" i="7"/>
  <c r="G392" i="7" s="1"/>
  <c r="G364" i="7"/>
  <c r="G374" i="7"/>
  <c r="G378" i="7" s="1"/>
  <c r="G350" i="7"/>
  <c r="E230" i="6"/>
  <c r="E250" i="6" s="1"/>
  <c r="E270" i="6" s="1"/>
  <c r="F148" i="6"/>
  <c r="F141" i="6"/>
  <c r="F150" i="6"/>
  <c r="F143" i="6"/>
  <c r="F151" i="6"/>
  <c r="F144" i="6"/>
  <c r="G155" i="6"/>
  <c r="G162" i="6"/>
  <c r="G174" i="6"/>
  <c r="G186" i="6" s="1"/>
  <c r="F152" i="6"/>
  <c r="F145" i="6"/>
  <c r="F149" i="6"/>
  <c r="F142" i="6"/>
  <c r="G151" i="6"/>
  <c r="G131" i="6"/>
  <c r="G143" i="6" s="1"/>
  <c r="G138" i="6"/>
  <c r="G104" i="6"/>
  <c r="G97" i="6"/>
  <c r="G127" i="6" l="1"/>
  <c r="F153" i="6"/>
  <c r="F160" i="6"/>
  <c r="F172" i="6"/>
  <c r="F184" i="6" s="1"/>
  <c r="F156" i="6"/>
  <c r="F175" i="6"/>
  <c r="F187" i="6" s="1"/>
  <c r="F163" i="6"/>
  <c r="G156" i="6"/>
  <c r="G175" i="6"/>
  <c r="G187" i="6" s="1"/>
  <c r="G163" i="6"/>
  <c r="F157" i="6"/>
  <c r="F164" i="6"/>
  <c r="F176" i="6"/>
  <c r="F188" i="6" s="1"/>
  <c r="F154" i="6"/>
  <c r="F161" i="6"/>
  <c r="F173" i="6"/>
  <c r="F185" i="6" s="1"/>
  <c r="G179" i="6"/>
  <c r="G167" i="6"/>
  <c r="F155" i="6"/>
  <c r="F174" i="6"/>
  <c r="F186" i="6" s="1"/>
  <c r="F162" i="6"/>
  <c r="G132" i="6"/>
  <c r="G139" i="6"/>
  <c r="G109" i="6"/>
  <c r="G116" i="6"/>
  <c r="G152" i="6"/>
  <c r="G191" i="6" l="1"/>
  <c r="G198" i="6" s="1"/>
  <c r="G208" i="6" s="1"/>
  <c r="F177" i="6"/>
  <c r="F189" i="6" s="1"/>
  <c r="F165" i="6"/>
  <c r="F179" i="6"/>
  <c r="F191" i="6" s="1"/>
  <c r="F167" i="6"/>
  <c r="F181" i="6"/>
  <c r="F193" i="6" s="1"/>
  <c r="F169" i="6"/>
  <c r="G180" i="6"/>
  <c r="G168" i="6"/>
  <c r="G157" i="6"/>
  <c r="G164" i="6"/>
  <c r="G176" i="6"/>
  <c r="G188" i="6" s="1"/>
  <c r="G144" i="6"/>
  <c r="F178" i="6"/>
  <c r="F190" i="6" s="1"/>
  <c r="F166" i="6"/>
  <c r="F180" i="6"/>
  <c r="F192" i="6" s="1"/>
  <c r="F168" i="6"/>
  <c r="G128" i="6"/>
  <c r="G121" i="6"/>
  <c r="G202" i="6" l="1"/>
  <c r="G192" i="6"/>
  <c r="G181" i="6"/>
  <c r="G169" i="6"/>
  <c r="G133" i="6"/>
  <c r="G140" i="6"/>
  <c r="G218" i="6" l="1"/>
  <c r="G238" i="6" s="1"/>
  <c r="G258" i="6" s="1"/>
  <c r="G212" i="6"/>
  <c r="G193" i="6"/>
  <c r="G145" i="6"/>
  <c r="G222" i="6" l="1"/>
  <c r="G242" i="6" s="1"/>
  <c r="G262" i="6" s="1"/>
  <c r="G228" i="6"/>
  <c r="G248" i="6" s="1"/>
  <c r="G268" i="6" s="1"/>
  <c r="G232" i="6" l="1"/>
  <c r="G252" i="6" s="1"/>
  <c r="G272" i="6" s="1"/>
  <c r="M14" i="2"/>
  <c r="F12" i="2" l="1"/>
  <c r="L59" i="7" s="1"/>
  <c r="R14" i="2"/>
  <c r="R7" i="2"/>
  <c r="M59" i="6" l="1"/>
  <c r="M10" i="2"/>
  <c r="M8" i="2"/>
  <c r="C6" i="13" l="1"/>
  <c r="C2" i="13"/>
  <c r="C9" i="13" s="1"/>
  <c r="C13" i="13" s="1"/>
  <c r="C11" i="1" s="1"/>
  <c r="D47" i="2"/>
  <c r="F15" i="2"/>
  <c r="G254" i="7"/>
  <c r="G118" i="7"/>
  <c r="G98" i="6"/>
  <c r="G194" i="6"/>
  <c r="M27" i="2"/>
  <c r="M21" i="2"/>
  <c r="M9" i="2"/>
  <c r="R8" i="2" s="1"/>
  <c r="M22" i="2"/>
  <c r="C22" i="7" s="1"/>
  <c r="G99" i="6" l="1"/>
  <c r="G122" i="6"/>
  <c r="G110" i="6"/>
  <c r="G119" i="7"/>
  <c r="G135" i="7"/>
  <c r="G152" i="7"/>
  <c r="G255" i="7"/>
  <c r="G269" i="7" s="1"/>
  <c r="G268" i="7"/>
  <c r="G195" i="6"/>
  <c r="G205" i="6" s="1"/>
  <c r="G204" i="6"/>
  <c r="R15" i="2"/>
  <c r="R11" i="2" s="1"/>
  <c r="G154" i="6"/>
  <c r="G153" i="6"/>
  <c r="C22" i="6"/>
  <c r="R12" i="2"/>
  <c r="R5" i="2" l="1"/>
  <c r="G169" i="7"/>
  <c r="G186" i="7"/>
  <c r="G146" i="6"/>
  <c r="G134" i="6"/>
  <c r="G153" i="7"/>
  <c r="G136" i="7"/>
  <c r="G111" i="6"/>
  <c r="G123" i="6"/>
  <c r="G177" i="6"/>
  <c r="G189" i="6" s="1"/>
  <c r="G196" i="6" s="1"/>
  <c r="G165" i="6"/>
  <c r="G178" i="6"/>
  <c r="G190" i="6" s="1"/>
  <c r="G197" i="6" s="1"/>
  <c r="G166" i="6"/>
  <c r="G147" i="6" l="1"/>
  <c r="G135" i="6"/>
  <c r="G170" i="7"/>
  <c r="G187" i="7"/>
  <c r="G158" i="6"/>
  <c r="G170" i="6"/>
  <c r="G220" i="7"/>
  <c r="G203" i="7"/>
  <c r="G201" i="6"/>
  <c r="G207" i="6"/>
  <c r="G200" i="6"/>
  <c r="G206" i="6"/>
  <c r="R16" i="2"/>
  <c r="C40" i="2" s="1"/>
  <c r="F54" i="2"/>
  <c r="G282" i="7" l="1"/>
  <c r="G237" i="7"/>
  <c r="G214" i="6"/>
  <c r="G182" i="6"/>
  <c r="E40" i="2"/>
  <c r="G221" i="7"/>
  <c r="G204" i="7"/>
  <c r="G159" i="6"/>
  <c r="G171" i="6"/>
  <c r="G217" i="6"/>
  <c r="G237" i="6" s="1"/>
  <c r="G257" i="6" s="1"/>
  <c r="G211" i="6"/>
  <c r="G216" i="6"/>
  <c r="G236" i="6" s="1"/>
  <c r="G256" i="6" s="1"/>
  <c r="G210" i="6"/>
  <c r="G183" i="6" l="1"/>
  <c r="G215" i="6"/>
  <c r="G283" i="7"/>
  <c r="G238" i="7"/>
  <c r="G224" i="6"/>
  <c r="G244" i="6" s="1"/>
  <c r="G264" i="6" s="1"/>
  <c r="G234" i="6"/>
  <c r="G254" i="6" s="1"/>
  <c r="G296" i="7"/>
  <c r="G324" i="7" s="1"/>
  <c r="G352" i="7" s="1"/>
  <c r="G380" i="7" s="1"/>
  <c r="G310" i="7"/>
  <c r="G338" i="7" s="1"/>
  <c r="G366" i="7" s="1"/>
  <c r="G220" i="6"/>
  <c r="G240" i="6" s="1"/>
  <c r="G260" i="6" s="1"/>
  <c r="G226" i="6"/>
  <c r="G246" i="6" s="1"/>
  <c r="G266" i="6" s="1"/>
  <c r="G221" i="6"/>
  <c r="G241" i="6" s="1"/>
  <c r="G261" i="6" s="1"/>
  <c r="G227" i="6"/>
  <c r="G247" i="6" s="1"/>
  <c r="G267" i="6" s="1"/>
  <c r="G225" i="6" l="1"/>
  <c r="G245" i="6" s="1"/>
  <c r="G265" i="6" s="1"/>
  <c r="G235" i="6"/>
  <c r="G255" i="6" s="1"/>
  <c r="G297" i="7"/>
  <c r="G325" i="7" s="1"/>
  <c r="G353" i="7" s="1"/>
  <c r="G381" i="7" s="1"/>
  <c r="G311" i="7"/>
  <c r="G339" i="7" s="1"/>
  <c r="G367" i="7" s="1"/>
  <c r="G231" i="6"/>
  <c r="G251" i="6" s="1"/>
  <c r="G271" i="6" s="1"/>
  <c r="G230" i="6"/>
  <c r="G250" i="6" s="1"/>
  <c r="G270" i="6" s="1"/>
  <c r="R6" i="2" l="1"/>
  <c r="M15" i="2"/>
  <c r="C14" i="1" l="1"/>
  <c r="M13" i="2"/>
  <c r="M12" i="2" s="1"/>
  <c r="O13" i="2"/>
  <c r="C14" i="12" l="1"/>
  <c r="C13" i="12" s="1"/>
  <c r="F7" i="2"/>
  <c r="C58" i="7"/>
  <c r="F10" i="2"/>
  <c r="C58" i="6"/>
  <c r="F8" i="2"/>
  <c r="F9" i="2"/>
  <c r="D46" i="2"/>
  <c r="M23" i="2"/>
  <c r="M28" i="2" s="1"/>
  <c r="C15" i="12" s="1"/>
  <c r="F26" i="2" l="1"/>
  <c r="M33" i="2" s="1"/>
  <c r="F19" i="2"/>
  <c r="H13" i="2" s="1"/>
  <c r="C63" i="7"/>
  <c r="H62" i="7"/>
  <c r="H67" i="7" s="1"/>
  <c r="F27" i="2"/>
  <c r="F20" i="2"/>
  <c r="F25" i="2"/>
  <c r="F18" i="2"/>
  <c r="F24" i="2"/>
  <c r="M32" i="2" s="1"/>
  <c r="F17" i="2"/>
  <c r="H12" i="2" s="1"/>
  <c r="C63" i="6"/>
  <c r="H62" i="6"/>
  <c r="C10" i="12"/>
  <c r="C17" i="12" s="1"/>
  <c r="C13" i="1" s="1"/>
  <c r="C12" i="1" s="1"/>
  <c r="C10" i="1" s="1"/>
  <c r="C43" i="2" l="1"/>
  <c r="C28" i="1"/>
  <c r="C118" i="7"/>
  <c r="C310" i="7" s="1"/>
  <c r="H72" i="7"/>
  <c r="H77" i="7"/>
  <c r="H82" i="7" s="1"/>
  <c r="H87" i="7" s="1"/>
  <c r="C186" i="7"/>
  <c r="C68" i="7"/>
  <c r="C73" i="7"/>
  <c r="C78" i="7" s="1"/>
  <c r="C83" i="7" s="1"/>
  <c r="C88" i="7"/>
  <c r="G18" i="2"/>
  <c r="G17" i="2"/>
  <c r="H67" i="6"/>
  <c r="H72" i="6" s="1"/>
  <c r="H77" i="6" s="1"/>
  <c r="C32" i="2"/>
  <c r="C98" i="6"/>
  <c r="G19" i="2"/>
  <c r="G20" i="2"/>
  <c r="C68" i="6"/>
  <c r="C73" i="6" s="1"/>
  <c r="C78" i="6"/>
  <c r="C220" i="7" l="1"/>
  <c r="C338" i="7"/>
  <c r="H343" i="7" s="1"/>
  <c r="H347" i="7" s="1"/>
  <c r="C152" i="7"/>
  <c r="C282" i="7"/>
  <c r="H124" i="7"/>
  <c r="H129" i="7" s="1"/>
  <c r="H134" i="7" s="1"/>
  <c r="C366" i="7"/>
  <c r="C372" i="7" s="1"/>
  <c r="C135" i="7"/>
  <c r="C254" i="7"/>
  <c r="C268" i="7" s="1"/>
  <c r="C125" i="7"/>
  <c r="C344" i="7"/>
  <c r="C88" i="6"/>
  <c r="C93" i="6" s="1"/>
  <c r="C83" i="6"/>
  <c r="H82" i="6"/>
  <c r="H87" i="6" s="1"/>
  <c r="H92" i="6" s="1"/>
  <c r="H97" i="6" s="1"/>
  <c r="C105" i="6"/>
  <c r="C117" i="6" s="1"/>
  <c r="C254" i="6"/>
  <c r="C146" i="6"/>
  <c r="C122" i="6"/>
  <c r="C214" i="6"/>
  <c r="C170" i="6"/>
  <c r="C194" i="6"/>
  <c r="C234" i="6"/>
  <c r="C110" i="6"/>
  <c r="H104" i="6"/>
  <c r="H109" i="6" s="1"/>
  <c r="H116" i="6" s="1"/>
  <c r="H121" i="6" s="1"/>
  <c r="C93" i="7"/>
  <c r="C98" i="7" s="1"/>
  <c r="H92" i="7"/>
  <c r="H97" i="7" s="1"/>
  <c r="C103" i="7"/>
  <c r="C108" i="7" s="1"/>
  <c r="C113" i="7" s="1"/>
  <c r="C142" i="7"/>
  <c r="C147" i="7" s="1"/>
  <c r="C130" i="7"/>
  <c r="C330" i="7"/>
  <c r="C334" i="7" s="1"/>
  <c r="C316" i="7"/>
  <c r="H315" i="7"/>
  <c r="H319" i="7" s="1"/>
  <c r="C227" i="7"/>
  <c r="C237" i="7"/>
  <c r="H226" i="7"/>
  <c r="C193" i="7"/>
  <c r="C210" i="7" s="1"/>
  <c r="C215" i="7" s="1"/>
  <c r="C198" i="7"/>
  <c r="C203" i="7"/>
  <c r="H192" i="7"/>
  <c r="H197" i="7" s="1"/>
  <c r="C159" i="7"/>
  <c r="C169" i="7"/>
  <c r="H158" i="7"/>
  <c r="H163" i="7" s="1"/>
  <c r="C288" i="7"/>
  <c r="C296" i="7"/>
  <c r="H287" i="7"/>
  <c r="C260" i="7" l="1"/>
  <c r="H141" i="7"/>
  <c r="H146" i="7" s="1"/>
  <c r="H151" i="7" s="1"/>
  <c r="H371" i="7"/>
  <c r="H375" i="7" s="1"/>
  <c r="H379" i="7" s="1"/>
  <c r="H259" i="7"/>
  <c r="H263" i="7" s="1"/>
  <c r="C320" i="7"/>
  <c r="C324" i="7"/>
  <c r="G259" i="7"/>
  <c r="C204" i="6"/>
  <c r="C200" i="6"/>
  <c r="C210" i="6" s="1"/>
  <c r="H199" i="6"/>
  <c r="H301" i="7"/>
  <c r="H291" i="7"/>
  <c r="C244" i="7"/>
  <c r="C249" i="7" s="1"/>
  <c r="C232" i="7"/>
  <c r="H385" i="7"/>
  <c r="H389" i="7" s="1"/>
  <c r="H393" i="7" s="1"/>
  <c r="C177" i="6"/>
  <c r="C189" i="6" s="1"/>
  <c r="C182" i="6"/>
  <c r="H176" i="6"/>
  <c r="C260" i="6"/>
  <c r="C264" i="6" s="1"/>
  <c r="C270" i="6" s="1"/>
  <c r="H259" i="6"/>
  <c r="H263" i="6" s="1"/>
  <c r="H269" i="6" s="1"/>
  <c r="H273" i="6" s="1"/>
  <c r="H175" i="7"/>
  <c r="H180" i="7" s="1"/>
  <c r="H185" i="7" s="1"/>
  <c r="H168" i="7"/>
  <c r="H102" i="7"/>
  <c r="H107" i="7"/>
  <c r="H112" i="7" s="1"/>
  <c r="H117" i="7" s="1"/>
  <c r="C153" i="6"/>
  <c r="C165" i="6" s="1"/>
  <c r="C158" i="6"/>
  <c r="H152" i="6"/>
  <c r="H157" i="6" s="1"/>
  <c r="C176" i="7"/>
  <c r="C181" i="7" s="1"/>
  <c r="C164" i="7"/>
  <c r="C264" i="7"/>
  <c r="C274" i="7"/>
  <c r="C278" i="7" s="1"/>
  <c r="C376" i="7"/>
  <c r="C380" i="7"/>
  <c r="C386" i="7" s="1"/>
  <c r="C390" i="7" s="1"/>
  <c r="C220" i="6"/>
  <c r="C230" i="6" s="1"/>
  <c r="C224" i="6"/>
  <c r="H219" i="6"/>
  <c r="H357" i="7"/>
  <c r="H361" i="7" s="1"/>
  <c r="H365" i="7" s="1"/>
  <c r="H351" i="7"/>
  <c r="C302" i="7"/>
  <c r="C306" i="7" s="1"/>
  <c r="C292" i="7"/>
  <c r="H202" i="7"/>
  <c r="H214" i="7"/>
  <c r="H219" i="7" s="1"/>
  <c r="H209" i="7"/>
  <c r="H243" i="7"/>
  <c r="H231" i="7"/>
  <c r="H323" i="7"/>
  <c r="H329" i="7"/>
  <c r="H333" i="7" s="1"/>
  <c r="H337" i="7" s="1"/>
  <c r="C240" i="6"/>
  <c r="C244" i="6" s="1"/>
  <c r="C250" i="6"/>
  <c r="H239" i="6"/>
  <c r="H243" i="6" s="1"/>
  <c r="H249" i="6" s="1"/>
  <c r="C129" i="6"/>
  <c r="C141" i="6" s="1"/>
  <c r="C134" i="6"/>
  <c r="H128" i="6"/>
  <c r="H133" i="6" s="1"/>
  <c r="H140" i="6" s="1"/>
  <c r="H145" i="6" s="1"/>
  <c r="C348" i="7"/>
  <c r="C352" i="7"/>
  <c r="C358" i="7" s="1"/>
  <c r="C362" i="7" s="1"/>
  <c r="H273" i="7" l="1"/>
  <c r="H248" i="7"/>
  <c r="H253" i="7" s="1"/>
  <c r="H236" i="7"/>
  <c r="G263" i="7"/>
  <c r="G273" i="7"/>
  <c r="H223" i="6"/>
  <c r="H233" i="6" s="1"/>
  <c r="H229" i="6"/>
  <c r="C33" i="2"/>
  <c r="H209" i="6"/>
  <c r="H203" i="6"/>
  <c r="H213" i="6" s="1"/>
  <c r="G199" i="6"/>
  <c r="H164" i="6"/>
  <c r="H169" i="6"/>
  <c r="H295" i="7"/>
  <c r="H305" i="7"/>
  <c r="H309" i="7" s="1"/>
  <c r="H181" i="6"/>
  <c r="H193" i="6" s="1"/>
  <c r="H188" i="6"/>
  <c r="H277" i="7"/>
  <c r="H281" i="7" s="1"/>
  <c r="H267" i="7"/>
  <c r="F36" i="2" l="1"/>
  <c r="F35" i="2"/>
  <c r="F38" i="2" s="1"/>
  <c r="G277" i="7"/>
  <c r="G287" i="7"/>
  <c r="G203" i="6"/>
  <c r="G209" i="6"/>
  <c r="G301" i="7" l="1"/>
  <c r="G329" i="7" s="1"/>
  <c r="G357" i="7" s="1"/>
  <c r="G385" i="7" s="1"/>
  <c r="G291" i="7"/>
  <c r="G315" i="7"/>
  <c r="G343" i="7" s="1"/>
  <c r="G371" i="7" s="1"/>
  <c r="G219" i="6"/>
  <c r="G213" i="6"/>
  <c r="G39" i="2"/>
  <c r="F39" i="2"/>
  <c r="G223" i="6" l="1"/>
  <c r="G229" i="6"/>
  <c r="G249" i="6" s="1"/>
  <c r="G269" i="6" s="1"/>
  <c r="G239" i="6"/>
  <c r="G259" i="6" s="1"/>
  <c r="G305" i="7"/>
  <c r="G333" i="7" s="1"/>
  <c r="G319" i="7"/>
  <c r="G361" i="7" l="1"/>
  <c r="G337" i="7"/>
  <c r="G347" i="7"/>
  <c r="G323" i="7"/>
  <c r="G233" i="6"/>
  <c r="G253" i="6" s="1"/>
  <c r="G273" i="6" s="1"/>
  <c r="G243" i="6"/>
  <c r="G263" i="6" s="1"/>
  <c r="G375" i="7" l="1"/>
  <c r="G379" i="7" s="1"/>
  <c r="G351" i="7"/>
  <c r="G389" i="7"/>
  <c r="G393" i="7" s="1"/>
  <c r="G36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alicia</author>
  </authors>
  <commentList>
    <comment ref="I5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Longitud del TEU</t>
        </r>
      </text>
    </comment>
    <comment ref="I6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Longitud del FEU</t>
        </r>
      </text>
    </comment>
    <comment ref="I7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Ancho de ambos contenedores</t>
        </r>
      </text>
    </comment>
    <comment ref="I8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Alto de ambos contenedores</t>
        </r>
      </text>
    </comment>
    <comment ref="B20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alicia:
fórmula del Alvariño
pag 633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alicia</author>
    <author>Alicia Munín</author>
  </authors>
  <commentList>
    <comment ref="L5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Ancho del doble casco</t>
        </r>
      </text>
    </comment>
    <comment ref="L6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Brusca</t>
        </r>
      </text>
    </comment>
    <comment ref="L7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Altura de brazola de escotilla</t>
        </r>
      </text>
    </comment>
    <comment ref="L8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Altura de doble fondo</t>
        </r>
      </text>
    </comment>
    <comment ref="Q8" authorId="1" shapeId="0" xr:uid="{00000000-0006-0000-0D00-000005000000}">
      <text>
        <r>
          <rPr>
            <b/>
            <sz val="9"/>
            <color indexed="81"/>
            <rFont val="Tahoma"/>
            <charset val="1"/>
          </rPr>
          <t>Alicia Munín:</t>
        </r>
        <r>
          <rPr>
            <sz val="9"/>
            <color indexed="81"/>
            <rFont val="Tahoma"/>
            <charset val="1"/>
          </rPr>
          <t xml:space="preserve">
si L &lt; 100 m
si E &lt; 0,35L</t>
        </r>
      </text>
    </comment>
    <comment ref="L9" authorId="0" shapeId="0" xr:uid="{00000000-0006-0000-0D00-000006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Eslora de castillo. Para L&lt;100 m</t>
        </r>
      </text>
    </comment>
    <comment ref="Q9" authorId="0" shapeId="0" xr:uid="{00000000-0006-0000-0D00-000007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considerando el CB=0,65</t>
        </r>
      </text>
    </comment>
    <comment ref="L10" authorId="0" shapeId="0" xr:uid="{00000000-0006-0000-0D00-000008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Eslora de toldilla</t>
        </r>
      </text>
    </comment>
    <comment ref="L11" authorId="0" shapeId="0" xr:uid="{00000000-0006-0000-0D00-000009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Eslora desde perpendicular de Proa al mamparo de colisión.</t>
        </r>
      </text>
    </comment>
    <comment ref="L12" authorId="0" shapeId="0" xr:uid="{00000000-0006-0000-0D00-00000A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Eslora de cámara de máquinas medido desde la Ppp</t>
        </r>
      </text>
    </comment>
    <comment ref="L13" authorId="0" shapeId="0" xr:uid="{00000000-0006-0000-0D00-00000B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Potencia en kW</t>
        </r>
      </text>
    </comment>
    <comment ref="Q13" authorId="0" shapeId="0" xr:uid="{00000000-0006-0000-0D00-00000C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L&lt;120 m</t>
        </r>
      </text>
    </comment>
    <comment ref="L15" authorId="0" shapeId="0" xr:uid="{00000000-0006-0000-0D00-00000D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Desplazamiento del buque</t>
        </r>
      </text>
    </comment>
    <comment ref="L16" authorId="0" shapeId="0" xr:uid="{00000000-0006-0000-0D00-00000E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Nº de Froude</t>
        </r>
      </text>
    </comment>
    <comment ref="B17" authorId="0" shapeId="0" xr:uid="{00000000-0006-0000-0D00-00000F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NCHO = NCLxNCBxNCDxCAPR
CAPR = 0,5xCB+0,4</t>
        </r>
      </text>
    </comment>
    <comment ref="L24" authorId="0" shapeId="0" xr:uid="{00000000-0006-0000-0D00-000010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Nº de capas de contenedores sobre cubierta</t>
        </r>
      </text>
    </comment>
    <comment ref="L25" authorId="0" shapeId="0" xr:uid="{00000000-0006-0000-0D00-000011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Espacio entre bodegas</t>
        </r>
      </text>
    </comment>
    <comment ref="L26" authorId="0" shapeId="0" xr:uid="{00000000-0006-0000-0D00-000012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Nº de bodegas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alicia</author>
  </authors>
  <commentList>
    <comment ref="C57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medido desde popa</t>
        </r>
      </text>
    </comment>
    <comment ref="E57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medido desde crujía</t>
        </r>
      </text>
    </comment>
    <comment ref="G57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medido desde linea base</t>
        </r>
      </text>
    </comment>
    <comment ref="B58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esta bahía sólo tiene contenedores sobre cubierta</t>
        </r>
      </text>
    </comment>
    <comment ref="B78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bajo cubierta sólo hay dos contenedores por bahía en la dirección de la manga y del puntal</t>
        </r>
      </text>
    </comment>
    <comment ref="B230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en este caso no cabe un contenedor en la zona del castillo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alicia</author>
  </authors>
  <commentList>
    <comment ref="C57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medido desde popa</t>
        </r>
      </text>
    </comment>
    <comment ref="E5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medido desde crujía</t>
        </r>
      </text>
    </comment>
    <comment ref="G57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medido desde linea base</t>
        </r>
      </text>
    </comment>
    <comment ref="B58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esta bahía sólo tiene contenedores sobre cubierta</t>
        </r>
      </text>
    </comment>
    <comment ref="B88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bajo cubierta sólo hay dos contenedores por bahía en la dirección de la manga y del puntal</t>
        </r>
      </text>
    </comment>
    <comment ref="B302" authorId="0" shapeId="0" xr:uid="{00000000-0006-0000-1300-000006000000}">
      <text>
        <r>
          <rPr>
            <b/>
            <sz val="9"/>
            <color indexed="81"/>
            <rFont val="Tahoma"/>
            <family val="2"/>
          </rPr>
          <t>alicia:</t>
        </r>
        <r>
          <rPr>
            <sz val="9"/>
            <color indexed="81"/>
            <rFont val="Tahoma"/>
            <family val="2"/>
          </rPr>
          <t xml:space="preserve">
en este caso no cabe un contenedor en la zona del castillo</t>
        </r>
      </text>
    </comment>
  </commentList>
</comments>
</file>

<file path=xl/sharedStrings.xml><?xml version="1.0" encoding="utf-8"?>
<sst xmlns="http://schemas.openxmlformats.org/spreadsheetml/2006/main" count="464" uniqueCount="281">
  <si>
    <t>Dimensiones</t>
  </si>
  <si>
    <t>L (m)</t>
  </si>
  <si>
    <t>B (m)</t>
  </si>
  <si>
    <t>Carga</t>
  </si>
  <si>
    <t>TEUS/FEUS</t>
  </si>
  <si>
    <t>VB (kn)</t>
  </si>
  <si>
    <t>GT</t>
  </si>
  <si>
    <t>Nº buques</t>
  </si>
  <si>
    <t>Flota de Portacontenedores</t>
  </si>
  <si>
    <t>Variables necesarias para la colocación de los contenedores en el buque</t>
  </si>
  <si>
    <t>BDCC</t>
  </si>
  <si>
    <t>m</t>
  </si>
  <si>
    <t>Dimensiones de los contenedores</t>
  </si>
  <si>
    <t>DC11</t>
  </si>
  <si>
    <t>DC12</t>
  </si>
  <si>
    <t>DC21</t>
  </si>
  <si>
    <t>DC31</t>
  </si>
  <si>
    <t xml:space="preserve">NCD = </t>
  </si>
  <si>
    <t>BRU</t>
  </si>
  <si>
    <t>HES</t>
  </si>
  <si>
    <t>HDF1</t>
  </si>
  <si>
    <t>ET1</t>
  </si>
  <si>
    <t>ET2</t>
  </si>
  <si>
    <t>lmpp</t>
  </si>
  <si>
    <t>PB</t>
  </si>
  <si>
    <t>Δ</t>
  </si>
  <si>
    <t>CB</t>
  </si>
  <si>
    <t>ρ</t>
  </si>
  <si>
    <t>t/m3</t>
  </si>
  <si>
    <t>t</t>
  </si>
  <si>
    <t>Fn</t>
  </si>
  <si>
    <t>TEU</t>
  </si>
  <si>
    <t>FEU</t>
  </si>
  <si>
    <t>AMBOS</t>
  </si>
  <si>
    <t>Variables secundarias</t>
  </si>
  <si>
    <t>FBM</t>
  </si>
  <si>
    <t>Cálculo del Francobordo mínimo</t>
  </si>
  <si>
    <t>FBT</t>
  </si>
  <si>
    <t>mm</t>
  </si>
  <si>
    <t>R</t>
  </si>
  <si>
    <t>DE</t>
  </si>
  <si>
    <t>POR</t>
  </si>
  <si>
    <t>Calado máximo</t>
  </si>
  <si>
    <t>D (m)</t>
  </si>
  <si>
    <t>Nº de contenedores en bodega (tier)</t>
  </si>
  <si>
    <t xml:space="preserve">NCSC1 = </t>
  </si>
  <si>
    <t xml:space="preserve">NCSC2 = </t>
  </si>
  <si>
    <t>T</t>
  </si>
  <si>
    <t>CBD</t>
  </si>
  <si>
    <t>Coef</t>
  </si>
  <si>
    <t>FB</t>
  </si>
  <si>
    <t>CP</t>
  </si>
  <si>
    <t>CM</t>
  </si>
  <si>
    <t>TPM</t>
  </si>
  <si>
    <t>CV</t>
  </si>
  <si>
    <t>P1</t>
  </si>
  <si>
    <t>Nmax cont</t>
  </si>
  <si>
    <t>H superestructura</t>
  </si>
  <si>
    <t>L superestructura</t>
  </si>
  <si>
    <t>Sobre cubierta</t>
  </si>
  <si>
    <t>Bajo cubierta</t>
  </si>
  <si>
    <t>H bodega</t>
  </si>
  <si>
    <t>Bay 20'</t>
  </si>
  <si>
    <t>Bay 40'</t>
  </si>
  <si>
    <t>Posición mamp pr CMM</t>
  </si>
  <si>
    <t>CL</t>
  </si>
  <si>
    <t>Tiers</t>
  </si>
  <si>
    <t>Rows</t>
  </si>
  <si>
    <t>Coordendas</t>
  </si>
  <si>
    <t>Bays</t>
  </si>
  <si>
    <t>x (m)</t>
  </si>
  <si>
    <t>y (m)</t>
  </si>
  <si>
    <t>z (m)</t>
  </si>
  <si>
    <t>P2</t>
  </si>
  <si>
    <t>Posición mamp pr SE</t>
  </si>
  <si>
    <t>L bodega</t>
  </si>
  <si>
    <t>PR</t>
  </si>
  <si>
    <t>NCAP</t>
  </si>
  <si>
    <t>TFB</t>
  </si>
  <si>
    <t>EEB</t>
  </si>
  <si>
    <t>NBOD</t>
  </si>
  <si>
    <t>x</t>
  </si>
  <si>
    <t>y</t>
  </si>
  <si>
    <t>z</t>
  </si>
  <si>
    <t>CWP</t>
  </si>
  <si>
    <t>LCB</t>
  </si>
  <si>
    <t>Buque</t>
  </si>
  <si>
    <t>LBP</t>
  </si>
  <si>
    <t>Dimensión grúa</t>
  </si>
  <si>
    <t>Franklin Strait</t>
  </si>
  <si>
    <t>OSC Vlistdiep</t>
  </si>
  <si>
    <t>Beluga Skysails</t>
  </si>
  <si>
    <t>Sally Ann C</t>
  </si>
  <si>
    <t>Antwerpen</t>
  </si>
  <si>
    <t>Ossian</t>
  </si>
  <si>
    <t>Lyra</t>
  </si>
  <si>
    <t>Boltentor</t>
  </si>
  <si>
    <t>Capacidad de elevación (t)</t>
  </si>
  <si>
    <t>Alcance (m)</t>
  </si>
  <si>
    <t>Número</t>
  </si>
  <si>
    <t>Obtención de las dimensiones aproximadas de las grúas de cubierta</t>
  </si>
  <si>
    <t>L</t>
  </si>
  <si>
    <t>xgrua</t>
  </si>
  <si>
    <t>Altura superestructura</t>
  </si>
  <si>
    <t>Se calcula por interpolación</t>
  </si>
  <si>
    <t>&lt;</t>
  </si>
  <si>
    <t>&gt;</t>
  </si>
  <si>
    <t>Altura castillo</t>
  </si>
  <si>
    <t>Grúas</t>
  </si>
  <si>
    <t>NG</t>
  </si>
  <si>
    <t>BG</t>
  </si>
  <si>
    <t>LG</t>
  </si>
  <si>
    <t>Nº de contenedores TEU por eslora bajo cubierta con grúas (bay)</t>
  </si>
  <si>
    <t>Nº de contenedores TEU por eslora bajo cubierta sin grúas (bay)</t>
  </si>
  <si>
    <t>Nº de contenedores TEU por eslora sobre cubierta con grúas</t>
  </si>
  <si>
    <t>Nº de contenedores FEU por eslora sobre cubierta con grúa</t>
  </si>
  <si>
    <t>Nº de contenedores TEU por eslora sobre cubierta sin grúas</t>
  </si>
  <si>
    <t>Nº de contenedores FEU por eslora sobre cubierta sin grúa</t>
  </si>
  <si>
    <t>Nº de contenedores por manga bajo cubierta sin grúas(row)</t>
  </si>
  <si>
    <t>Nº de contenedores por manga bajo cubierta con grúas(row)</t>
  </si>
  <si>
    <t>NCHO11 =</t>
  </si>
  <si>
    <t>Nº contenedores bajo cubierta TEU con grúas</t>
  </si>
  <si>
    <t>NCHO21 =</t>
  </si>
  <si>
    <t>Nº contenedores bajo cubierta FEU con grúas</t>
  </si>
  <si>
    <t>NCHO12 =</t>
  </si>
  <si>
    <t>NCHO22 =</t>
  </si>
  <si>
    <t>Nº contenedores bajo cubierta TEU sin grúas</t>
  </si>
  <si>
    <t>Nº contenedores bajo cubierta FEU sin grúas</t>
  </si>
  <si>
    <t>Contenedores bajo cubierta</t>
  </si>
  <si>
    <t>Contenedores sobre cubierta</t>
  </si>
  <si>
    <t xml:space="preserve">m </t>
  </si>
  <si>
    <t>TFBM =</t>
  </si>
  <si>
    <t>θ =</t>
  </si>
  <si>
    <t>grados</t>
  </si>
  <si>
    <t>Posición de los slots de TEUs</t>
  </si>
  <si>
    <t>Determinación de si existe la fila cero (row 0)</t>
  </si>
  <si>
    <t xml:space="preserve">YG0 = </t>
  </si>
  <si>
    <t>NSL</t>
  </si>
  <si>
    <t>NCBS/2</t>
  </si>
  <si>
    <t>bajo cubierta</t>
  </si>
  <si>
    <t>NCD</t>
  </si>
  <si>
    <t>estribor</t>
  </si>
  <si>
    <t>babor</t>
  </si>
  <si>
    <t>sobre cubierta</t>
  </si>
  <si>
    <t>NTMAX</t>
  </si>
  <si>
    <t>rad</t>
  </si>
  <si>
    <t>NTMAX1 =</t>
  </si>
  <si>
    <t>Iniciales</t>
  </si>
  <si>
    <t>comienza la bodega</t>
  </si>
  <si>
    <t>Nº de contenedores por manga teniendo en cuenta el factor de forma</t>
  </si>
  <si>
    <t>NCL</t>
  </si>
  <si>
    <t>para la bahía 9 a 1</t>
  </si>
  <si>
    <t>Nº de bahías con 5 contenedores apilados</t>
  </si>
  <si>
    <t>Nº de bahías con 4 contenedores apilados</t>
  </si>
  <si>
    <t>para las bahías 21/19 a 11/9</t>
  </si>
  <si>
    <t>GRUA</t>
  </si>
  <si>
    <t>HSE</t>
  </si>
  <si>
    <t>Nº total de contenedores TEU sobre cubierta con grúas</t>
  </si>
  <si>
    <t>Nº total de contenedores TEU sobre cubierta sin grúa</t>
  </si>
  <si>
    <t>Nº total de TEUs en el buque con grúas</t>
  </si>
  <si>
    <t>NC1 =</t>
  </si>
  <si>
    <t>NC2 =</t>
  </si>
  <si>
    <t>Nº total de TEUs en el buque sin grúas</t>
  </si>
  <si>
    <t>inicial</t>
  </si>
  <si>
    <t>final</t>
  </si>
  <si>
    <t>aquí se reduce a la mitad el número de contenedores bajo cubierta</t>
  </si>
  <si>
    <t>Nº de puertos</t>
  </si>
  <si>
    <t>Puerto 1</t>
  </si>
  <si>
    <t>TEUS</t>
  </si>
  <si>
    <t>Puerto 2</t>
  </si>
  <si>
    <t>Puerto 3</t>
  </si>
  <si>
    <t>Puerto 4</t>
  </si>
  <si>
    <t>Total</t>
  </si>
  <si>
    <t>Suponiendo un peso de 12,5 t por contenedor</t>
  </si>
  <si>
    <t>NCL111 =</t>
  </si>
  <si>
    <t>NCL121 =</t>
  </si>
  <si>
    <t>NCL221 =</t>
  </si>
  <si>
    <t>NCL112 =</t>
  </si>
  <si>
    <t>NCL222 =</t>
  </si>
  <si>
    <t>NCL212 =</t>
  </si>
  <si>
    <t>NCL211 =</t>
  </si>
  <si>
    <t>NCL122 =</t>
  </si>
  <si>
    <t>NCB11 =</t>
  </si>
  <si>
    <t>NCB12 =</t>
  </si>
  <si>
    <t xml:space="preserve">NCB21 = </t>
  </si>
  <si>
    <t xml:space="preserve">NCB22 = </t>
  </si>
  <si>
    <t>Nº de contenedores FEU por eslora bajo cubierta con grúas (bay)</t>
  </si>
  <si>
    <t>Nº de contenedores FEU por eslora bajo cubierta sin grúas (bay)</t>
  </si>
  <si>
    <t>Nº de contenedores TEU/FEU por manga sobre cubierta con grúas</t>
  </si>
  <si>
    <t>Nº de contenedores TEU/FEU por manga sobre cubierta sin grúas</t>
  </si>
  <si>
    <t>con grúa</t>
  </si>
  <si>
    <t>sin grúa</t>
  </si>
  <si>
    <t>BT1</t>
  </si>
  <si>
    <t>BT2</t>
  </si>
  <si>
    <t>C1</t>
  </si>
  <si>
    <t>C2</t>
  </si>
  <si>
    <t>C3</t>
  </si>
  <si>
    <t>C4</t>
  </si>
  <si>
    <t>C5</t>
  </si>
  <si>
    <t>KW</t>
  </si>
  <si>
    <t>DESP</t>
  </si>
  <si>
    <t>Pacero</t>
  </si>
  <si>
    <t>Pequipo</t>
  </si>
  <si>
    <t>Pmaquinaria</t>
  </si>
  <si>
    <t>para potencias entre 1000 y 17000 BHP y 400 y 900 RPM</t>
  </si>
  <si>
    <t>MCO</t>
  </si>
  <si>
    <t>N</t>
  </si>
  <si>
    <t>Kw</t>
  </si>
  <si>
    <t>RPM</t>
  </si>
  <si>
    <t>Datos</t>
  </si>
  <si>
    <t>Resultados</t>
  </si>
  <si>
    <t>Pmotor</t>
  </si>
  <si>
    <t>suponiendo motor 4T en V</t>
  </si>
  <si>
    <t>Prmp</t>
  </si>
  <si>
    <t>Poecm</t>
  </si>
  <si>
    <t>Vcm</t>
  </si>
  <si>
    <t>Lcc</t>
  </si>
  <si>
    <t>m3</t>
  </si>
  <si>
    <t>leje</t>
  </si>
  <si>
    <t>Ple</t>
  </si>
  <si>
    <t>Vol1</t>
  </si>
  <si>
    <t>Vol2</t>
  </si>
  <si>
    <t>Vol3</t>
  </si>
  <si>
    <t>Vol4</t>
  </si>
  <si>
    <t>Vol5</t>
  </si>
  <si>
    <t>Vol6</t>
  </si>
  <si>
    <t>Vol</t>
  </si>
  <si>
    <t>VC</t>
  </si>
  <si>
    <t>€/t</t>
  </si>
  <si>
    <t>C1,2</t>
  </si>
  <si>
    <t>coste mano de obra</t>
  </si>
  <si>
    <t>Cacero</t>
  </si>
  <si>
    <t>Cmo</t>
  </si>
  <si>
    <t>Ctripulación</t>
  </si>
  <si>
    <t>€/persona</t>
  </si>
  <si>
    <t>Hmontaje</t>
  </si>
  <si>
    <t>h/t</t>
  </si>
  <si>
    <t>coste del acero de calidad normal grado A</t>
  </si>
  <si>
    <t>DIA</t>
  </si>
  <si>
    <t>diámetro cilindro motor propulsor basado en Mak M43</t>
  </si>
  <si>
    <t>Nc</t>
  </si>
  <si>
    <t>cilindros</t>
  </si>
  <si>
    <t>rpm</t>
  </si>
  <si>
    <t>Qcm</t>
  </si>
  <si>
    <t>t/h</t>
  </si>
  <si>
    <t>tomando como referencia un generador de vapor de Aalborg</t>
  </si>
  <si>
    <t>Kwg</t>
  </si>
  <si>
    <t>kw</t>
  </si>
  <si>
    <t>potencia eléctrica del generador</t>
  </si>
  <si>
    <t>Momento flector para aguas tranquilas</t>
  </si>
  <si>
    <t>Ms =</t>
  </si>
  <si>
    <t>Mso</t>
  </si>
  <si>
    <t>CW</t>
  </si>
  <si>
    <t>arrufo</t>
  </si>
  <si>
    <t>quebranto</t>
  </si>
  <si>
    <t>kNm</t>
  </si>
  <si>
    <t>Fuerzas cortantes en aguas tranquilas</t>
  </si>
  <si>
    <t>Qs</t>
  </si>
  <si>
    <t>Qso</t>
  </si>
  <si>
    <t>ksq</t>
  </si>
  <si>
    <t>hasta Ppp</t>
  </si>
  <si>
    <t>0,15 - 0,3L</t>
  </si>
  <si>
    <t>0,4 - 0,6L</t>
  </si>
  <si>
    <t>0,7 - 0,85L</t>
  </si>
  <si>
    <t>hasta Ppr</t>
  </si>
  <si>
    <t>kN</t>
  </si>
  <si>
    <t>tnfm</t>
  </si>
  <si>
    <t>tnf</t>
  </si>
  <si>
    <t>Velocidad de carga/descarga</t>
  </si>
  <si>
    <t>TEU/h</t>
  </si>
  <si>
    <t>TEU's teóricos</t>
  </si>
  <si>
    <t>TEU's reales</t>
  </si>
  <si>
    <t>h</t>
  </si>
  <si>
    <t>Tiempo de descarga por puerto con una sola grúa</t>
  </si>
  <si>
    <t>h.min.seg</t>
  </si>
  <si>
    <t>3.45.18</t>
  </si>
  <si>
    <t>c</t>
  </si>
  <si>
    <t>Puerto 5</t>
  </si>
  <si>
    <t>Puerto 6</t>
  </si>
  <si>
    <t>Puerto 7</t>
  </si>
  <si>
    <t>DESP0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</si>
</sst>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6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/>
    <xf numFmtId="0" fontId="5" fillId="0" borderId="0" xfId="0" applyFont="1"/>
    <xf numFmtId="0" fontId="1" fillId="0" borderId="0" xfId="0" applyFont="1"/>
    <xf numFmtId="1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3" xfId="0" applyBorder="1"/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/>
    </xf>
    <xf numFmtId="0" fontId="8" fillId="0" borderId="0" xfId="0" applyFont="1" applyBorder="1"/>
    <xf numFmtId="0" fontId="8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2" fontId="1" fillId="0" borderId="0" xfId="0" applyNumberFormat="1" applyFont="1"/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1" fontId="1" fillId="0" borderId="0" xfId="0" applyNumberFormat="1" applyFont="1"/>
    <xf numFmtId="1" fontId="6" fillId="0" borderId="0" xfId="0" applyNumberFormat="1" applyFont="1"/>
    <xf numFmtId="9" fontId="0" fillId="0" borderId="0" xfId="1" applyFont="1"/>
    <xf numFmtId="0" fontId="0" fillId="0" borderId="0" xfId="0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2" fontId="0" fillId="0" borderId="14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0" xfId="0" applyFont="1"/>
    <xf numFmtId="0" fontId="5" fillId="0" borderId="0" xfId="0" applyFont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Border="1"/>
    <xf numFmtId="2" fontId="0" fillId="0" borderId="0" xfId="0" applyNumberFormat="1" applyBorder="1"/>
    <xf numFmtId="2" fontId="0" fillId="0" borderId="0" xfId="0" applyNumberForma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" fontId="0" fillId="0" borderId="0" xfId="0" applyNumberForma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1" fontId="8" fillId="0" borderId="0" xfId="0" applyNumberFormat="1" applyFont="1"/>
    <xf numFmtId="1" fontId="8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Border="1"/>
    <xf numFmtId="1" fontId="6" fillId="0" borderId="1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18" xfId="0" applyFont="1" applyBorder="1"/>
    <xf numFmtId="0" fontId="6" fillId="0" borderId="19" xfId="0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0" fontId="0" fillId="0" borderId="0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0" fillId="0" borderId="0" xfId="0" applyFill="1" applyBorder="1"/>
    <xf numFmtId="0" fontId="6" fillId="0" borderId="0" xfId="0" applyFont="1" applyBorder="1" applyAlignment="1">
      <alignment horizontal="center"/>
    </xf>
    <xf numFmtId="0" fontId="0" fillId="4" borderId="0" xfId="0" applyFill="1" applyBorder="1"/>
    <xf numFmtId="1" fontId="0" fillId="0" borderId="13" xfId="0" applyNumberForma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1" fontId="6" fillId="3" borderId="0" xfId="0" applyNumberFormat="1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5" borderId="0" xfId="0" applyFill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1" fillId="0" borderId="18" xfId="0" applyFont="1" applyBorder="1"/>
    <xf numFmtId="0" fontId="0" fillId="0" borderId="22" xfId="0" applyBorder="1" applyAlignment="1">
      <alignment horizontal="center"/>
    </xf>
    <xf numFmtId="2" fontId="0" fillId="0" borderId="22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" fontId="0" fillId="3" borderId="23" xfId="0" applyNumberFormat="1" applyFill="1" applyBorder="1"/>
    <xf numFmtId="0" fontId="0" fillId="6" borderId="0" xfId="0" applyFill="1"/>
    <xf numFmtId="2" fontId="6" fillId="0" borderId="1" xfId="0" applyNumberFormat="1" applyFont="1" applyBorder="1"/>
    <xf numFmtId="0" fontId="6" fillId="0" borderId="1" xfId="0" applyFont="1" applyBorder="1"/>
    <xf numFmtId="2" fontId="0" fillId="2" borderId="15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2" fontId="6" fillId="0" borderId="1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4" borderId="13" xfId="0" applyFill="1" applyBorder="1" applyAlignment="1">
      <alignment horizontal="center" textRotation="255"/>
    </xf>
    <xf numFmtId="0" fontId="0" fillId="4" borderId="15" xfId="0" applyFill="1" applyBorder="1" applyAlignment="1">
      <alignment horizontal="center" textRotation="255"/>
    </xf>
    <xf numFmtId="0" fontId="0" fillId="4" borderId="8" xfId="0" applyFill="1" applyBorder="1" applyAlignment="1">
      <alignment horizontal="center" textRotation="255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Dimensiones grúas/Eslora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LBP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090419947506564"/>
                  <c:y val="0.10708734324876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Gruas!$C$5:$C$11</c:f>
              <c:numCache>
                <c:formatCode>General</c:formatCode>
                <c:ptCount val="7"/>
                <c:pt idx="0">
                  <c:v>95.8</c:v>
                </c:pt>
                <c:pt idx="1">
                  <c:v>111.85</c:v>
                </c:pt>
                <c:pt idx="2">
                  <c:v>123.04</c:v>
                </c:pt>
                <c:pt idx="3">
                  <c:v>139.38</c:v>
                </c:pt>
                <c:pt idx="4">
                  <c:v>121.32</c:v>
                </c:pt>
                <c:pt idx="5">
                  <c:v>95.8</c:v>
                </c:pt>
                <c:pt idx="6">
                  <c:v>107</c:v>
                </c:pt>
              </c:numCache>
            </c:numRef>
          </c:xVal>
          <c:yVal>
            <c:numRef>
              <c:f>Gruas!$D$5:$D$11</c:f>
              <c:numCache>
                <c:formatCode>General</c:formatCode>
                <c:ptCount val="7"/>
                <c:pt idx="0">
                  <c:v>3.5</c:v>
                </c:pt>
                <c:pt idx="1">
                  <c:v>5.9</c:v>
                </c:pt>
                <c:pt idx="2">
                  <c:v>7.18</c:v>
                </c:pt>
                <c:pt idx="3">
                  <c:v>5.36</c:v>
                </c:pt>
                <c:pt idx="4">
                  <c:v>2.63</c:v>
                </c:pt>
                <c:pt idx="5">
                  <c:v>3.5</c:v>
                </c:pt>
                <c:pt idx="6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C-48E8-9412-3D4D8590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58320"/>
        <c:axId val="324561848"/>
      </c:scatterChart>
      <c:valAx>
        <c:axId val="3245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561848"/>
        <c:crosses val="autoZero"/>
        <c:crossBetween val="midCat"/>
      </c:valAx>
      <c:valAx>
        <c:axId val="3245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5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4</xdr:row>
      <xdr:rowOff>121920</xdr:rowOff>
    </xdr:from>
    <xdr:to>
      <xdr:col>14</xdr:col>
      <xdr:colOff>266700</xdr:colOff>
      <xdr:row>19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17</xdr:col>
      <xdr:colOff>772886</xdr:colOff>
      <xdr:row>18</xdr:row>
      <xdr:rowOff>154334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1171" y="0"/>
          <a:ext cx="10178143" cy="3485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16</xdr:col>
      <xdr:colOff>272143</xdr:colOff>
      <xdr:row>18</xdr:row>
      <xdr:rowOff>154334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4640" y="0"/>
          <a:ext cx="10150928" cy="3446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1"/>
  <sheetViews>
    <sheetView topLeftCell="A3" workbookViewId="0">
      <selection activeCell="B37" sqref="B37"/>
    </sheetView>
  </sheetViews>
  <sheetFormatPr baseColWidth="10" defaultRowHeight="15" x14ac:dyDescent="0.25"/>
  <cols>
    <col min="2" max="2" width="12.28515625" bestFit="1" customWidth="1"/>
  </cols>
  <sheetData>
    <row r="2" spans="2:8" x14ac:dyDescent="0.25">
      <c r="C2" t="s">
        <v>270</v>
      </c>
      <c r="E2" t="s">
        <v>271</v>
      </c>
      <c r="G2" t="s">
        <v>273</v>
      </c>
    </row>
    <row r="3" spans="2:8" x14ac:dyDescent="0.25">
      <c r="B3" t="s">
        <v>166</v>
      </c>
      <c r="C3">
        <v>7</v>
      </c>
    </row>
    <row r="4" spans="2:8" x14ac:dyDescent="0.25">
      <c r="B4" t="s">
        <v>167</v>
      </c>
      <c r="C4">
        <v>115</v>
      </c>
      <c r="D4" t="s">
        <v>168</v>
      </c>
      <c r="E4" t="e">
        <f>COUNTIF(#REF!,"1")</f>
        <v>#REF!</v>
      </c>
      <c r="G4" s="4" t="e">
        <f>E4/Gruas!$B$27</f>
        <v>#REF!</v>
      </c>
      <c r="H4" t="s">
        <v>272</v>
      </c>
    </row>
    <row r="5" spans="2:8" x14ac:dyDescent="0.25">
      <c r="B5" t="s">
        <v>169</v>
      </c>
      <c r="C5">
        <v>118</v>
      </c>
      <c r="D5" t="s">
        <v>168</v>
      </c>
      <c r="E5" t="e">
        <f>COUNTIF(#REF!,"2")</f>
        <v>#REF!</v>
      </c>
      <c r="G5" s="4" t="e">
        <f>E5/Gruas!$B$27</f>
        <v>#REF!</v>
      </c>
      <c r="H5" t="s">
        <v>272</v>
      </c>
    </row>
    <row r="6" spans="2:8" x14ac:dyDescent="0.25">
      <c r="B6" t="s">
        <v>170</v>
      </c>
      <c r="C6">
        <v>126</v>
      </c>
      <c r="D6" t="s">
        <v>168</v>
      </c>
      <c r="E6" t="e">
        <f>COUNTIF(#REF!,"3")</f>
        <v>#REF!</v>
      </c>
      <c r="G6" s="4" t="e">
        <f>E6/Gruas!$B$27</f>
        <v>#REF!</v>
      </c>
      <c r="H6" t="s">
        <v>272</v>
      </c>
    </row>
    <row r="7" spans="2:8" x14ac:dyDescent="0.25">
      <c r="B7" t="s">
        <v>171</v>
      </c>
      <c r="C7">
        <v>120</v>
      </c>
      <c r="D7" t="s">
        <v>168</v>
      </c>
      <c r="G7" s="4"/>
    </row>
    <row r="8" spans="2:8" x14ac:dyDescent="0.25">
      <c r="B8" t="s">
        <v>277</v>
      </c>
      <c r="C8">
        <v>120</v>
      </c>
      <c r="D8" t="s">
        <v>168</v>
      </c>
      <c r="E8" t="e">
        <f>SUM(E4:E7)</f>
        <v>#REF!</v>
      </c>
      <c r="F8" t="e">
        <f>E8/Gruas!B27</f>
        <v>#REF!</v>
      </c>
    </row>
    <row r="9" spans="2:8" x14ac:dyDescent="0.25">
      <c r="B9" t="s">
        <v>278</v>
      </c>
      <c r="C9">
        <v>142</v>
      </c>
      <c r="D9" t="s">
        <v>168</v>
      </c>
      <c r="F9">
        <f>60*0.755</f>
        <v>45.3</v>
      </c>
    </row>
    <row r="10" spans="2:8" x14ac:dyDescent="0.25">
      <c r="B10" t="s">
        <v>279</v>
      </c>
      <c r="C10">
        <v>114</v>
      </c>
      <c r="D10" t="s">
        <v>168</v>
      </c>
      <c r="F10">
        <f>60*0.3</f>
        <v>18</v>
      </c>
    </row>
    <row r="11" spans="2:8" x14ac:dyDescent="0.25">
      <c r="B11" t="s">
        <v>172</v>
      </c>
      <c r="C11">
        <f>SUM(C4:C10)</f>
        <v>855</v>
      </c>
      <c r="D11" t="s">
        <v>168</v>
      </c>
      <c r="F11" t="s">
        <v>275</v>
      </c>
      <c r="G11" t="s">
        <v>274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0:S445"/>
  <sheetViews>
    <sheetView tabSelected="1" zoomScale="70" zoomScaleNormal="70" workbookViewId="0">
      <selection activeCell="F248" sqref="F248"/>
    </sheetView>
  </sheetViews>
  <sheetFormatPr baseColWidth="10" defaultRowHeight="15" x14ac:dyDescent="0.25"/>
  <cols>
    <col min="3" max="3" width="13.42578125" bestFit="1" customWidth="1"/>
    <col min="6" max="7" width="11.5703125" style="108"/>
    <col min="9" max="9" width="12.28515625" customWidth="1"/>
    <col min="13" max="13" width="11.28515625" customWidth="1"/>
  </cols>
  <sheetData>
    <row r="20" spans="2:17" x14ac:dyDescent="0.25">
      <c r="E20" s="10"/>
      <c r="F20" s="58"/>
      <c r="G20" s="58"/>
      <c r="H20" s="10"/>
      <c r="I20" s="10"/>
      <c r="J20" s="10"/>
      <c r="K20" s="10"/>
      <c r="L20" s="10"/>
      <c r="M20" s="10"/>
      <c r="N20" s="10"/>
      <c r="O20" s="10"/>
      <c r="P20" s="10"/>
    </row>
    <row r="21" spans="2:17" x14ac:dyDescent="0.25">
      <c r="C21" s="4"/>
      <c r="I21" s="14"/>
    </row>
    <row r="22" spans="2:17" x14ac:dyDescent="0.25">
      <c r="B22" t="s">
        <v>61</v>
      </c>
      <c r="C22" s="4">
        <f>'Variables auxiliares'!M22</f>
        <v>13.44</v>
      </c>
      <c r="D22" t="s">
        <v>11</v>
      </c>
      <c r="I22" s="14"/>
      <c r="J22" t="s">
        <v>52</v>
      </c>
      <c r="K22" s="10"/>
    </row>
    <row r="23" spans="2:17" x14ac:dyDescent="0.25">
      <c r="B23" t="s">
        <v>52</v>
      </c>
      <c r="C23" s="7">
        <f>Datos!C6/2</f>
        <v>86</v>
      </c>
      <c r="D23" t="s">
        <v>11</v>
      </c>
      <c r="I23" s="14"/>
      <c r="J23" s="10"/>
      <c r="K23" s="10"/>
    </row>
    <row r="24" spans="2:17" x14ac:dyDescent="0.25">
      <c r="I24" s="14"/>
      <c r="J24" s="10"/>
      <c r="K24" s="10"/>
    </row>
    <row r="25" spans="2:17" x14ac:dyDescent="0.25">
      <c r="I25" s="14"/>
      <c r="J25" s="10"/>
      <c r="K25" s="10"/>
      <c r="P25" t="s">
        <v>66</v>
      </c>
    </row>
    <row r="26" spans="2:17" ht="15" customHeight="1" x14ac:dyDescent="0.25">
      <c r="C26" s="10"/>
      <c r="E26" s="10">
        <f>F62</f>
        <v>90</v>
      </c>
      <c r="F26" s="8"/>
      <c r="G26" s="8"/>
      <c r="H26" s="11"/>
      <c r="I26" s="8"/>
      <c r="J26" s="8"/>
      <c r="K26" s="10"/>
      <c r="L26" s="10"/>
      <c r="M26" s="10"/>
      <c r="O26" s="16"/>
    </row>
    <row r="27" spans="2:17" ht="13.9" customHeight="1" x14ac:dyDescent="0.25">
      <c r="C27" s="10"/>
      <c r="E27" s="10">
        <f>F61</f>
        <v>88</v>
      </c>
      <c r="F27" s="8"/>
      <c r="G27" s="8"/>
      <c r="H27" s="11"/>
      <c r="I27" s="8"/>
      <c r="J27" s="8"/>
      <c r="K27" s="8"/>
      <c r="L27" s="8"/>
      <c r="M27" s="8"/>
      <c r="N27" s="8"/>
      <c r="O27" s="132"/>
      <c r="P27" s="8"/>
      <c r="Q27" s="133" t="s">
        <v>59</v>
      </c>
    </row>
    <row r="28" spans="2:17" x14ac:dyDescent="0.25">
      <c r="C28" s="10"/>
      <c r="E28" s="10">
        <f>F60</f>
        <v>86</v>
      </c>
      <c r="F28" s="8"/>
      <c r="G28" s="8"/>
      <c r="H28" s="11"/>
      <c r="I28" s="8"/>
      <c r="J28" s="8"/>
      <c r="K28" s="8"/>
      <c r="L28" s="8"/>
      <c r="M28" s="8"/>
      <c r="N28" s="8"/>
      <c r="O28" s="132"/>
      <c r="P28" s="8"/>
      <c r="Q28" s="133"/>
    </row>
    <row r="29" spans="2:17" ht="14.45" customHeight="1" x14ac:dyDescent="0.25">
      <c r="C29" s="10"/>
      <c r="E29" s="10">
        <f>F59</f>
        <v>84</v>
      </c>
      <c r="F29" s="8"/>
      <c r="G29" s="8"/>
      <c r="H29" s="11"/>
      <c r="I29" s="8"/>
      <c r="J29" s="8"/>
      <c r="K29" s="8"/>
      <c r="L29" s="8"/>
      <c r="M29" s="8"/>
      <c r="N29" s="8"/>
      <c r="O29" s="132"/>
      <c r="P29" s="8"/>
      <c r="Q29" s="133"/>
    </row>
    <row r="30" spans="2:17" x14ac:dyDescent="0.25">
      <c r="C30" s="10"/>
      <c r="E30" s="10">
        <f>F58</f>
        <v>82</v>
      </c>
      <c r="F30" s="8"/>
      <c r="G30" s="8"/>
      <c r="H30" s="11"/>
      <c r="I30" s="8"/>
      <c r="J30" s="8"/>
      <c r="K30" s="8"/>
      <c r="L30" s="8"/>
      <c r="M30" s="8"/>
      <c r="N30" s="8"/>
      <c r="O30" s="132"/>
      <c r="P30" s="8"/>
      <c r="Q30" s="133"/>
    </row>
    <row r="31" spans="2:17" x14ac:dyDescent="0.25">
      <c r="F31"/>
      <c r="G31" s="10"/>
      <c r="H31" s="10"/>
      <c r="I31" s="10"/>
      <c r="J31" s="10"/>
      <c r="K31" s="10"/>
      <c r="L31" s="10"/>
      <c r="M31" s="10"/>
      <c r="O31" s="16"/>
    </row>
    <row r="32" spans="2:17" ht="13.9" customHeight="1" x14ac:dyDescent="0.25">
      <c r="E32">
        <f>H48</f>
        <v>2</v>
      </c>
      <c r="F32" s="10"/>
      <c r="G32" s="9"/>
      <c r="H32" s="11"/>
      <c r="I32" s="8"/>
      <c r="J32" s="8"/>
      <c r="K32" s="8"/>
      <c r="L32" s="8"/>
      <c r="M32" s="8"/>
      <c r="N32" s="8"/>
      <c r="O32" s="114"/>
      <c r="P32" s="8"/>
      <c r="Q32" s="106" t="s">
        <v>60</v>
      </c>
    </row>
    <row r="33" spans="1:17" ht="14.45" customHeight="1" x14ac:dyDescent="0.25">
      <c r="B33" s="10"/>
      <c r="C33" s="10"/>
      <c r="E33" s="10">
        <f>H49</f>
        <v>4</v>
      </c>
      <c r="F33" s="10"/>
      <c r="G33" s="9"/>
      <c r="H33" s="11"/>
      <c r="I33" s="8"/>
      <c r="J33" s="8"/>
      <c r="K33" s="8"/>
      <c r="L33" s="8"/>
      <c r="M33" s="8"/>
      <c r="N33" s="8"/>
      <c r="O33" s="113"/>
      <c r="P33" s="8"/>
      <c r="Q33" s="106"/>
    </row>
    <row r="34" spans="1:17" x14ac:dyDescent="0.25">
      <c r="A34" s="106"/>
      <c r="B34" s="10"/>
      <c r="C34" s="10"/>
      <c r="E34" s="10"/>
      <c r="F34" s="10"/>
      <c r="G34" s="10"/>
      <c r="H34" s="10"/>
      <c r="I34" s="10"/>
    </row>
    <row r="35" spans="1:17" x14ac:dyDescent="0.25">
      <c r="C35" s="18"/>
      <c r="E35" s="18"/>
      <c r="F35" s="87">
        <f>B58</f>
        <v>21</v>
      </c>
      <c r="G35" s="17">
        <f>B88</f>
        <v>19</v>
      </c>
      <c r="H35" s="88">
        <f>B118</f>
        <v>17</v>
      </c>
      <c r="I35" s="88">
        <f>B152</f>
        <v>15</v>
      </c>
      <c r="J35" s="18">
        <f>B186</f>
        <v>13</v>
      </c>
      <c r="K35" s="18">
        <f>B220</f>
        <v>11</v>
      </c>
      <c r="L35" s="17">
        <f>B254</f>
        <v>9</v>
      </c>
      <c r="M35" s="88">
        <f>B282</f>
        <v>7</v>
      </c>
      <c r="N35">
        <f>B310</f>
        <v>5</v>
      </c>
      <c r="O35">
        <f>B338</f>
        <v>3</v>
      </c>
      <c r="P35">
        <f>B366</f>
        <v>1</v>
      </c>
      <c r="Q35" s="108" t="s">
        <v>62</v>
      </c>
    </row>
    <row r="36" spans="1:17" x14ac:dyDescent="0.25">
      <c r="E36" s="108"/>
      <c r="F36" s="107"/>
      <c r="G36" s="97">
        <f>G35-1</f>
        <v>18</v>
      </c>
      <c r="H36" s="97"/>
      <c r="I36" s="105">
        <f>H35-1</f>
        <v>16</v>
      </c>
      <c r="J36" s="98"/>
      <c r="K36" s="93"/>
      <c r="L36" s="93"/>
      <c r="M36" s="93"/>
      <c r="Q36" s="108" t="s">
        <v>63</v>
      </c>
    </row>
    <row r="37" spans="1:17" x14ac:dyDescent="0.25">
      <c r="I37" s="10"/>
      <c r="J37" s="10"/>
      <c r="K37" s="10"/>
    </row>
    <row r="38" spans="1:17" x14ac:dyDescent="0.25">
      <c r="I38" s="10"/>
      <c r="J38" s="10"/>
      <c r="K38" s="10"/>
    </row>
    <row r="39" spans="1:17" x14ac:dyDescent="0.25">
      <c r="B39" t="s">
        <v>67</v>
      </c>
      <c r="C39">
        <f>D78</f>
        <v>4</v>
      </c>
      <c r="D39" s="19">
        <f>D73</f>
        <v>2</v>
      </c>
      <c r="E39">
        <f>D58</f>
        <v>1</v>
      </c>
      <c r="F39" s="108">
        <f>D63</f>
        <v>3</v>
      </c>
      <c r="I39" s="10"/>
    </row>
    <row r="40" spans="1:17" ht="14.45" customHeight="1" x14ac:dyDescent="0.25">
      <c r="C40" s="85"/>
      <c r="D40" s="21"/>
      <c r="E40" s="85"/>
      <c r="F40" s="86"/>
      <c r="G40" s="33"/>
    </row>
    <row r="41" spans="1:17" ht="16.899999999999999" customHeight="1" x14ac:dyDescent="0.25">
      <c r="B41" s="8"/>
      <c r="C41" s="15"/>
      <c r="D41" s="64"/>
      <c r="E41" s="13"/>
      <c r="F41" s="28"/>
      <c r="G41" s="1"/>
      <c r="H41" s="33">
        <f>F92</f>
        <v>90</v>
      </c>
      <c r="I41" s="165" t="s">
        <v>59</v>
      </c>
    </row>
    <row r="42" spans="1:17" x14ac:dyDescent="0.25">
      <c r="B42" s="8"/>
      <c r="C42" s="8"/>
      <c r="D42" s="20"/>
      <c r="E42" s="11"/>
      <c r="F42" s="1"/>
      <c r="G42" s="1"/>
      <c r="H42" s="33">
        <f>F91</f>
        <v>88</v>
      </c>
      <c r="I42" s="165"/>
    </row>
    <row r="43" spans="1:17" x14ac:dyDescent="0.25">
      <c r="B43" s="8"/>
      <c r="C43" s="8"/>
      <c r="D43" s="20"/>
      <c r="E43" s="11"/>
      <c r="F43" s="1"/>
      <c r="G43" s="1"/>
      <c r="H43" s="33">
        <f>F90</f>
        <v>86</v>
      </c>
      <c r="I43" s="165"/>
    </row>
    <row r="44" spans="1:17" x14ac:dyDescent="0.25">
      <c r="B44" s="8"/>
      <c r="C44" s="8"/>
      <c r="D44" s="20"/>
      <c r="E44" s="11"/>
      <c r="F44" s="1"/>
      <c r="G44" s="1"/>
      <c r="H44" s="33">
        <f>F89</f>
        <v>84</v>
      </c>
      <c r="I44" s="165"/>
    </row>
    <row r="45" spans="1:17" x14ac:dyDescent="0.25">
      <c r="B45" s="8"/>
      <c r="C45" s="8"/>
      <c r="D45" s="20"/>
      <c r="E45" s="11"/>
      <c r="F45" s="1"/>
      <c r="G45" s="1"/>
      <c r="H45" s="33">
        <f>F88</f>
        <v>82</v>
      </c>
      <c r="I45" s="165"/>
    </row>
    <row r="46" spans="1:17" x14ac:dyDescent="0.25">
      <c r="D46" s="19"/>
      <c r="G46" s="33"/>
      <c r="K46" s="10"/>
    </row>
    <row r="47" spans="1:17" x14ac:dyDescent="0.25">
      <c r="D47" s="19"/>
      <c r="G47" s="33"/>
      <c r="K47" s="10"/>
    </row>
    <row r="48" spans="1:17" x14ac:dyDescent="0.25">
      <c r="C48" s="10"/>
      <c r="D48" s="20"/>
      <c r="E48" s="65"/>
      <c r="F48" s="58"/>
      <c r="H48" s="33">
        <f>F118</f>
        <v>2</v>
      </c>
      <c r="I48" s="153" t="s">
        <v>60</v>
      </c>
    </row>
    <row r="49" spans="1:19" x14ac:dyDescent="0.25">
      <c r="B49" s="10"/>
      <c r="C49" s="10"/>
      <c r="D49" s="64"/>
      <c r="E49" s="13"/>
      <c r="H49" s="33">
        <f>F119</f>
        <v>4</v>
      </c>
      <c r="I49" s="153"/>
    </row>
    <row r="50" spans="1:19" x14ac:dyDescent="0.25">
      <c r="C50" s="10"/>
      <c r="D50" s="19"/>
    </row>
    <row r="51" spans="1:19" x14ac:dyDescent="0.25">
      <c r="D51" s="19"/>
    </row>
    <row r="52" spans="1:19" x14ac:dyDescent="0.25">
      <c r="E52" t="s">
        <v>65</v>
      </c>
    </row>
    <row r="54" spans="1:19" x14ac:dyDescent="0.25">
      <c r="R54" s="4"/>
    </row>
    <row r="55" spans="1:19" x14ac:dyDescent="0.25">
      <c r="B55" s="159" t="s">
        <v>134</v>
      </c>
      <c r="C55" s="159"/>
      <c r="D55" s="159"/>
      <c r="E55" s="159"/>
      <c r="F55" s="159"/>
      <c r="G55" s="159"/>
      <c r="H55" s="159"/>
      <c r="I55" s="159"/>
      <c r="R55" s="4"/>
    </row>
    <row r="56" spans="1:19" x14ac:dyDescent="0.25">
      <c r="A56" t="s">
        <v>68</v>
      </c>
    </row>
    <row r="57" spans="1:19" x14ac:dyDescent="0.25">
      <c r="B57" s="1" t="s">
        <v>69</v>
      </c>
      <c r="C57" s="1" t="s">
        <v>70</v>
      </c>
      <c r="D57" s="1" t="s">
        <v>67</v>
      </c>
      <c r="E57" s="1" t="s">
        <v>71</v>
      </c>
      <c r="F57" s="1" t="s">
        <v>66</v>
      </c>
      <c r="G57" s="26" t="s">
        <v>72</v>
      </c>
      <c r="H57" s="1" t="s">
        <v>144</v>
      </c>
      <c r="I57" s="44" t="s">
        <v>81</v>
      </c>
      <c r="K57" s="10" t="s">
        <v>135</v>
      </c>
      <c r="L57" s="10"/>
      <c r="M57" s="10"/>
      <c r="N57" s="10"/>
      <c r="O57" s="58"/>
      <c r="P57" s="10">
        <f>393-57</f>
        <v>336</v>
      </c>
      <c r="Q57" s="60"/>
      <c r="R57" s="60"/>
      <c r="S57" s="60"/>
    </row>
    <row r="58" spans="1:19" x14ac:dyDescent="0.25">
      <c r="B58" s="57">
        <f>I68*2-1</f>
        <v>21</v>
      </c>
      <c r="C58" s="29">
        <f>IF(INT(('Variables auxiliares'!M12-'Variables auxiliares'!M10)/Datos!J5)&gt;0,'Variables auxiliares'!M10+(Datos!J5/2),INT('Variables auxiliares'!M12+(Datos!J5/2)))</f>
        <v>26</v>
      </c>
      <c r="D58" s="30">
        <f>2*I71-1</f>
        <v>1</v>
      </c>
      <c r="E58" s="67">
        <f>Datos!J7/2</f>
        <v>1.22</v>
      </c>
      <c r="F58" s="71">
        <f>80+2*I79</f>
        <v>82</v>
      </c>
      <c r="G58" s="77">
        <f>Datos!C$8+'Variables auxiliares'!M6+'Variables auxiliares'!M7+(Datos!J$8/2)</f>
        <v>17.739999999999998</v>
      </c>
      <c r="I58">
        <v>1</v>
      </c>
      <c r="K58" s="10"/>
      <c r="L58" s="10"/>
      <c r="M58" s="10"/>
      <c r="N58" s="10"/>
      <c r="O58" s="58"/>
      <c r="P58" s="10"/>
      <c r="Q58" s="61"/>
      <c r="R58" s="10"/>
      <c r="S58" s="62"/>
    </row>
    <row r="59" spans="1:19" x14ac:dyDescent="0.25">
      <c r="E59" s="6"/>
      <c r="F59" s="71">
        <f>80+2*I80</f>
        <v>84</v>
      </c>
      <c r="G59" s="72">
        <f>G$58+I79*Datos!J$8</f>
        <v>20.74</v>
      </c>
      <c r="H59" s="41"/>
      <c r="I59">
        <v>2</v>
      </c>
      <c r="K59" s="58" t="s">
        <v>136</v>
      </c>
      <c r="L59" s="58" t="str">
        <f>IF(MOD('Variables auxiliares'!F12,2)&gt;0,0,"NO")</f>
        <v>NO</v>
      </c>
      <c r="M59" s="10"/>
      <c r="N59" s="10"/>
      <c r="O59" s="58"/>
      <c r="P59" s="10"/>
      <c r="Q59" s="61"/>
      <c r="R59" s="10"/>
      <c r="S59" s="62"/>
    </row>
    <row r="60" spans="1:19" x14ac:dyDescent="0.25">
      <c r="E60" s="50" t="s">
        <v>141</v>
      </c>
      <c r="F60" s="71">
        <f>80+2*I81</f>
        <v>86</v>
      </c>
      <c r="G60" s="72">
        <f>G$58+I80*Datos!J$8</f>
        <v>23.74</v>
      </c>
      <c r="H60" s="41"/>
      <c r="I60">
        <v>3</v>
      </c>
      <c r="L60" s="59"/>
      <c r="M60" s="58"/>
      <c r="N60" s="59"/>
      <c r="O60" s="58"/>
      <c r="P60" s="10"/>
      <c r="Q60" s="61"/>
      <c r="R60" s="10"/>
      <c r="S60" s="62"/>
    </row>
    <row r="61" spans="1:19" x14ac:dyDescent="0.25">
      <c r="E61" s="6"/>
      <c r="F61" s="71">
        <f>80+2*I82</f>
        <v>88</v>
      </c>
      <c r="G61" s="72">
        <f>G$58+I81*Datos!J$8</f>
        <v>26.74</v>
      </c>
      <c r="H61" s="41"/>
      <c r="I61">
        <v>4</v>
      </c>
      <c r="L61" s="59"/>
      <c r="M61" s="58"/>
      <c r="N61" s="59"/>
      <c r="O61" s="58"/>
      <c r="P61" s="10"/>
      <c r="Q61" s="61"/>
      <c r="R61" s="10"/>
      <c r="S61" s="62"/>
    </row>
    <row r="62" spans="1:19" x14ac:dyDescent="0.25">
      <c r="E62" s="6"/>
      <c r="F62" s="71">
        <f>80+2*I83</f>
        <v>90</v>
      </c>
      <c r="G62" s="72">
        <f>G$58+I82*Datos!J$8</f>
        <v>29.74</v>
      </c>
      <c r="H62" s="27">
        <f>INT(((3*Datos!C$6-'slots sin grua'!C58)*TAN('Variables auxiliares'!C$40)-Datos!C$8+'Variables auxiliares'!F$54)/Datos!J$8)</f>
        <v>10</v>
      </c>
      <c r="I62">
        <v>5</v>
      </c>
      <c r="L62" s="59"/>
      <c r="M62" s="58"/>
      <c r="N62" s="59"/>
      <c r="O62" s="58"/>
      <c r="P62" s="10"/>
      <c r="Q62" s="61"/>
      <c r="R62" s="10"/>
      <c r="S62" s="62"/>
    </row>
    <row r="63" spans="1:19" x14ac:dyDescent="0.25">
      <c r="B63" s="27">
        <f>B58</f>
        <v>21</v>
      </c>
      <c r="C63" s="25">
        <f>C58</f>
        <v>26</v>
      </c>
      <c r="D63" s="1">
        <f>2*I72-1</f>
        <v>3</v>
      </c>
      <c r="E63" s="68">
        <f>E$58+I71*Datos!J$7</f>
        <v>3.66</v>
      </c>
      <c r="F63" s="74">
        <f t="shared" ref="F63:G67" si="0">F58</f>
        <v>82</v>
      </c>
      <c r="G63" s="72">
        <f t="shared" si="0"/>
        <v>17.739999999999998</v>
      </c>
      <c r="H63" s="42"/>
      <c r="I63">
        <v>6</v>
      </c>
      <c r="L63" s="59"/>
      <c r="M63" s="58"/>
      <c r="N63" s="59"/>
      <c r="O63" s="58"/>
      <c r="P63" s="10"/>
      <c r="Q63" s="61"/>
      <c r="R63" s="10"/>
      <c r="S63" s="62"/>
    </row>
    <row r="64" spans="1:19" x14ac:dyDescent="0.25">
      <c r="E64" s="6"/>
      <c r="F64" s="74">
        <f t="shared" si="0"/>
        <v>84</v>
      </c>
      <c r="G64" s="72">
        <f t="shared" si="0"/>
        <v>20.74</v>
      </c>
      <c r="H64" s="41"/>
      <c r="I64">
        <v>7</v>
      </c>
      <c r="L64" s="59"/>
      <c r="M64" s="58"/>
      <c r="N64" s="59"/>
      <c r="O64" s="58"/>
      <c r="P64" s="10"/>
      <c r="Q64" s="61"/>
      <c r="R64" s="10"/>
      <c r="S64" s="62"/>
    </row>
    <row r="65" spans="2:19" x14ac:dyDescent="0.25">
      <c r="E65" s="6"/>
      <c r="F65" s="74">
        <f t="shared" si="0"/>
        <v>86</v>
      </c>
      <c r="G65" s="72">
        <f t="shared" si="0"/>
        <v>23.74</v>
      </c>
      <c r="H65" s="41"/>
      <c r="I65">
        <v>8</v>
      </c>
      <c r="L65" s="59"/>
      <c r="M65" s="58"/>
      <c r="N65" s="59"/>
      <c r="O65" s="58"/>
      <c r="P65" s="10"/>
      <c r="Q65" s="61"/>
      <c r="R65" s="10"/>
      <c r="S65" s="62"/>
    </row>
    <row r="66" spans="2:19" x14ac:dyDescent="0.25">
      <c r="E66" s="6"/>
      <c r="F66" s="74">
        <f t="shared" si="0"/>
        <v>88</v>
      </c>
      <c r="G66" s="72">
        <f t="shared" si="0"/>
        <v>26.74</v>
      </c>
      <c r="H66" s="41"/>
      <c r="I66">
        <v>9</v>
      </c>
      <c r="J66" t="s">
        <v>150</v>
      </c>
      <c r="K66" t="s">
        <v>148</v>
      </c>
      <c r="L66" s="59"/>
      <c r="M66" s="58"/>
      <c r="N66" s="59"/>
      <c r="O66" s="58"/>
      <c r="P66" s="10"/>
      <c r="Q66" s="61"/>
      <c r="R66" s="10"/>
      <c r="S66" s="62"/>
    </row>
    <row r="67" spans="2:19" x14ac:dyDescent="0.25">
      <c r="E67" s="6"/>
      <c r="F67" s="74">
        <f t="shared" si="0"/>
        <v>90</v>
      </c>
      <c r="G67" s="72">
        <f t="shared" si="0"/>
        <v>29.74</v>
      </c>
      <c r="H67" s="27">
        <f>H62</f>
        <v>10</v>
      </c>
      <c r="I67">
        <v>10</v>
      </c>
      <c r="L67" s="59"/>
      <c r="M67" s="58"/>
      <c r="N67" s="59"/>
      <c r="O67" s="58"/>
      <c r="P67" s="10"/>
      <c r="Q67" s="61"/>
      <c r="R67" s="10"/>
      <c r="S67" s="62"/>
    </row>
    <row r="68" spans="2:19" x14ac:dyDescent="0.25">
      <c r="B68" s="27">
        <f>B63</f>
        <v>21</v>
      </c>
      <c r="C68" s="25">
        <f>C63</f>
        <v>26</v>
      </c>
      <c r="D68" s="1">
        <f>2*I73-1</f>
        <v>10</v>
      </c>
      <c r="E68" s="74">
        <f>E$58+I72*Datos!J$7</f>
        <v>6.1</v>
      </c>
      <c r="F68" s="74">
        <f>F63</f>
        <v>82</v>
      </c>
      <c r="G68" s="74">
        <f>G63</f>
        <v>17.739999999999998</v>
      </c>
      <c r="H68" s="70"/>
      <c r="I68">
        <v>11</v>
      </c>
      <c r="J68" t="s">
        <v>137</v>
      </c>
      <c r="L68" s="59"/>
      <c r="M68" s="58"/>
      <c r="N68" s="59"/>
      <c r="O68" s="58"/>
      <c r="P68" s="10"/>
      <c r="Q68" s="61"/>
      <c r="R68" s="10"/>
      <c r="S68" s="62"/>
    </row>
    <row r="69" spans="2:19" x14ac:dyDescent="0.25">
      <c r="E69" s="6"/>
      <c r="F69" s="74">
        <f t="shared" ref="F69:G69" si="1">F64</f>
        <v>84</v>
      </c>
      <c r="G69" s="74">
        <f t="shared" si="1"/>
        <v>20.74</v>
      </c>
      <c r="H69" s="70"/>
      <c r="L69" s="59"/>
      <c r="M69" s="58"/>
      <c r="N69" s="59"/>
      <c r="O69" s="58"/>
      <c r="P69" s="10"/>
      <c r="Q69" s="61"/>
      <c r="R69" s="10"/>
      <c r="S69" s="62"/>
    </row>
    <row r="70" spans="2:19" x14ac:dyDescent="0.25">
      <c r="E70" s="6"/>
      <c r="F70" s="74">
        <f t="shared" ref="F70:G70" si="2">F65</f>
        <v>86</v>
      </c>
      <c r="G70" s="74">
        <f t="shared" si="2"/>
        <v>23.74</v>
      </c>
      <c r="H70" s="70"/>
      <c r="I70" s="108" t="s">
        <v>82</v>
      </c>
      <c r="L70" s="59"/>
      <c r="M70" s="58"/>
      <c r="N70" s="59"/>
      <c r="O70" s="58"/>
      <c r="P70" s="10"/>
      <c r="Q70" s="61"/>
      <c r="R70" s="10"/>
      <c r="S70" s="62"/>
    </row>
    <row r="71" spans="2:19" x14ac:dyDescent="0.25">
      <c r="E71" s="6"/>
      <c r="F71" s="74">
        <f t="shared" ref="F71:G71" si="3">F66</f>
        <v>88</v>
      </c>
      <c r="G71" s="74">
        <f t="shared" si="3"/>
        <v>26.74</v>
      </c>
      <c r="H71" s="70"/>
      <c r="I71">
        <v>1</v>
      </c>
      <c r="L71" s="59"/>
      <c r="M71" s="58"/>
      <c r="N71" s="59"/>
      <c r="O71" s="58"/>
      <c r="P71" s="10"/>
      <c r="Q71" s="61"/>
      <c r="R71" s="10"/>
      <c r="S71" s="62"/>
    </row>
    <row r="72" spans="2:19" x14ac:dyDescent="0.25">
      <c r="E72" s="6"/>
      <c r="F72" s="74">
        <f t="shared" ref="F72:G72" si="4">F67</f>
        <v>90</v>
      </c>
      <c r="G72" s="74">
        <f t="shared" si="4"/>
        <v>29.74</v>
      </c>
      <c r="H72" s="27">
        <f>H67</f>
        <v>10</v>
      </c>
      <c r="I72">
        <v>2</v>
      </c>
      <c r="L72" s="59"/>
      <c r="M72" s="58"/>
      <c r="N72" s="59"/>
      <c r="O72" s="58"/>
      <c r="P72" s="10"/>
      <c r="Q72" s="61"/>
      <c r="R72" s="10"/>
      <c r="S72" s="62"/>
    </row>
    <row r="73" spans="2:19" x14ac:dyDescent="0.25">
      <c r="B73" s="27">
        <f>B63</f>
        <v>21</v>
      </c>
      <c r="C73" s="25">
        <f>C63</f>
        <v>26</v>
      </c>
      <c r="D73" s="1">
        <f>2*I71</f>
        <v>2</v>
      </c>
      <c r="E73" s="1">
        <f>-Datos!J7/2</f>
        <v>-1.22</v>
      </c>
      <c r="F73" s="1">
        <f t="shared" ref="F73:G77" si="5">F58</f>
        <v>82</v>
      </c>
      <c r="G73" s="1">
        <f t="shared" si="5"/>
        <v>17.739999999999998</v>
      </c>
      <c r="H73" s="40"/>
      <c r="I73">
        <f>'Variables auxiliares'!F30/2</f>
        <v>5.5</v>
      </c>
      <c r="J73" t="s">
        <v>138</v>
      </c>
      <c r="L73" s="59"/>
      <c r="M73" s="58"/>
      <c r="N73" s="59"/>
      <c r="O73" s="58"/>
      <c r="P73" s="10"/>
      <c r="Q73" s="61"/>
      <c r="R73" s="10"/>
      <c r="S73" s="62"/>
    </row>
    <row r="74" spans="2:19" x14ac:dyDescent="0.25">
      <c r="E74" s="6"/>
      <c r="F74" s="1">
        <f t="shared" si="5"/>
        <v>84</v>
      </c>
      <c r="G74" s="1">
        <f t="shared" si="5"/>
        <v>20.74</v>
      </c>
      <c r="H74" s="40"/>
      <c r="L74" s="59"/>
      <c r="M74" s="58"/>
      <c r="N74" s="59"/>
      <c r="O74" s="58"/>
      <c r="P74" s="10"/>
      <c r="Q74" s="61"/>
      <c r="R74" s="10"/>
      <c r="S74" s="62"/>
    </row>
    <row r="75" spans="2:19" x14ac:dyDescent="0.25">
      <c r="F75" s="1">
        <f t="shared" si="5"/>
        <v>86</v>
      </c>
      <c r="G75" s="1">
        <f t="shared" si="5"/>
        <v>23.74</v>
      </c>
      <c r="H75" s="40"/>
      <c r="I75" s="108" t="s">
        <v>83</v>
      </c>
      <c r="L75" s="59"/>
      <c r="M75" s="58"/>
      <c r="N75" s="59"/>
      <c r="O75" s="58"/>
      <c r="P75" s="10"/>
      <c r="Q75" s="61"/>
      <c r="R75" s="10"/>
      <c r="S75" s="62"/>
    </row>
    <row r="76" spans="2:19" x14ac:dyDescent="0.25">
      <c r="E76" t="s">
        <v>142</v>
      </c>
      <c r="F76" s="1">
        <f t="shared" si="5"/>
        <v>88</v>
      </c>
      <c r="G76" s="1">
        <f t="shared" si="5"/>
        <v>26.74</v>
      </c>
      <c r="H76" s="40"/>
      <c r="I76">
        <v>1</v>
      </c>
      <c r="J76" t="s">
        <v>139</v>
      </c>
      <c r="L76" s="59"/>
      <c r="M76" s="58"/>
      <c r="N76" s="59"/>
      <c r="O76" s="58"/>
      <c r="P76" s="10"/>
      <c r="Q76" s="61"/>
      <c r="R76" s="10"/>
      <c r="S76" s="62"/>
    </row>
    <row r="77" spans="2:19" x14ac:dyDescent="0.25">
      <c r="F77" s="1">
        <f t="shared" si="5"/>
        <v>90</v>
      </c>
      <c r="G77" s="1">
        <f t="shared" si="5"/>
        <v>29.74</v>
      </c>
      <c r="H77" s="27">
        <f>H67</f>
        <v>10</v>
      </c>
      <c r="I77">
        <v>2</v>
      </c>
      <c r="J77" t="s">
        <v>140</v>
      </c>
      <c r="L77" s="59"/>
      <c r="M77" s="58"/>
      <c r="N77" s="59"/>
      <c r="O77" s="58"/>
      <c r="P77" s="10"/>
      <c r="Q77" s="61"/>
      <c r="R77" s="10"/>
      <c r="S77" s="62"/>
    </row>
    <row r="78" spans="2:19" x14ac:dyDescent="0.25">
      <c r="B78" s="27">
        <f>B73</f>
        <v>21</v>
      </c>
      <c r="C78" s="25">
        <f>C73</f>
        <v>26</v>
      </c>
      <c r="D78" s="1">
        <f>2*I72</f>
        <v>4</v>
      </c>
      <c r="E78" s="1">
        <f>E$73-I71*Datos!J$7</f>
        <v>-3.66</v>
      </c>
      <c r="F78" s="1">
        <f t="shared" ref="F78:G82" si="6">F58</f>
        <v>82</v>
      </c>
      <c r="G78" s="1">
        <f t="shared" si="6"/>
        <v>17.739999999999998</v>
      </c>
      <c r="H78" s="40"/>
      <c r="L78" s="59"/>
      <c r="M78" s="58"/>
      <c r="N78" s="59"/>
      <c r="O78" s="58"/>
      <c r="P78" s="10"/>
      <c r="Q78" s="61"/>
      <c r="R78" s="10"/>
      <c r="S78" s="62"/>
    </row>
    <row r="79" spans="2:19" x14ac:dyDescent="0.25">
      <c r="F79" s="1">
        <f t="shared" si="6"/>
        <v>84</v>
      </c>
      <c r="G79" s="1">
        <f t="shared" si="6"/>
        <v>20.74</v>
      </c>
      <c r="H79" s="40"/>
      <c r="I79">
        <v>1</v>
      </c>
      <c r="J79" t="s">
        <v>143</v>
      </c>
      <c r="L79" s="59"/>
      <c r="M79" s="58"/>
      <c r="N79" s="59"/>
      <c r="O79" s="58"/>
      <c r="P79" s="10"/>
      <c r="Q79" s="61"/>
      <c r="R79" s="10"/>
      <c r="S79" s="62"/>
    </row>
    <row r="80" spans="2:19" x14ac:dyDescent="0.25">
      <c r="F80" s="1">
        <f t="shared" si="6"/>
        <v>86</v>
      </c>
      <c r="G80" s="1">
        <f t="shared" si="6"/>
        <v>23.74</v>
      </c>
      <c r="H80" s="40"/>
      <c r="I80">
        <v>2</v>
      </c>
      <c r="L80" s="59"/>
      <c r="M80" s="58"/>
      <c r="N80" s="59"/>
      <c r="O80" s="58"/>
      <c r="P80" s="10"/>
      <c r="Q80" s="61"/>
      <c r="R80" s="10"/>
      <c r="S80" s="62"/>
    </row>
    <row r="81" spans="2:19" x14ac:dyDescent="0.25">
      <c r="F81" s="1">
        <f t="shared" si="6"/>
        <v>88</v>
      </c>
      <c r="G81" s="1">
        <f t="shared" si="6"/>
        <v>26.74</v>
      </c>
      <c r="H81" s="40"/>
      <c r="I81">
        <v>3</v>
      </c>
      <c r="L81" s="59"/>
      <c r="M81" s="58"/>
      <c r="N81" s="59"/>
      <c r="O81" s="58"/>
      <c r="P81" s="10"/>
      <c r="Q81" s="61"/>
      <c r="R81" s="10"/>
      <c r="S81" s="62"/>
    </row>
    <row r="82" spans="2:19" x14ac:dyDescent="0.25">
      <c r="F82" s="31">
        <f t="shared" si="6"/>
        <v>90</v>
      </c>
      <c r="G82" s="31">
        <f t="shared" si="6"/>
        <v>29.74</v>
      </c>
      <c r="H82" s="27">
        <f>H77</f>
        <v>10</v>
      </c>
      <c r="I82">
        <v>4</v>
      </c>
      <c r="L82" s="59"/>
      <c r="M82" s="58"/>
      <c r="N82" s="59"/>
      <c r="O82" s="58"/>
      <c r="P82" s="10"/>
      <c r="Q82" s="61"/>
      <c r="R82" s="10"/>
      <c r="S82" s="62"/>
    </row>
    <row r="83" spans="2:19" x14ac:dyDescent="0.25">
      <c r="B83" s="27">
        <f>B78</f>
        <v>21</v>
      </c>
      <c r="C83" s="25">
        <f>C78</f>
        <v>26</v>
      </c>
      <c r="D83" s="1">
        <f>2*I73</f>
        <v>11</v>
      </c>
      <c r="E83" s="1">
        <f>E$73-I72*Datos!J$7</f>
        <v>-6.1</v>
      </c>
      <c r="F83" s="1">
        <f>F68</f>
        <v>82</v>
      </c>
      <c r="G83" s="1">
        <f>G68</f>
        <v>17.739999999999998</v>
      </c>
      <c r="H83" s="76"/>
      <c r="I83">
        <v>5</v>
      </c>
      <c r="J83" t="s">
        <v>144</v>
      </c>
      <c r="L83" s="59"/>
      <c r="M83" s="58"/>
      <c r="N83" s="59"/>
      <c r="O83" s="58"/>
      <c r="P83" s="10"/>
      <c r="Q83" s="61"/>
      <c r="R83" s="10"/>
      <c r="S83" s="62"/>
    </row>
    <row r="84" spans="2:19" x14ac:dyDescent="0.25">
      <c r="F84" s="1">
        <f t="shared" ref="F84:G84" si="7">F69</f>
        <v>84</v>
      </c>
      <c r="G84" s="1">
        <f t="shared" si="7"/>
        <v>20.74</v>
      </c>
      <c r="H84" s="76"/>
      <c r="L84" s="59"/>
      <c r="M84" s="58"/>
      <c r="N84" s="59"/>
      <c r="O84" s="58"/>
      <c r="P84" s="10"/>
      <c r="Q84" s="61"/>
      <c r="R84" s="10"/>
      <c r="S84" s="62"/>
    </row>
    <row r="85" spans="2:19" x14ac:dyDescent="0.25">
      <c r="F85" s="1">
        <f t="shared" ref="F85:G85" si="8">F70</f>
        <v>86</v>
      </c>
      <c r="G85" s="1">
        <f t="shared" si="8"/>
        <v>23.74</v>
      </c>
      <c r="H85" s="76"/>
      <c r="L85" s="59"/>
      <c r="M85" s="58"/>
      <c r="N85" s="59"/>
      <c r="O85" s="58"/>
      <c r="P85" s="10"/>
      <c r="Q85" s="61"/>
      <c r="R85" s="10"/>
      <c r="S85" s="62"/>
    </row>
    <row r="86" spans="2:19" x14ac:dyDescent="0.25">
      <c r="F86" s="1">
        <f t="shared" ref="F86:G86" si="9">F71</f>
        <v>88</v>
      </c>
      <c r="G86" s="1">
        <f t="shared" si="9"/>
        <v>26.74</v>
      </c>
      <c r="H86" s="76"/>
      <c r="L86" s="59"/>
      <c r="M86" s="58"/>
      <c r="N86" s="59"/>
      <c r="O86" s="58"/>
      <c r="P86" s="10"/>
      <c r="Q86" s="61"/>
      <c r="R86" s="10"/>
      <c r="S86" s="62"/>
    </row>
    <row r="87" spans="2:19" ht="15.75" thickBot="1" x14ac:dyDescent="0.3">
      <c r="B87" s="79"/>
      <c r="C87" s="79"/>
      <c r="D87" s="79"/>
      <c r="E87" s="79"/>
      <c r="F87" s="80">
        <f t="shared" ref="F87:G87" si="10">F72</f>
        <v>90</v>
      </c>
      <c r="G87" s="80">
        <f t="shared" si="10"/>
        <v>29.74</v>
      </c>
      <c r="H87" s="27">
        <f>H82</f>
        <v>10</v>
      </c>
      <c r="L87" s="59"/>
      <c r="M87" s="58"/>
      <c r="N87" s="59"/>
      <c r="O87" s="58"/>
      <c r="P87" s="10"/>
      <c r="Q87" s="61"/>
      <c r="R87" s="10"/>
      <c r="S87" s="62"/>
    </row>
    <row r="88" spans="2:19" x14ac:dyDescent="0.25">
      <c r="B88" s="28">
        <f>I67*2-1</f>
        <v>19</v>
      </c>
      <c r="C88" s="29">
        <f>C63+('Variables auxiliares'!F26-I67)*Datos!J5</f>
        <v>104.78</v>
      </c>
      <c r="D88" s="30">
        <f>D58</f>
        <v>1</v>
      </c>
      <c r="E88" s="67">
        <f>E58</f>
        <v>1.22</v>
      </c>
      <c r="F88" s="67">
        <f t="shared" ref="F88:G92" si="11">F63</f>
        <v>82</v>
      </c>
      <c r="G88" s="78">
        <f t="shared" si="11"/>
        <v>17.739999999999998</v>
      </c>
      <c r="L88" s="59"/>
      <c r="M88" s="58"/>
      <c r="N88" s="59"/>
      <c r="O88" s="58"/>
      <c r="P88" s="10"/>
      <c r="Q88" s="61"/>
      <c r="R88" s="10"/>
      <c r="S88" s="62"/>
    </row>
    <row r="89" spans="2:19" x14ac:dyDescent="0.25">
      <c r="F89" s="74">
        <f t="shared" si="11"/>
        <v>84</v>
      </c>
      <c r="G89" s="69">
        <f t="shared" si="11"/>
        <v>20.74</v>
      </c>
      <c r="H89" s="41"/>
      <c r="L89" s="59"/>
      <c r="M89" s="58"/>
      <c r="N89" s="59"/>
      <c r="O89" s="58"/>
      <c r="P89" s="10"/>
      <c r="Q89" s="61"/>
      <c r="R89" s="10"/>
      <c r="S89" s="62"/>
    </row>
    <row r="90" spans="2:19" x14ac:dyDescent="0.25">
      <c r="F90" s="74">
        <f t="shared" si="11"/>
        <v>86</v>
      </c>
      <c r="G90" s="77">
        <f t="shared" si="11"/>
        <v>23.74</v>
      </c>
      <c r="L90" s="59"/>
      <c r="M90" s="58"/>
      <c r="N90" s="59"/>
      <c r="O90" s="58"/>
      <c r="P90" s="10"/>
      <c r="Q90" s="61"/>
      <c r="R90" s="10"/>
      <c r="S90" s="62"/>
    </row>
    <row r="91" spans="2:19" x14ac:dyDescent="0.25">
      <c r="E91" t="s">
        <v>141</v>
      </c>
      <c r="F91" s="74">
        <f t="shared" si="11"/>
        <v>88</v>
      </c>
      <c r="G91" s="72">
        <f t="shared" si="11"/>
        <v>26.74</v>
      </c>
      <c r="H91" s="41"/>
      <c r="L91" s="59"/>
      <c r="M91" s="58"/>
      <c r="N91" s="59"/>
      <c r="O91" s="58"/>
      <c r="P91" s="10"/>
      <c r="Q91" s="61"/>
      <c r="R91" s="10"/>
      <c r="S91" s="62"/>
    </row>
    <row r="92" spans="2:19" x14ac:dyDescent="0.25">
      <c r="F92" s="74">
        <f t="shared" si="11"/>
        <v>90</v>
      </c>
      <c r="G92" s="72">
        <f t="shared" si="11"/>
        <v>29.74</v>
      </c>
      <c r="H92" s="27">
        <f>INT(((3*Datos!C$6-'slots sin grua'!C88)*TAN('Variables auxiliares'!C$40)-Datos!C$8+'Variables auxiliares'!F$54)/Datos!J$8)</f>
        <v>8</v>
      </c>
      <c r="L92" s="63"/>
      <c r="M92" s="60"/>
      <c r="N92" s="59"/>
      <c r="O92" s="58"/>
      <c r="P92" s="10"/>
      <c r="Q92" s="61"/>
      <c r="R92" s="10"/>
      <c r="S92" s="62"/>
    </row>
    <row r="93" spans="2:19" x14ac:dyDescent="0.25">
      <c r="B93" s="1">
        <f>B88</f>
        <v>19</v>
      </c>
      <c r="C93" s="25">
        <f>C88</f>
        <v>104.78</v>
      </c>
      <c r="D93" s="1">
        <f>D63</f>
        <v>3</v>
      </c>
      <c r="E93" s="68">
        <f>E63</f>
        <v>3.66</v>
      </c>
      <c r="F93" s="74">
        <f t="shared" ref="F93:G97" si="12">F88</f>
        <v>82</v>
      </c>
      <c r="G93" s="72">
        <f t="shared" si="12"/>
        <v>17.739999999999998</v>
      </c>
      <c r="H93" s="41"/>
      <c r="L93" s="63"/>
      <c r="M93" s="60"/>
      <c r="N93" s="59"/>
      <c r="O93" s="58"/>
      <c r="P93" s="10"/>
      <c r="Q93" s="61"/>
      <c r="R93" s="10"/>
      <c r="S93" s="62"/>
    </row>
    <row r="94" spans="2:19" x14ac:dyDescent="0.25">
      <c r="B94" s="108"/>
      <c r="C94" s="22"/>
      <c r="E94" s="6"/>
      <c r="F94" s="74">
        <f t="shared" si="12"/>
        <v>84</v>
      </c>
      <c r="G94" s="72">
        <f t="shared" si="12"/>
        <v>20.74</v>
      </c>
      <c r="H94" s="41"/>
      <c r="L94" s="63"/>
      <c r="M94" s="60"/>
      <c r="N94" s="59"/>
      <c r="O94" s="58"/>
      <c r="P94" s="10"/>
      <c r="Q94" s="61"/>
      <c r="R94" s="10"/>
      <c r="S94" s="62"/>
    </row>
    <row r="95" spans="2:19" x14ac:dyDescent="0.25">
      <c r="B95" s="108"/>
      <c r="C95" s="22"/>
      <c r="E95" s="6"/>
      <c r="F95" s="74">
        <f t="shared" si="12"/>
        <v>86</v>
      </c>
      <c r="G95" s="72">
        <f t="shared" si="12"/>
        <v>23.74</v>
      </c>
      <c r="H95" s="41"/>
      <c r="L95" s="63"/>
      <c r="M95" s="60"/>
      <c r="N95" s="59"/>
      <c r="O95" s="58"/>
      <c r="P95" s="10"/>
      <c r="Q95" s="61"/>
      <c r="R95" s="10"/>
      <c r="S95" s="62"/>
    </row>
    <row r="96" spans="2:19" x14ac:dyDescent="0.25">
      <c r="B96" s="108"/>
      <c r="C96" s="22"/>
      <c r="E96" s="6"/>
      <c r="F96" s="74">
        <f t="shared" si="12"/>
        <v>88</v>
      </c>
      <c r="G96" s="72">
        <f t="shared" si="12"/>
        <v>26.74</v>
      </c>
      <c r="H96" s="41"/>
      <c r="L96" s="63"/>
      <c r="M96" s="60"/>
      <c r="N96" s="59"/>
      <c r="O96" s="58"/>
      <c r="P96" s="10"/>
      <c r="Q96" s="61"/>
      <c r="R96" s="10"/>
      <c r="S96" s="62"/>
    </row>
    <row r="97" spans="2:19" x14ac:dyDescent="0.25">
      <c r="B97" s="108"/>
      <c r="C97" s="22"/>
      <c r="E97" s="6"/>
      <c r="F97" s="75">
        <f t="shared" si="12"/>
        <v>90</v>
      </c>
      <c r="G97" s="73">
        <f t="shared" si="12"/>
        <v>29.74</v>
      </c>
      <c r="H97" s="27">
        <f>H92</f>
        <v>8</v>
      </c>
      <c r="L97" s="63"/>
      <c r="M97" s="60"/>
      <c r="N97" s="59"/>
      <c r="O97" s="58"/>
      <c r="P97" s="10"/>
      <c r="Q97" s="61"/>
      <c r="R97" s="10"/>
      <c r="S97" s="62"/>
    </row>
    <row r="98" spans="2:19" x14ac:dyDescent="0.25">
      <c r="B98" s="1">
        <f>B93</f>
        <v>19</v>
      </c>
      <c r="C98" s="25">
        <f>C93</f>
        <v>104.78</v>
      </c>
      <c r="D98" s="1">
        <f>D68</f>
        <v>10</v>
      </c>
      <c r="E98" s="1">
        <f>E68</f>
        <v>6.1</v>
      </c>
      <c r="F98" s="1">
        <f t="shared" ref="F98:G98" si="13">F68</f>
        <v>82</v>
      </c>
      <c r="G98" s="1">
        <f t="shared" si="13"/>
        <v>17.739999999999998</v>
      </c>
      <c r="H98" s="76"/>
      <c r="L98" s="63"/>
      <c r="M98" s="60"/>
      <c r="N98" s="59"/>
      <c r="O98" s="58"/>
      <c r="P98" s="10"/>
      <c r="Q98" s="61"/>
      <c r="R98" s="10"/>
      <c r="S98" s="62"/>
    </row>
    <row r="99" spans="2:19" x14ac:dyDescent="0.25">
      <c r="B99" s="108"/>
      <c r="C99" s="22"/>
      <c r="E99" s="6"/>
      <c r="F99" s="1">
        <f t="shared" ref="F99:G99" si="14">F69</f>
        <v>84</v>
      </c>
      <c r="G99" s="1">
        <f t="shared" si="14"/>
        <v>20.74</v>
      </c>
      <c r="H99" s="76"/>
      <c r="L99" s="63"/>
      <c r="M99" s="60"/>
      <c r="N99" s="59"/>
      <c r="O99" s="58"/>
      <c r="P99" s="10"/>
      <c r="Q99" s="61"/>
      <c r="R99" s="10"/>
      <c r="S99" s="62"/>
    </row>
    <row r="100" spans="2:19" x14ac:dyDescent="0.25">
      <c r="B100" s="108"/>
      <c r="C100" s="22"/>
      <c r="E100" s="6"/>
      <c r="F100" s="1">
        <f t="shared" ref="F100:G100" si="15">F70</f>
        <v>86</v>
      </c>
      <c r="G100" s="1">
        <f t="shared" si="15"/>
        <v>23.74</v>
      </c>
      <c r="H100" s="76"/>
      <c r="L100" s="63"/>
      <c r="M100" s="60"/>
      <c r="N100" s="59"/>
      <c r="O100" s="58"/>
      <c r="P100" s="10"/>
      <c r="Q100" s="61"/>
      <c r="R100" s="10"/>
      <c r="S100" s="62"/>
    </row>
    <row r="101" spans="2:19" x14ac:dyDescent="0.25">
      <c r="B101" s="108"/>
      <c r="C101" s="22"/>
      <c r="E101" s="6"/>
      <c r="F101" s="1">
        <f t="shared" ref="F101:G101" si="16">F71</f>
        <v>88</v>
      </c>
      <c r="G101" s="1">
        <f t="shared" si="16"/>
        <v>26.74</v>
      </c>
      <c r="H101" s="76"/>
      <c r="L101" s="63"/>
      <c r="M101" s="60"/>
      <c r="N101" s="59"/>
      <c r="O101" s="58"/>
      <c r="P101" s="10"/>
      <c r="Q101" s="61"/>
      <c r="R101" s="10"/>
      <c r="S101" s="62"/>
    </row>
    <row r="102" spans="2:19" x14ac:dyDescent="0.25">
      <c r="B102" s="108"/>
      <c r="C102" s="22"/>
      <c r="E102" s="6"/>
      <c r="F102" s="1">
        <f t="shared" ref="F102:G102" si="17">F72</f>
        <v>90</v>
      </c>
      <c r="G102" s="1">
        <f t="shared" si="17"/>
        <v>29.74</v>
      </c>
      <c r="H102" s="27">
        <f>H97</f>
        <v>8</v>
      </c>
      <c r="L102" s="63"/>
      <c r="M102" s="60"/>
      <c r="N102" s="59"/>
      <c r="O102" s="58"/>
      <c r="P102" s="10"/>
      <c r="Q102" s="61"/>
      <c r="R102" s="10"/>
      <c r="S102" s="62"/>
    </row>
    <row r="103" spans="2:19" x14ac:dyDescent="0.25">
      <c r="B103" s="1">
        <f>B88</f>
        <v>19</v>
      </c>
      <c r="C103" s="25">
        <f>C88</f>
        <v>104.78</v>
      </c>
      <c r="D103" s="1">
        <f>D73</f>
        <v>2</v>
      </c>
      <c r="E103" s="1">
        <f>-E88</f>
        <v>-1.22</v>
      </c>
      <c r="F103" s="1">
        <f t="shared" ref="F103:G112" si="18">F88</f>
        <v>82</v>
      </c>
      <c r="G103" s="25">
        <f t="shared" si="18"/>
        <v>17.739999999999998</v>
      </c>
      <c r="L103" s="63"/>
      <c r="M103" s="60"/>
      <c r="N103" s="59"/>
      <c r="O103" s="58"/>
      <c r="P103" s="10"/>
      <c r="Q103" s="61"/>
      <c r="R103" s="10"/>
      <c r="S103" s="62"/>
    </row>
    <row r="104" spans="2:19" x14ac:dyDescent="0.25">
      <c r="F104" s="1">
        <f t="shared" si="18"/>
        <v>84</v>
      </c>
      <c r="G104" s="25">
        <f t="shared" si="18"/>
        <v>20.74</v>
      </c>
      <c r="L104" s="63"/>
      <c r="M104" s="60"/>
      <c r="N104" s="59"/>
      <c r="O104" s="58"/>
      <c r="P104" s="10"/>
      <c r="Q104" s="61"/>
      <c r="R104" s="10"/>
      <c r="S104" s="62"/>
    </row>
    <row r="105" spans="2:19" x14ac:dyDescent="0.25">
      <c r="F105" s="1">
        <f t="shared" si="18"/>
        <v>86</v>
      </c>
      <c r="G105" s="25">
        <f t="shared" si="18"/>
        <v>23.74</v>
      </c>
      <c r="L105" s="63"/>
      <c r="M105" s="60"/>
      <c r="N105" s="59"/>
      <c r="O105" s="58"/>
      <c r="P105" s="10"/>
      <c r="Q105" s="61"/>
      <c r="R105" s="10"/>
      <c r="S105" s="62"/>
    </row>
    <row r="106" spans="2:19" x14ac:dyDescent="0.25">
      <c r="E106" t="s">
        <v>142</v>
      </c>
      <c r="F106" s="1">
        <f t="shared" si="18"/>
        <v>88</v>
      </c>
      <c r="G106" s="25">
        <f t="shared" si="18"/>
        <v>26.74</v>
      </c>
      <c r="L106" s="63"/>
      <c r="M106" s="60"/>
      <c r="N106" s="59"/>
      <c r="O106" s="60"/>
      <c r="P106" s="10"/>
      <c r="Q106" s="61"/>
      <c r="R106" s="10"/>
      <c r="S106" s="62"/>
    </row>
    <row r="107" spans="2:19" x14ac:dyDescent="0.25">
      <c r="F107" s="31">
        <f t="shared" si="18"/>
        <v>90</v>
      </c>
      <c r="G107" s="32">
        <f t="shared" si="18"/>
        <v>29.74</v>
      </c>
      <c r="H107" s="27">
        <f>H97</f>
        <v>8</v>
      </c>
      <c r="L107" s="63"/>
      <c r="M107" s="60"/>
      <c r="N107" s="59"/>
      <c r="O107" s="60"/>
      <c r="P107" s="10"/>
      <c r="Q107" s="61"/>
      <c r="R107" s="10"/>
      <c r="S107" s="62"/>
    </row>
    <row r="108" spans="2:19" x14ac:dyDescent="0.25">
      <c r="B108" s="1">
        <f>B103</f>
        <v>19</v>
      </c>
      <c r="C108" s="25">
        <f>C103</f>
        <v>104.78</v>
      </c>
      <c r="D108" s="1">
        <f>D78</f>
        <v>4</v>
      </c>
      <c r="E108" s="1">
        <f>-E93</f>
        <v>-3.66</v>
      </c>
      <c r="F108" s="39">
        <f t="shared" si="18"/>
        <v>82</v>
      </c>
      <c r="G108" s="39">
        <f t="shared" si="18"/>
        <v>17.739999999999998</v>
      </c>
      <c r="L108" s="63"/>
      <c r="M108" s="60"/>
      <c r="N108" s="59"/>
      <c r="O108" s="60"/>
      <c r="P108" s="10"/>
      <c r="Q108" s="61"/>
      <c r="R108" s="10"/>
      <c r="S108" s="62"/>
    </row>
    <row r="109" spans="2:19" x14ac:dyDescent="0.25">
      <c r="F109" s="39">
        <f t="shared" si="18"/>
        <v>84</v>
      </c>
      <c r="G109" s="39">
        <f t="shared" si="18"/>
        <v>20.74</v>
      </c>
      <c r="L109" s="63"/>
      <c r="M109" s="60"/>
      <c r="N109" s="59"/>
      <c r="O109" s="60"/>
      <c r="P109" s="10"/>
      <c r="Q109" s="61"/>
      <c r="R109" s="10"/>
      <c r="S109" s="62"/>
    </row>
    <row r="110" spans="2:19" x14ac:dyDescent="0.25">
      <c r="F110" s="39">
        <f t="shared" si="18"/>
        <v>86</v>
      </c>
      <c r="G110" s="39">
        <f t="shared" si="18"/>
        <v>23.74</v>
      </c>
      <c r="L110" s="63"/>
      <c r="M110" s="60"/>
      <c r="N110" s="59"/>
      <c r="O110" s="60"/>
      <c r="P110" s="10"/>
      <c r="Q110" s="61"/>
      <c r="R110" s="10"/>
      <c r="S110" s="62"/>
    </row>
    <row r="111" spans="2:19" x14ac:dyDescent="0.25">
      <c r="F111" s="39">
        <f t="shared" si="18"/>
        <v>88</v>
      </c>
      <c r="G111" s="39">
        <f t="shared" si="18"/>
        <v>26.74</v>
      </c>
      <c r="L111" s="63"/>
      <c r="M111" s="60"/>
      <c r="N111" s="59"/>
      <c r="O111" s="60"/>
      <c r="P111" s="10"/>
      <c r="Q111" s="61"/>
      <c r="R111" s="10"/>
      <c r="S111" s="62"/>
    </row>
    <row r="112" spans="2:19" x14ac:dyDescent="0.25">
      <c r="B112" s="10"/>
      <c r="C112" s="10"/>
      <c r="D112" s="10"/>
      <c r="E112" s="10"/>
      <c r="F112" s="39">
        <f t="shared" si="18"/>
        <v>90</v>
      </c>
      <c r="G112" s="39">
        <f t="shared" si="18"/>
        <v>29.74</v>
      </c>
      <c r="H112" s="27">
        <f>H107</f>
        <v>8</v>
      </c>
      <c r="L112" s="63"/>
      <c r="M112" s="60"/>
      <c r="N112" s="59"/>
      <c r="O112" s="60"/>
      <c r="P112" s="10"/>
      <c r="Q112" s="61"/>
      <c r="R112" s="10"/>
      <c r="S112" s="62"/>
    </row>
    <row r="113" spans="2:19" x14ac:dyDescent="0.25">
      <c r="B113" s="1">
        <f>B108</f>
        <v>19</v>
      </c>
      <c r="C113" s="25">
        <f>C108</f>
        <v>104.78</v>
      </c>
      <c r="D113" s="1">
        <f>D83</f>
        <v>11</v>
      </c>
      <c r="E113" s="1">
        <f>E83</f>
        <v>-6.1</v>
      </c>
      <c r="F113" s="28">
        <f t="shared" ref="F113:G113" si="19">F83</f>
        <v>82</v>
      </c>
      <c r="G113" s="28">
        <f t="shared" si="19"/>
        <v>17.739999999999998</v>
      </c>
      <c r="H113" s="76"/>
      <c r="L113" s="63"/>
      <c r="M113" s="60"/>
      <c r="N113" s="59"/>
      <c r="O113" s="60"/>
      <c r="P113" s="10"/>
      <c r="Q113" s="61"/>
      <c r="R113" s="10"/>
      <c r="S113" s="62"/>
    </row>
    <row r="114" spans="2:19" x14ac:dyDescent="0.25">
      <c r="B114" s="10"/>
      <c r="C114" s="10"/>
      <c r="D114" s="10"/>
      <c r="E114" s="10"/>
      <c r="F114" s="1">
        <f t="shared" ref="F114:G114" si="20">F84</f>
        <v>84</v>
      </c>
      <c r="G114" s="1">
        <f t="shared" si="20"/>
        <v>20.74</v>
      </c>
      <c r="H114" s="76"/>
      <c r="L114" s="63"/>
      <c r="M114" s="60"/>
      <c r="N114" s="59"/>
      <c r="O114" s="60"/>
      <c r="P114" s="10"/>
      <c r="Q114" s="61"/>
      <c r="R114" s="10"/>
      <c r="S114" s="62"/>
    </row>
    <row r="115" spans="2:19" x14ac:dyDescent="0.25">
      <c r="B115" s="10"/>
      <c r="C115" s="10"/>
      <c r="D115" s="10"/>
      <c r="E115" s="10"/>
      <c r="F115" s="1">
        <f t="shared" ref="F115:G115" si="21">F85</f>
        <v>86</v>
      </c>
      <c r="G115" s="1">
        <f t="shared" si="21"/>
        <v>23.74</v>
      </c>
      <c r="H115" s="76"/>
      <c r="L115" s="63"/>
      <c r="M115" s="60"/>
      <c r="N115" s="59"/>
      <c r="O115" s="60"/>
      <c r="P115" s="10"/>
      <c r="Q115" s="61"/>
      <c r="R115" s="10"/>
      <c r="S115" s="62"/>
    </row>
    <row r="116" spans="2:19" x14ac:dyDescent="0.25">
      <c r="B116" s="10"/>
      <c r="C116" s="10"/>
      <c r="D116" s="10"/>
      <c r="E116" s="10"/>
      <c r="F116" s="1">
        <f t="shared" ref="F116:G116" si="22">F86</f>
        <v>88</v>
      </c>
      <c r="G116" s="1">
        <f t="shared" si="22"/>
        <v>26.74</v>
      </c>
      <c r="H116" s="76"/>
      <c r="L116" s="63"/>
      <c r="M116" s="60"/>
      <c r="N116" s="59"/>
      <c r="O116" s="60"/>
      <c r="P116" s="10"/>
      <c r="Q116" s="61"/>
      <c r="R116" s="10"/>
      <c r="S116" s="62"/>
    </row>
    <row r="117" spans="2:19" ht="15.75" thickBot="1" x14ac:dyDescent="0.3">
      <c r="B117" s="79"/>
      <c r="C117" s="79"/>
      <c r="D117" s="79"/>
      <c r="E117" s="79"/>
      <c r="F117" s="80">
        <f t="shared" ref="F117:G117" si="23">F87</f>
        <v>90</v>
      </c>
      <c r="G117" s="80">
        <f t="shared" si="23"/>
        <v>29.74</v>
      </c>
      <c r="H117" s="27">
        <f>H112</f>
        <v>8</v>
      </c>
      <c r="L117" s="63"/>
      <c r="M117" s="60"/>
      <c r="N117" s="59"/>
      <c r="O117" s="60"/>
      <c r="P117" s="10"/>
      <c r="Q117" s="61"/>
      <c r="R117" s="10"/>
      <c r="S117" s="62"/>
    </row>
    <row r="118" spans="2:19" x14ac:dyDescent="0.25">
      <c r="B118" s="28">
        <f>I66*2-1</f>
        <v>17</v>
      </c>
      <c r="C118" s="29">
        <f>IF('Variables auxiliares'!F7='slots sin grua'!I65,('Variables auxiliares'!M12+(Datos!J5/2)),('slots sin grua'!C58+('Variables auxiliares'!F24-'slots sin grua'!I65)*Datos!J5))</f>
        <v>116.89999999999999</v>
      </c>
      <c r="D118" s="28">
        <f>D58</f>
        <v>1</v>
      </c>
      <c r="E118" s="67">
        <f>E58</f>
        <v>1.22</v>
      </c>
      <c r="F118" s="28">
        <f>I76*2</f>
        <v>2</v>
      </c>
      <c r="G118" s="134">
        <f>'Variables auxiliares'!M8+(Datos!J8/2)</f>
        <v>3.06</v>
      </c>
      <c r="L118" s="63"/>
      <c r="M118" s="60"/>
      <c r="N118" s="59"/>
      <c r="O118" s="60"/>
      <c r="P118" s="10"/>
      <c r="Q118" s="61"/>
      <c r="R118" s="10"/>
      <c r="S118" s="62"/>
    </row>
    <row r="119" spans="2:19" x14ac:dyDescent="0.25">
      <c r="E119" s="6"/>
      <c r="F119" s="1">
        <f>I77*2</f>
        <v>4</v>
      </c>
      <c r="G119" s="32">
        <f>G118+Datos!J8</f>
        <v>6.0600000000000005</v>
      </c>
      <c r="H119" s="41"/>
      <c r="L119" s="63"/>
      <c r="M119" s="60"/>
      <c r="N119" s="59"/>
      <c r="O119" s="60"/>
      <c r="P119" s="10"/>
      <c r="Q119" s="61"/>
      <c r="R119" s="10"/>
      <c r="S119" s="62"/>
    </row>
    <row r="120" spans="2:19" x14ac:dyDescent="0.25">
      <c r="E120" s="6"/>
      <c r="F120" s="68">
        <f t="shared" ref="F120:G124" si="24">F93</f>
        <v>82</v>
      </c>
      <c r="G120" s="77">
        <f t="shared" si="24"/>
        <v>17.739999999999998</v>
      </c>
      <c r="L120" s="63"/>
      <c r="M120" s="60"/>
      <c r="N120" s="59"/>
      <c r="O120" s="60"/>
      <c r="P120" s="10"/>
      <c r="Q120" s="61"/>
      <c r="R120" s="10"/>
      <c r="S120" s="62"/>
    </row>
    <row r="121" spans="2:19" x14ac:dyDescent="0.25">
      <c r="E121" s="6"/>
      <c r="F121" s="74">
        <f t="shared" si="24"/>
        <v>84</v>
      </c>
      <c r="G121" s="69">
        <f t="shared" si="24"/>
        <v>20.74</v>
      </c>
      <c r="H121" s="41"/>
      <c r="L121" s="63"/>
      <c r="M121" s="60"/>
      <c r="N121" s="59"/>
      <c r="O121" s="60"/>
      <c r="P121" s="10"/>
      <c r="Q121" s="61"/>
      <c r="R121" s="10"/>
      <c r="S121" s="62"/>
    </row>
    <row r="122" spans="2:19" x14ac:dyDescent="0.25">
      <c r="E122" s="50" t="s">
        <v>141</v>
      </c>
      <c r="F122" s="74">
        <f t="shared" si="24"/>
        <v>86</v>
      </c>
      <c r="G122" s="72">
        <f t="shared" si="24"/>
        <v>23.74</v>
      </c>
      <c r="H122" s="41"/>
      <c r="L122" s="63"/>
      <c r="M122" s="60"/>
      <c r="N122" s="59"/>
      <c r="O122" s="60"/>
      <c r="P122" s="10"/>
      <c r="Q122" s="61"/>
      <c r="R122" s="10"/>
      <c r="S122" s="62"/>
    </row>
    <row r="123" spans="2:19" x14ac:dyDescent="0.25">
      <c r="F123" s="74">
        <f t="shared" si="24"/>
        <v>88</v>
      </c>
      <c r="G123" s="72">
        <f t="shared" si="24"/>
        <v>26.74</v>
      </c>
      <c r="H123" s="41"/>
      <c r="L123" s="63"/>
      <c r="M123" s="60"/>
      <c r="N123" s="59"/>
      <c r="O123" s="60"/>
      <c r="P123" s="10"/>
      <c r="Q123" s="61"/>
      <c r="R123" s="10"/>
      <c r="S123" s="62"/>
    </row>
    <row r="124" spans="2:19" x14ac:dyDescent="0.25">
      <c r="F124" s="74">
        <f t="shared" si="24"/>
        <v>90</v>
      </c>
      <c r="G124" s="77">
        <f t="shared" si="24"/>
        <v>29.74</v>
      </c>
      <c r="H124" s="27">
        <f>INT(((3*Datos!C$6-'slots sin grua'!C118)*TAN('Variables auxiliares'!C$40)-Datos!C$8+'Variables auxiliares'!F$54)/Datos!J$8)</f>
        <v>8</v>
      </c>
      <c r="L124" s="63"/>
      <c r="M124" s="60"/>
      <c r="N124" s="59"/>
      <c r="O124" s="60"/>
      <c r="P124" s="10"/>
      <c r="Q124" s="61"/>
      <c r="R124" s="10"/>
      <c r="S124" s="62"/>
    </row>
    <row r="125" spans="2:19" x14ac:dyDescent="0.25">
      <c r="B125" s="27">
        <f>B118</f>
        <v>17</v>
      </c>
      <c r="C125" s="25">
        <f>C118</f>
        <v>116.89999999999999</v>
      </c>
      <c r="D125" s="1">
        <f>D63</f>
        <v>3</v>
      </c>
      <c r="E125" s="74">
        <f>E63</f>
        <v>3.66</v>
      </c>
      <c r="F125" s="74">
        <f t="shared" ref="F125:G129" si="25">F120</f>
        <v>82</v>
      </c>
      <c r="G125" s="72">
        <f t="shared" si="25"/>
        <v>17.739999999999998</v>
      </c>
      <c r="H125" s="41"/>
      <c r="L125" s="63"/>
      <c r="M125" s="60"/>
      <c r="N125" s="59"/>
      <c r="O125" s="60"/>
      <c r="P125" s="10"/>
      <c r="Q125" s="61"/>
      <c r="R125" s="10"/>
      <c r="S125" s="62"/>
    </row>
    <row r="126" spans="2:19" x14ac:dyDescent="0.25">
      <c r="E126" s="6"/>
      <c r="F126" s="74">
        <f t="shared" si="25"/>
        <v>84</v>
      </c>
      <c r="G126" s="72">
        <f t="shared" si="25"/>
        <v>20.74</v>
      </c>
      <c r="H126" s="41"/>
      <c r="L126" s="63"/>
      <c r="M126" s="60"/>
      <c r="N126" s="59"/>
      <c r="O126" s="60"/>
      <c r="P126" s="10"/>
      <c r="Q126" s="61"/>
      <c r="R126" s="10"/>
      <c r="S126" s="62"/>
    </row>
    <row r="127" spans="2:19" x14ac:dyDescent="0.25">
      <c r="E127" s="6"/>
      <c r="F127" s="74">
        <f t="shared" si="25"/>
        <v>86</v>
      </c>
      <c r="G127" s="72">
        <f t="shared" si="25"/>
        <v>23.74</v>
      </c>
      <c r="H127" s="41"/>
      <c r="L127" s="63"/>
      <c r="M127" s="60"/>
      <c r="N127" s="59"/>
      <c r="O127" s="60"/>
      <c r="P127" s="10"/>
      <c r="Q127" s="61"/>
      <c r="R127" s="10"/>
      <c r="S127" s="62"/>
    </row>
    <row r="128" spans="2:19" x14ac:dyDescent="0.25">
      <c r="E128" s="6"/>
      <c r="F128" s="74">
        <f t="shared" si="25"/>
        <v>88</v>
      </c>
      <c r="G128" s="73">
        <f t="shared" si="25"/>
        <v>26.74</v>
      </c>
      <c r="H128" s="41"/>
      <c r="L128" s="63"/>
      <c r="M128" s="60"/>
      <c r="N128" s="59"/>
      <c r="O128" s="60"/>
      <c r="P128" s="10"/>
      <c r="Q128" s="61"/>
      <c r="R128" s="10"/>
      <c r="S128" s="62"/>
    </row>
    <row r="129" spans="2:19" x14ac:dyDescent="0.25">
      <c r="E129" s="6"/>
      <c r="F129" s="75">
        <f t="shared" si="25"/>
        <v>90</v>
      </c>
      <c r="G129" s="81">
        <f t="shared" si="25"/>
        <v>29.74</v>
      </c>
      <c r="H129" s="27">
        <f>H124</f>
        <v>8</v>
      </c>
      <c r="L129" s="63"/>
      <c r="M129" s="60"/>
      <c r="N129" s="59"/>
      <c r="O129" s="60"/>
      <c r="P129" s="10"/>
      <c r="Q129" s="61"/>
      <c r="R129" s="10"/>
      <c r="S129" s="62"/>
    </row>
    <row r="130" spans="2:19" x14ac:dyDescent="0.25">
      <c r="B130" s="27">
        <f>B125</f>
        <v>17</v>
      </c>
      <c r="C130" s="25">
        <f>C125</f>
        <v>116.89999999999999</v>
      </c>
      <c r="D130" s="1">
        <f>D98</f>
        <v>10</v>
      </c>
      <c r="E130" s="1">
        <f>E98</f>
        <v>6.1</v>
      </c>
      <c r="F130" s="1">
        <f t="shared" ref="F130:G130" si="26">F98</f>
        <v>82</v>
      </c>
      <c r="G130" s="1">
        <f t="shared" si="26"/>
        <v>17.739999999999998</v>
      </c>
      <c r="H130" s="76"/>
      <c r="L130" s="63"/>
      <c r="M130" s="60"/>
      <c r="N130" s="59"/>
      <c r="O130" s="60"/>
      <c r="P130" s="10"/>
      <c r="Q130" s="61"/>
      <c r="R130" s="10"/>
      <c r="S130" s="62"/>
    </row>
    <row r="131" spans="2:19" x14ac:dyDescent="0.25">
      <c r="E131" s="6"/>
      <c r="F131" s="1">
        <f t="shared" ref="F131:G131" si="27">F99</f>
        <v>84</v>
      </c>
      <c r="G131" s="1">
        <f t="shared" si="27"/>
        <v>20.74</v>
      </c>
      <c r="H131" s="76"/>
      <c r="L131" s="63"/>
      <c r="M131" s="60"/>
      <c r="N131" s="59"/>
      <c r="O131" s="60"/>
      <c r="P131" s="10"/>
      <c r="Q131" s="61"/>
      <c r="R131" s="10"/>
      <c r="S131" s="62"/>
    </row>
    <row r="132" spans="2:19" x14ac:dyDescent="0.25">
      <c r="E132" s="6"/>
      <c r="F132" s="1">
        <f t="shared" ref="F132:G132" si="28">F100</f>
        <v>86</v>
      </c>
      <c r="G132" s="1">
        <f t="shared" si="28"/>
        <v>23.74</v>
      </c>
      <c r="H132" s="76"/>
      <c r="L132" s="63"/>
      <c r="M132" s="60"/>
      <c r="N132" s="59"/>
      <c r="O132" s="60"/>
      <c r="P132" s="10"/>
      <c r="Q132" s="61"/>
      <c r="R132" s="10"/>
      <c r="S132" s="62"/>
    </row>
    <row r="133" spans="2:19" x14ac:dyDescent="0.25">
      <c r="E133" s="6"/>
      <c r="F133" s="1">
        <f t="shared" ref="F133:G133" si="29">F101</f>
        <v>88</v>
      </c>
      <c r="G133" s="1">
        <f t="shared" si="29"/>
        <v>26.74</v>
      </c>
      <c r="H133" s="76"/>
      <c r="L133" s="63"/>
      <c r="M133" s="60"/>
      <c r="N133" s="59"/>
      <c r="O133" s="60"/>
      <c r="P133" s="10"/>
      <c r="Q133" s="61"/>
      <c r="R133" s="10"/>
      <c r="S133" s="62"/>
    </row>
    <row r="134" spans="2:19" x14ac:dyDescent="0.25">
      <c r="E134" s="6"/>
      <c r="F134" s="1">
        <f t="shared" ref="F134:G134" si="30">F102</f>
        <v>90</v>
      </c>
      <c r="G134" s="1">
        <f t="shared" si="30"/>
        <v>29.74</v>
      </c>
      <c r="H134" s="27">
        <f>H129</f>
        <v>8</v>
      </c>
      <c r="L134" s="63"/>
      <c r="M134" s="60"/>
      <c r="N134" s="59"/>
      <c r="O134" s="60"/>
      <c r="P134" s="10"/>
      <c r="Q134" s="61"/>
      <c r="R134" s="10"/>
      <c r="S134" s="62"/>
    </row>
    <row r="135" spans="2:19" x14ac:dyDescent="0.25">
      <c r="B135" s="1">
        <f>B118</f>
        <v>17</v>
      </c>
      <c r="C135" s="25">
        <f>C118</f>
        <v>116.89999999999999</v>
      </c>
      <c r="D135" s="1">
        <f>D73</f>
        <v>2</v>
      </c>
      <c r="E135" s="1">
        <f>-E118</f>
        <v>-1.22</v>
      </c>
      <c r="F135" s="1">
        <f>I76*2</f>
        <v>2</v>
      </c>
      <c r="G135" s="77">
        <f t="shared" ref="G135:G146" si="31">G118</f>
        <v>3.06</v>
      </c>
      <c r="H135" s="76"/>
      <c r="L135" s="63"/>
      <c r="M135" s="60"/>
      <c r="N135" s="59"/>
      <c r="O135" s="60"/>
      <c r="P135" s="10"/>
      <c r="Q135" s="61"/>
      <c r="R135" s="10"/>
      <c r="S135" s="62"/>
    </row>
    <row r="136" spans="2:19" x14ac:dyDescent="0.25">
      <c r="F136" s="74">
        <f t="shared" ref="F136:F146" si="32">F119</f>
        <v>4</v>
      </c>
      <c r="G136" s="77">
        <f t="shared" si="31"/>
        <v>6.0600000000000005</v>
      </c>
      <c r="H136" s="76"/>
      <c r="L136" s="63"/>
      <c r="M136" s="58"/>
      <c r="N136" s="59"/>
      <c r="O136" s="60"/>
      <c r="P136" s="10"/>
      <c r="Q136" s="61"/>
      <c r="R136" s="10"/>
      <c r="S136" s="62"/>
    </row>
    <row r="137" spans="2:19" x14ac:dyDescent="0.25">
      <c r="E137" s="6"/>
      <c r="F137" s="74">
        <f t="shared" si="32"/>
        <v>82</v>
      </c>
      <c r="G137" s="74">
        <f t="shared" si="31"/>
        <v>17.739999999999998</v>
      </c>
      <c r="H137" s="76"/>
      <c r="L137" s="63"/>
      <c r="M137" s="58"/>
      <c r="N137" s="59"/>
      <c r="O137" s="60"/>
      <c r="P137" s="10"/>
      <c r="Q137" s="61"/>
      <c r="R137" s="10"/>
      <c r="S137" s="62"/>
    </row>
    <row r="138" spans="2:19" x14ac:dyDescent="0.25">
      <c r="E138" s="6"/>
      <c r="F138" s="74">
        <f t="shared" si="32"/>
        <v>84</v>
      </c>
      <c r="G138" s="74">
        <f t="shared" si="31"/>
        <v>20.74</v>
      </c>
      <c r="H138" s="76"/>
      <c r="L138" s="63"/>
      <c r="M138" s="58"/>
      <c r="N138" s="59"/>
      <c r="O138" s="60"/>
      <c r="P138" s="10"/>
      <c r="Q138" s="61"/>
      <c r="R138" s="10"/>
      <c r="S138" s="62"/>
    </row>
    <row r="139" spans="2:19" x14ac:dyDescent="0.25">
      <c r="E139" s="50" t="s">
        <v>142</v>
      </c>
      <c r="F139" s="74">
        <f t="shared" si="32"/>
        <v>86</v>
      </c>
      <c r="G139" s="74">
        <f t="shared" si="31"/>
        <v>23.74</v>
      </c>
      <c r="H139" s="76"/>
      <c r="L139" s="63"/>
      <c r="M139" s="58"/>
      <c r="N139" s="59"/>
      <c r="O139" s="60"/>
      <c r="P139" s="10"/>
      <c r="Q139" s="61"/>
      <c r="R139" s="10"/>
      <c r="S139" s="62"/>
    </row>
    <row r="140" spans="2:19" x14ac:dyDescent="0.25">
      <c r="E140" s="6"/>
      <c r="F140" s="74">
        <f t="shared" si="32"/>
        <v>88</v>
      </c>
      <c r="G140" s="74">
        <f t="shared" si="31"/>
        <v>26.74</v>
      </c>
      <c r="L140" s="63"/>
      <c r="M140" s="58"/>
      <c r="N140" s="59"/>
      <c r="O140" s="60"/>
      <c r="P140" s="10"/>
      <c r="Q140" s="61"/>
      <c r="R140" s="10"/>
      <c r="S140" s="62"/>
    </row>
    <row r="141" spans="2:19" x14ac:dyDescent="0.25">
      <c r="F141" s="75">
        <f t="shared" si="32"/>
        <v>90</v>
      </c>
      <c r="G141" s="75">
        <f t="shared" si="31"/>
        <v>29.74</v>
      </c>
      <c r="H141" s="27">
        <f>H129</f>
        <v>8</v>
      </c>
      <c r="L141" s="63"/>
      <c r="M141" s="58"/>
      <c r="N141" s="59"/>
      <c r="O141" s="60"/>
      <c r="P141" s="10"/>
      <c r="Q141" s="61"/>
      <c r="R141" s="10"/>
      <c r="S141" s="62"/>
    </row>
    <row r="142" spans="2:19" x14ac:dyDescent="0.25">
      <c r="B142" s="27">
        <f>B125</f>
        <v>17</v>
      </c>
      <c r="C142" s="25">
        <f>C125</f>
        <v>116.89999999999999</v>
      </c>
      <c r="D142" s="27">
        <f>D78</f>
        <v>4</v>
      </c>
      <c r="E142" s="25">
        <f>-E125</f>
        <v>-3.66</v>
      </c>
      <c r="F142" s="27">
        <f t="shared" si="32"/>
        <v>82</v>
      </c>
      <c r="G142" s="25">
        <f t="shared" si="31"/>
        <v>17.739999999999998</v>
      </c>
      <c r="H142" s="70"/>
      <c r="L142" s="63"/>
      <c r="M142" s="58"/>
      <c r="N142" s="59"/>
      <c r="O142" s="60"/>
      <c r="P142" s="10"/>
      <c r="Q142" s="61"/>
      <c r="R142" s="10"/>
      <c r="S142" s="62"/>
    </row>
    <row r="143" spans="2:19" x14ac:dyDescent="0.25">
      <c r="F143" s="27">
        <f t="shared" si="32"/>
        <v>84</v>
      </c>
      <c r="G143" s="25">
        <f t="shared" si="31"/>
        <v>20.74</v>
      </c>
      <c r="H143" s="70"/>
      <c r="L143" s="63"/>
      <c r="M143" s="58"/>
      <c r="N143" s="59"/>
      <c r="O143" s="60"/>
      <c r="P143" s="10"/>
      <c r="Q143" s="61"/>
      <c r="R143" s="10"/>
      <c r="S143" s="62"/>
    </row>
    <row r="144" spans="2:19" x14ac:dyDescent="0.25">
      <c r="F144" s="27">
        <f t="shared" si="32"/>
        <v>86</v>
      </c>
      <c r="G144" s="25">
        <f t="shared" si="31"/>
        <v>23.74</v>
      </c>
      <c r="H144" s="70"/>
      <c r="L144" s="63"/>
      <c r="M144" s="58"/>
      <c r="N144" s="59"/>
      <c r="O144" s="60"/>
      <c r="P144" s="10"/>
      <c r="Q144" s="61"/>
      <c r="R144" s="10"/>
      <c r="S144" s="62"/>
    </row>
    <row r="145" spans="2:19" x14ac:dyDescent="0.25">
      <c r="F145" s="27">
        <f t="shared" si="32"/>
        <v>88</v>
      </c>
      <c r="G145" s="25">
        <f t="shared" si="31"/>
        <v>26.74</v>
      </c>
      <c r="H145" s="70"/>
      <c r="L145" s="63"/>
      <c r="M145" s="58"/>
      <c r="N145" s="59"/>
      <c r="O145" s="60"/>
      <c r="P145" s="10"/>
      <c r="Q145" s="61"/>
      <c r="R145" s="10"/>
      <c r="S145" s="62"/>
    </row>
    <row r="146" spans="2:19" x14ac:dyDescent="0.25">
      <c r="B146" s="10"/>
      <c r="C146" s="10"/>
      <c r="D146" s="10"/>
      <c r="E146" s="10"/>
      <c r="F146" s="118">
        <f t="shared" si="32"/>
        <v>90</v>
      </c>
      <c r="G146" s="43">
        <f t="shared" si="31"/>
        <v>29.74</v>
      </c>
      <c r="H146" s="27">
        <f>H141</f>
        <v>8</v>
      </c>
      <c r="L146" s="63"/>
      <c r="M146" s="58"/>
      <c r="N146" s="59"/>
      <c r="O146" s="60"/>
      <c r="P146" s="10"/>
      <c r="Q146" s="61"/>
      <c r="R146" s="10"/>
      <c r="S146" s="62"/>
    </row>
    <row r="147" spans="2:19" x14ac:dyDescent="0.25">
      <c r="B147" s="27">
        <f>B142</f>
        <v>17</v>
      </c>
      <c r="C147" s="25">
        <f>C142</f>
        <v>116.89999999999999</v>
      </c>
      <c r="D147" s="1">
        <f>D113</f>
        <v>11</v>
      </c>
      <c r="E147" s="1">
        <f t="shared" ref="E147:G147" si="33">E113</f>
        <v>-6.1</v>
      </c>
      <c r="F147" s="1">
        <f t="shared" si="33"/>
        <v>82</v>
      </c>
      <c r="G147" s="1">
        <f t="shared" si="33"/>
        <v>17.739999999999998</v>
      </c>
      <c r="H147" s="70"/>
      <c r="L147" s="63"/>
      <c r="M147" s="58"/>
      <c r="N147" s="59"/>
      <c r="O147" s="60"/>
      <c r="P147" s="10"/>
      <c r="Q147" s="61"/>
      <c r="R147" s="10"/>
      <c r="S147" s="62"/>
    </row>
    <row r="148" spans="2:19" x14ac:dyDescent="0.25">
      <c r="B148" s="10"/>
      <c r="C148" s="10"/>
      <c r="D148" s="10"/>
      <c r="E148" s="10"/>
      <c r="F148" s="1">
        <f t="shared" ref="F148:G148" si="34">F114</f>
        <v>84</v>
      </c>
      <c r="G148" s="1">
        <f t="shared" si="34"/>
        <v>20.74</v>
      </c>
      <c r="H148" s="70"/>
      <c r="L148" s="63"/>
      <c r="M148" s="58"/>
      <c r="N148" s="59"/>
      <c r="O148" s="60"/>
      <c r="P148" s="10"/>
      <c r="Q148" s="61"/>
      <c r="R148" s="10"/>
      <c r="S148" s="62"/>
    </row>
    <row r="149" spans="2:19" x14ac:dyDescent="0.25">
      <c r="B149" s="10"/>
      <c r="C149" s="10"/>
      <c r="D149" s="10"/>
      <c r="E149" s="10"/>
      <c r="F149" s="1">
        <f t="shared" ref="F149:G149" si="35">F115</f>
        <v>86</v>
      </c>
      <c r="G149" s="1">
        <f t="shared" si="35"/>
        <v>23.74</v>
      </c>
      <c r="H149" s="70"/>
      <c r="L149" s="63"/>
      <c r="M149" s="58"/>
      <c r="N149" s="59"/>
      <c r="O149" s="60"/>
      <c r="P149" s="10"/>
      <c r="Q149" s="61"/>
      <c r="R149" s="10"/>
      <c r="S149" s="62"/>
    </row>
    <row r="150" spans="2:19" x14ac:dyDescent="0.25">
      <c r="B150" s="10"/>
      <c r="C150" s="10"/>
      <c r="D150" s="10"/>
      <c r="E150" s="10"/>
      <c r="F150" s="1">
        <f t="shared" ref="F150:G150" si="36">F116</f>
        <v>88</v>
      </c>
      <c r="G150" s="1">
        <f t="shared" si="36"/>
        <v>26.74</v>
      </c>
      <c r="H150" s="70"/>
      <c r="L150" s="63"/>
      <c r="M150" s="58"/>
      <c r="N150" s="59"/>
      <c r="O150" s="60"/>
      <c r="P150" s="10"/>
      <c r="Q150" s="61"/>
      <c r="R150" s="10"/>
      <c r="S150" s="62"/>
    </row>
    <row r="151" spans="2:19" ht="15.75" thickBot="1" x14ac:dyDescent="0.3">
      <c r="B151" s="79"/>
      <c r="C151" s="79"/>
      <c r="D151" s="79"/>
      <c r="E151" s="79"/>
      <c r="F151" s="80">
        <f t="shared" ref="F151:G151" si="37">F117</f>
        <v>90</v>
      </c>
      <c r="G151" s="80">
        <f t="shared" si="37"/>
        <v>29.74</v>
      </c>
      <c r="H151" s="27">
        <f>H146</f>
        <v>8</v>
      </c>
      <c r="L151" s="63"/>
      <c r="M151" s="58"/>
      <c r="N151" s="59"/>
      <c r="O151" s="60"/>
      <c r="P151" s="10"/>
      <c r="Q151" s="61"/>
      <c r="R151" s="10"/>
      <c r="S151" s="62"/>
    </row>
    <row r="152" spans="2:19" x14ac:dyDescent="0.25">
      <c r="B152" s="57">
        <f>I65*2-1</f>
        <v>15</v>
      </c>
      <c r="C152" s="29">
        <f>C$118+('Variables auxiliares'!F$9-I65)*Datos!J$5</f>
        <v>201.73999999999998</v>
      </c>
      <c r="D152" s="28">
        <f>D58</f>
        <v>1</v>
      </c>
      <c r="E152" s="67">
        <f>E88</f>
        <v>1.22</v>
      </c>
      <c r="F152" s="28">
        <f>2*I76</f>
        <v>2</v>
      </c>
      <c r="G152" s="78">
        <f>G118</f>
        <v>3.06</v>
      </c>
      <c r="H152" s="41"/>
      <c r="L152" s="63"/>
      <c r="M152" s="58"/>
      <c r="N152" s="59"/>
      <c r="O152" s="60"/>
      <c r="P152" s="10"/>
      <c r="Q152" s="61"/>
      <c r="R152" s="10"/>
      <c r="S152" s="62"/>
    </row>
    <row r="153" spans="2:19" x14ac:dyDescent="0.25">
      <c r="F153" s="74">
        <f>F119</f>
        <v>4</v>
      </c>
      <c r="G153" s="77">
        <f>G119</f>
        <v>6.0600000000000005</v>
      </c>
      <c r="H153" s="41"/>
      <c r="L153" s="63"/>
      <c r="M153" s="58"/>
      <c r="N153" s="59"/>
      <c r="O153" s="60"/>
      <c r="P153" s="10"/>
      <c r="Q153" s="61"/>
      <c r="R153" s="10"/>
      <c r="S153" s="62"/>
    </row>
    <row r="154" spans="2:19" x14ac:dyDescent="0.25">
      <c r="F154" s="74">
        <f t="shared" ref="F154:G158" si="38">F125</f>
        <v>82</v>
      </c>
      <c r="G154" s="72">
        <f t="shared" si="38"/>
        <v>17.739999999999998</v>
      </c>
      <c r="H154" s="41"/>
      <c r="L154" s="63"/>
      <c r="M154" s="58"/>
      <c r="N154" s="59"/>
      <c r="O154" s="60"/>
      <c r="P154" s="10"/>
      <c r="Q154" s="61"/>
      <c r="R154" s="10"/>
      <c r="S154" s="62"/>
    </row>
    <row r="155" spans="2:19" x14ac:dyDescent="0.25">
      <c r="E155" t="s">
        <v>141</v>
      </c>
      <c r="F155" s="74">
        <f t="shared" si="38"/>
        <v>84</v>
      </c>
      <c r="G155" s="72">
        <f t="shared" si="38"/>
        <v>20.74</v>
      </c>
      <c r="H155" s="41"/>
      <c r="L155" s="63"/>
      <c r="M155" s="58"/>
      <c r="N155" s="59"/>
      <c r="O155" s="60"/>
      <c r="P155" s="10"/>
      <c r="Q155" s="61"/>
      <c r="R155" s="10"/>
      <c r="S155" s="62"/>
    </row>
    <row r="156" spans="2:19" x14ac:dyDescent="0.25">
      <c r="F156" s="74">
        <f t="shared" si="38"/>
        <v>86</v>
      </c>
      <c r="G156" s="72">
        <f t="shared" si="38"/>
        <v>23.74</v>
      </c>
      <c r="H156" s="41"/>
      <c r="L156" s="63"/>
      <c r="M156" s="58"/>
      <c r="N156" s="59"/>
      <c r="O156" s="60"/>
      <c r="P156" s="10"/>
      <c r="Q156" s="61"/>
      <c r="R156" s="10"/>
      <c r="S156" s="62"/>
    </row>
    <row r="157" spans="2:19" x14ac:dyDescent="0.25">
      <c r="F157" s="74">
        <f t="shared" si="38"/>
        <v>88</v>
      </c>
      <c r="G157" s="73">
        <f t="shared" si="38"/>
        <v>26.74</v>
      </c>
      <c r="H157" s="41"/>
      <c r="L157" s="63"/>
      <c r="M157" s="58"/>
      <c r="N157" s="59"/>
      <c r="O157" s="60"/>
      <c r="P157" s="10"/>
      <c r="Q157" s="61"/>
      <c r="R157" s="10"/>
      <c r="S157" s="62"/>
    </row>
    <row r="158" spans="2:19" x14ac:dyDescent="0.25">
      <c r="F158" s="74">
        <f t="shared" si="38"/>
        <v>90</v>
      </c>
      <c r="G158" s="77">
        <f t="shared" si="38"/>
        <v>29.74</v>
      </c>
      <c r="H158" s="27">
        <f>INT(((3*Datos!C$6-'slots sin grua'!C152)*TAN('Variables auxiliares'!C$40)-Datos!C$8+'Variables auxiliares'!F$54)/Datos!J$8)</f>
        <v>6</v>
      </c>
      <c r="L158" s="63"/>
      <c r="M158" s="58"/>
      <c r="N158" s="59"/>
      <c r="O158" s="60"/>
      <c r="P158" s="10"/>
      <c r="Q158" s="61"/>
      <c r="R158" s="10"/>
      <c r="S158" s="62"/>
    </row>
    <row r="159" spans="2:19" x14ac:dyDescent="0.25">
      <c r="B159" s="27">
        <f>B152</f>
        <v>15</v>
      </c>
      <c r="C159" s="25">
        <f>C152</f>
        <v>201.73999999999998</v>
      </c>
      <c r="D159" s="1">
        <f>D63</f>
        <v>3</v>
      </c>
      <c r="E159" s="74">
        <f>E93</f>
        <v>3.66</v>
      </c>
      <c r="F159" s="74">
        <f t="shared" ref="F159:G163" si="39">F154</f>
        <v>82</v>
      </c>
      <c r="G159" s="69">
        <f t="shared" si="39"/>
        <v>17.739999999999998</v>
      </c>
      <c r="H159" s="41"/>
      <c r="L159" s="63"/>
      <c r="M159" s="58"/>
      <c r="N159" s="59"/>
      <c r="O159" s="60"/>
      <c r="P159" s="10"/>
      <c r="Q159" s="61"/>
      <c r="R159" s="10"/>
      <c r="S159" s="62"/>
    </row>
    <row r="160" spans="2:19" x14ac:dyDescent="0.25">
      <c r="E160" s="50"/>
      <c r="F160" s="74">
        <f t="shared" si="39"/>
        <v>84</v>
      </c>
      <c r="G160" s="72">
        <f t="shared" si="39"/>
        <v>20.74</v>
      </c>
      <c r="H160" s="41"/>
      <c r="L160" s="63"/>
      <c r="M160" s="58"/>
      <c r="N160" s="59"/>
      <c r="O160" s="60"/>
      <c r="P160" s="10"/>
      <c r="Q160" s="61"/>
      <c r="R160" s="10"/>
      <c r="S160" s="62"/>
    </row>
    <row r="161" spans="2:19" x14ac:dyDescent="0.25">
      <c r="E161" s="50"/>
      <c r="F161" s="74">
        <f t="shared" si="39"/>
        <v>86</v>
      </c>
      <c r="G161" s="72">
        <f t="shared" si="39"/>
        <v>23.74</v>
      </c>
      <c r="H161" s="41"/>
      <c r="L161" s="63"/>
      <c r="M161" s="58"/>
      <c r="N161" s="59"/>
      <c r="O161" s="60"/>
      <c r="P161" s="10"/>
      <c r="Q161" s="61"/>
      <c r="R161" s="10"/>
      <c r="S161" s="62"/>
    </row>
    <row r="162" spans="2:19" x14ac:dyDescent="0.25">
      <c r="F162" s="74">
        <f t="shared" si="39"/>
        <v>88</v>
      </c>
      <c r="G162" s="73">
        <f t="shared" si="39"/>
        <v>26.74</v>
      </c>
      <c r="H162" s="41"/>
      <c r="L162" s="63"/>
      <c r="M162" s="58"/>
      <c r="N162" s="59"/>
      <c r="O162" s="60"/>
      <c r="P162" s="10"/>
      <c r="Q162" s="61"/>
      <c r="R162" s="10"/>
      <c r="S162" s="62"/>
    </row>
    <row r="163" spans="2:19" x14ac:dyDescent="0.25">
      <c r="E163" s="50"/>
      <c r="F163" s="75">
        <f t="shared" si="39"/>
        <v>90</v>
      </c>
      <c r="G163" s="81">
        <f t="shared" si="39"/>
        <v>29.74</v>
      </c>
      <c r="H163" s="27">
        <f>H158</f>
        <v>6</v>
      </c>
      <c r="L163" s="63"/>
      <c r="M163" s="58"/>
      <c r="N163" s="59"/>
      <c r="O163" s="60"/>
      <c r="P163" s="10"/>
      <c r="Q163" s="61"/>
      <c r="R163" s="10"/>
      <c r="S163" s="62"/>
    </row>
    <row r="164" spans="2:19" x14ac:dyDescent="0.25">
      <c r="B164" s="27">
        <f>B159</f>
        <v>15</v>
      </c>
      <c r="C164" s="25">
        <f>C159</f>
        <v>201.73999999999998</v>
      </c>
      <c r="D164" s="1">
        <f>D130</f>
        <v>10</v>
      </c>
      <c r="E164" s="1">
        <f t="shared" ref="E164:G164" si="40">E130</f>
        <v>6.1</v>
      </c>
      <c r="F164" s="1">
        <f t="shared" si="40"/>
        <v>82</v>
      </c>
      <c r="G164" s="1">
        <f t="shared" si="40"/>
        <v>17.739999999999998</v>
      </c>
      <c r="H164" s="76"/>
      <c r="L164" s="63"/>
      <c r="M164" s="58"/>
      <c r="N164" s="59"/>
      <c r="O164" s="60"/>
      <c r="P164" s="10"/>
      <c r="Q164" s="61"/>
      <c r="R164" s="10"/>
      <c r="S164" s="62"/>
    </row>
    <row r="165" spans="2:19" x14ac:dyDescent="0.25">
      <c r="E165" s="50"/>
      <c r="F165" s="1">
        <f t="shared" ref="F165:G165" si="41">F131</f>
        <v>84</v>
      </c>
      <c r="G165" s="1">
        <f t="shared" si="41"/>
        <v>20.74</v>
      </c>
      <c r="H165" s="76"/>
      <c r="L165" s="63"/>
      <c r="M165" s="58"/>
      <c r="N165" s="59"/>
      <c r="O165" s="60"/>
      <c r="P165" s="10"/>
      <c r="Q165" s="61"/>
      <c r="R165" s="10"/>
      <c r="S165" s="62"/>
    </row>
    <row r="166" spans="2:19" x14ac:dyDescent="0.25">
      <c r="E166" s="50"/>
      <c r="F166" s="1">
        <f t="shared" ref="F166:G166" si="42">F132</f>
        <v>86</v>
      </c>
      <c r="G166" s="1">
        <f t="shared" si="42"/>
        <v>23.74</v>
      </c>
      <c r="H166" s="76"/>
      <c r="L166" s="63"/>
      <c r="M166" s="58"/>
      <c r="N166" s="59"/>
      <c r="O166" s="60"/>
      <c r="P166" s="10"/>
      <c r="Q166" s="61"/>
      <c r="R166" s="10"/>
      <c r="S166" s="62"/>
    </row>
    <row r="167" spans="2:19" x14ac:dyDescent="0.25">
      <c r="E167" s="50"/>
      <c r="F167" s="1">
        <f t="shared" ref="F167:G167" si="43">F133</f>
        <v>88</v>
      </c>
      <c r="G167" s="1">
        <f t="shared" si="43"/>
        <v>26.74</v>
      </c>
      <c r="H167" s="76"/>
      <c r="L167" s="63"/>
      <c r="M167" s="58"/>
      <c r="N167" s="59"/>
      <c r="O167" s="60"/>
      <c r="P167" s="10"/>
      <c r="Q167" s="61"/>
      <c r="R167" s="10"/>
      <c r="S167" s="62"/>
    </row>
    <row r="168" spans="2:19" x14ac:dyDescent="0.25">
      <c r="E168" s="50"/>
      <c r="F168" s="1">
        <f t="shared" ref="F168:G168" si="44">F134</f>
        <v>90</v>
      </c>
      <c r="G168" s="1">
        <f t="shared" si="44"/>
        <v>29.74</v>
      </c>
      <c r="H168" s="27">
        <f>H163</f>
        <v>6</v>
      </c>
      <c r="L168" s="63"/>
      <c r="M168" s="58"/>
      <c r="N168" s="59"/>
      <c r="O168" s="60"/>
      <c r="P168" s="10"/>
      <c r="Q168" s="61"/>
      <c r="R168" s="10"/>
      <c r="S168" s="62"/>
    </row>
    <row r="169" spans="2:19" x14ac:dyDescent="0.25">
      <c r="B169" s="27">
        <f>B152</f>
        <v>15</v>
      </c>
      <c r="C169" s="25">
        <f>C152</f>
        <v>201.73999999999998</v>
      </c>
      <c r="D169" s="27">
        <f>D73</f>
        <v>2</v>
      </c>
      <c r="E169" s="25">
        <f>-E152</f>
        <v>-1.22</v>
      </c>
      <c r="F169" s="1">
        <f>2*I71</f>
        <v>2</v>
      </c>
      <c r="G169" s="25">
        <f t="shared" ref="G169:G180" si="45">G152</f>
        <v>3.06</v>
      </c>
      <c r="L169" s="63"/>
      <c r="M169" s="58"/>
      <c r="N169" s="59"/>
      <c r="O169" s="60"/>
      <c r="P169" s="10"/>
      <c r="Q169" s="61"/>
      <c r="R169" s="10"/>
      <c r="S169" s="62"/>
    </row>
    <row r="170" spans="2:19" x14ac:dyDescent="0.25">
      <c r="F170" s="1">
        <f t="shared" ref="F170:F180" si="46">F153</f>
        <v>4</v>
      </c>
      <c r="G170" s="25">
        <f t="shared" si="45"/>
        <v>6.0600000000000005</v>
      </c>
      <c r="L170" s="63"/>
      <c r="M170" s="58"/>
      <c r="N170" s="59"/>
      <c r="O170" s="60"/>
      <c r="P170" s="10"/>
      <c r="Q170" s="61"/>
      <c r="R170" s="10"/>
      <c r="S170" s="62"/>
    </row>
    <row r="171" spans="2:19" x14ac:dyDescent="0.25">
      <c r="F171" s="1">
        <f t="shared" si="46"/>
        <v>82</v>
      </c>
      <c r="G171" s="1">
        <f t="shared" si="45"/>
        <v>17.739999999999998</v>
      </c>
      <c r="L171" s="63"/>
      <c r="M171" s="58"/>
      <c r="N171" s="59"/>
      <c r="O171" s="60"/>
      <c r="P171" s="10"/>
      <c r="Q171" s="61"/>
      <c r="R171" s="10"/>
      <c r="S171" s="62"/>
    </row>
    <row r="172" spans="2:19" x14ac:dyDescent="0.25">
      <c r="F172" s="1">
        <f t="shared" si="46"/>
        <v>84</v>
      </c>
      <c r="G172" s="1">
        <f t="shared" si="45"/>
        <v>20.74</v>
      </c>
      <c r="L172" s="63"/>
      <c r="M172" s="58"/>
      <c r="N172" s="59"/>
      <c r="O172" s="60"/>
      <c r="P172" s="10"/>
      <c r="Q172" s="61"/>
      <c r="R172" s="10"/>
      <c r="S172" s="62"/>
    </row>
    <row r="173" spans="2:19" x14ac:dyDescent="0.25">
      <c r="E173" t="s">
        <v>142</v>
      </c>
      <c r="F173" s="1">
        <f t="shared" si="46"/>
        <v>86</v>
      </c>
      <c r="G173" s="1">
        <f t="shared" si="45"/>
        <v>23.74</v>
      </c>
      <c r="L173" s="63"/>
      <c r="M173" s="58"/>
      <c r="N173" s="59"/>
      <c r="O173" s="60"/>
      <c r="P173" s="10"/>
      <c r="Q173" s="61"/>
      <c r="R173" s="10"/>
      <c r="S173" s="62"/>
    </row>
    <row r="174" spans="2:19" x14ac:dyDescent="0.25">
      <c r="F174" s="1">
        <f t="shared" si="46"/>
        <v>88</v>
      </c>
      <c r="G174" s="1">
        <f t="shared" si="45"/>
        <v>26.74</v>
      </c>
      <c r="L174" s="63"/>
      <c r="M174" s="58"/>
      <c r="N174" s="59"/>
      <c r="O174" s="60"/>
      <c r="P174" s="10"/>
      <c r="Q174" s="61"/>
      <c r="R174" s="10"/>
      <c r="S174" s="62"/>
    </row>
    <row r="175" spans="2:19" x14ac:dyDescent="0.25">
      <c r="F175" s="1">
        <f t="shared" si="46"/>
        <v>90</v>
      </c>
      <c r="G175" s="1">
        <f t="shared" si="45"/>
        <v>29.74</v>
      </c>
      <c r="H175" s="27">
        <f>H163</f>
        <v>6</v>
      </c>
      <c r="L175" s="63"/>
      <c r="M175" s="58"/>
      <c r="N175" s="59"/>
      <c r="O175" s="60"/>
      <c r="P175" s="10"/>
      <c r="Q175" s="61"/>
      <c r="R175" s="10"/>
      <c r="S175" s="62"/>
    </row>
    <row r="176" spans="2:19" x14ac:dyDescent="0.25">
      <c r="B176" s="27">
        <f>B159</f>
        <v>15</v>
      </c>
      <c r="C176" s="25">
        <f>C159</f>
        <v>201.73999999999998</v>
      </c>
      <c r="D176" s="27">
        <f>D78</f>
        <v>4</v>
      </c>
      <c r="E176" s="25">
        <f>-E159</f>
        <v>-3.66</v>
      </c>
      <c r="F176" s="1">
        <f t="shared" si="46"/>
        <v>82</v>
      </c>
      <c r="G176" s="1">
        <f t="shared" si="45"/>
        <v>17.739999999999998</v>
      </c>
      <c r="L176" s="63"/>
      <c r="M176" s="58"/>
      <c r="N176" s="59"/>
      <c r="O176" s="60"/>
      <c r="P176" s="10"/>
      <c r="Q176" s="61"/>
      <c r="R176" s="10"/>
      <c r="S176" s="62"/>
    </row>
    <row r="177" spans="2:19" x14ac:dyDescent="0.25">
      <c r="B177" s="66"/>
      <c r="C177" s="22"/>
      <c r="D177" s="66"/>
      <c r="E177" s="22"/>
      <c r="F177" s="1">
        <f t="shared" si="46"/>
        <v>84</v>
      </c>
      <c r="G177" s="1">
        <f t="shared" si="45"/>
        <v>20.74</v>
      </c>
      <c r="L177" s="63"/>
      <c r="M177" s="58"/>
      <c r="N177" s="59"/>
      <c r="O177" s="60"/>
      <c r="P177" s="10"/>
      <c r="Q177" s="61"/>
      <c r="R177" s="10"/>
      <c r="S177" s="62"/>
    </row>
    <row r="178" spans="2:19" x14ac:dyDescent="0.25">
      <c r="B178" s="66"/>
      <c r="C178" s="22"/>
      <c r="D178" s="66"/>
      <c r="E178" s="22"/>
      <c r="F178" s="1">
        <f t="shared" si="46"/>
        <v>86</v>
      </c>
      <c r="G178" s="1">
        <f t="shared" si="45"/>
        <v>23.74</v>
      </c>
      <c r="L178" s="63"/>
      <c r="M178" s="58"/>
      <c r="N178" s="59"/>
      <c r="O178" s="60"/>
      <c r="P178" s="10"/>
      <c r="Q178" s="61"/>
      <c r="R178" s="10"/>
      <c r="S178" s="62"/>
    </row>
    <row r="179" spans="2:19" x14ac:dyDescent="0.25">
      <c r="F179" s="1">
        <f t="shared" si="46"/>
        <v>88</v>
      </c>
      <c r="G179" s="1">
        <f t="shared" si="45"/>
        <v>26.74</v>
      </c>
      <c r="L179" s="63"/>
      <c r="M179" s="58"/>
      <c r="N179" s="59"/>
      <c r="O179" s="60"/>
      <c r="P179" s="10"/>
      <c r="Q179" s="61"/>
      <c r="R179" s="10"/>
      <c r="S179" s="62"/>
    </row>
    <row r="180" spans="2:19" x14ac:dyDescent="0.25">
      <c r="B180" s="10"/>
      <c r="C180" s="10"/>
      <c r="D180" s="10"/>
      <c r="E180" s="10"/>
      <c r="F180" s="31">
        <f t="shared" si="46"/>
        <v>90</v>
      </c>
      <c r="G180" s="31">
        <f t="shared" si="45"/>
        <v>29.74</v>
      </c>
      <c r="H180" s="27">
        <f>H175</f>
        <v>6</v>
      </c>
      <c r="L180" s="63"/>
      <c r="M180" s="58"/>
      <c r="N180" s="59"/>
      <c r="O180" s="60"/>
      <c r="P180" s="10"/>
      <c r="Q180" s="61"/>
      <c r="R180" s="10"/>
      <c r="S180" s="62"/>
    </row>
    <row r="181" spans="2:19" x14ac:dyDescent="0.25">
      <c r="B181" s="27">
        <f>B176</f>
        <v>15</v>
      </c>
      <c r="C181" s="25">
        <f>C176</f>
        <v>201.73999999999998</v>
      </c>
      <c r="D181" s="1">
        <f>D147</f>
        <v>11</v>
      </c>
      <c r="E181" s="1">
        <f t="shared" ref="E181:G181" si="47">E147</f>
        <v>-6.1</v>
      </c>
      <c r="F181" s="1">
        <f t="shared" si="47"/>
        <v>82</v>
      </c>
      <c r="G181" s="1">
        <f t="shared" si="47"/>
        <v>17.739999999999998</v>
      </c>
      <c r="H181" s="70"/>
      <c r="L181" s="63"/>
      <c r="M181" s="58"/>
      <c r="N181" s="59"/>
      <c r="O181" s="60"/>
      <c r="P181" s="10"/>
      <c r="Q181" s="61"/>
      <c r="R181" s="10"/>
      <c r="S181" s="62"/>
    </row>
    <row r="182" spans="2:19" x14ac:dyDescent="0.25">
      <c r="B182" s="10"/>
      <c r="C182" s="10"/>
      <c r="D182" s="10"/>
      <c r="E182" s="10"/>
      <c r="F182" s="1">
        <f t="shared" ref="F182:G182" si="48">F148</f>
        <v>84</v>
      </c>
      <c r="G182" s="1">
        <f t="shared" si="48"/>
        <v>20.74</v>
      </c>
      <c r="H182" s="70"/>
      <c r="L182" s="63"/>
      <c r="M182" s="58"/>
      <c r="N182" s="59"/>
      <c r="O182" s="60"/>
      <c r="P182" s="10"/>
      <c r="Q182" s="61"/>
      <c r="R182" s="10"/>
      <c r="S182" s="62"/>
    </row>
    <row r="183" spans="2:19" x14ac:dyDescent="0.25">
      <c r="B183" s="10"/>
      <c r="C183" s="10"/>
      <c r="D183" s="10"/>
      <c r="E183" s="10"/>
      <c r="F183" s="1">
        <f t="shared" ref="F183:G183" si="49">F149</f>
        <v>86</v>
      </c>
      <c r="G183" s="1">
        <f t="shared" si="49"/>
        <v>23.74</v>
      </c>
      <c r="H183" s="70"/>
      <c r="L183" s="63"/>
      <c r="M183" s="58"/>
      <c r="N183" s="59"/>
      <c r="O183" s="60"/>
      <c r="P183" s="10"/>
      <c r="Q183" s="61"/>
      <c r="R183" s="10"/>
      <c r="S183" s="62"/>
    </row>
    <row r="184" spans="2:19" x14ac:dyDescent="0.25">
      <c r="B184" s="10"/>
      <c r="C184" s="10"/>
      <c r="D184" s="10"/>
      <c r="E184" s="10"/>
      <c r="F184" s="1">
        <f t="shared" ref="F184:G184" si="50">F150</f>
        <v>88</v>
      </c>
      <c r="G184" s="1">
        <f t="shared" si="50"/>
        <v>26.74</v>
      </c>
      <c r="H184" s="70"/>
      <c r="L184" s="63"/>
      <c r="M184" s="58"/>
      <c r="N184" s="59"/>
      <c r="O184" s="60"/>
      <c r="P184" s="10"/>
      <c r="Q184" s="61"/>
      <c r="R184" s="10"/>
      <c r="S184" s="62"/>
    </row>
    <row r="185" spans="2:19" ht="15.75" thickBot="1" x14ac:dyDescent="0.3">
      <c r="B185" s="79"/>
      <c r="C185" s="79"/>
      <c r="D185" s="79"/>
      <c r="E185" s="79"/>
      <c r="F185" s="80">
        <f t="shared" ref="F185:G185" si="51">F151</f>
        <v>90</v>
      </c>
      <c r="G185" s="80">
        <f t="shared" si="51"/>
        <v>29.74</v>
      </c>
      <c r="H185" s="27">
        <f>H180</f>
        <v>6</v>
      </c>
      <c r="L185" s="63"/>
      <c r="M185" s="58"/>
      <c r="N185" s="59"/>
      <c r="O185" s="60"/>
      <c r="P185" s="10"/>
      <c r="Q185" s="61"/>
      <c r="R185" s="10"/>
      <c r="S185" s="62"/>
    </row>
    <row r="186" spans="2:19" x14ac:dyDescent="0.25">
      <c r="B186" s="28">
        <f>2*I64-1</f>
        <v>13</v>
      </c>
      <c r="C186" s="29">
        <f>C$118+('Variables auxiliares'!F$9-I64)*Datos!J$5</f>
        <v>207.79999999999998</v>
      </c>
      <c r="D186" s="28">
        <f>D58</f>
        <v>1</v>
      </c>
      <c r="E186" s="67">
        <f>E118</f>
        <v>1.22</v>
      </c>
      <c r="F186" s="28">
        <f>2*I71</f>
        <v>2</v>
      </c>
      <c r="G186" s="78">
        <f>G152</f>
        <v>3.06</v>
      </c>
      <c r="H186" s="41"/>
      <c r="L186" s="63"/>
      <c r="M186" s="58"/>
      <c r="N186" s="59"/>
      <c r="O186" s="60"/>
      <c r="P186" s="10"/>
      <c r="Q186" s="61"/>
      <c r="R186" s="10"/>
      <c r="S186" s="62"/>
    </row>
    <row r="187" spans="2:19" x14ac:dyDescent="0.25">
      <c r="E187" s="50"/>
      <c r="F187" s="74">
        <f>F153</f>
        <v>4</v>
      </c>
      <c r="G187" s="77">
        <f>G153</f>
        <v>6.0600000000000005</v>
      </c>
      <c r="H187" s="41"/>
      <c r="L187" s="63"/>
      <c r="M187" s="58"/>
      <c r="N187" s="59"/>
      <c r="O187" s="60"/>
      <c r="P187" s="10"/>
      <c r="Q187" s="61"/>
      <c r="R187" s="10"/>
      <c r="S187" s="62"/>
    </row>
    <row r="188" spans="2:19" x14ac:dyDescent="0.25">
      <c r="E188" s="50"/>
      <c r="F188" s="74">
        <f>F159</f>
        <v>82</v>
      </c>
      <c r="G188" s="72">
        <f>G120</f>
        <v>17.739999999999998</v>
      </c>
      <c r="H188" s="41"/>
      <c r="L188" s="63"/>
      <c r="M188" s="58"/>
      <c r="N188" s="59"/>
      <c r="O188" s="60"/>
      <c r="P188" s="10"/>
      <c r="Q188" s="61"/>
      <c r="R188" s="10"/>
      <c r="S188" s="62"/>
    </row>
    <row r="189" spans="2:19" x14ac:dyDescent="0.25">
      <c r="E189" s="50" t="s">
        <v>141</v>
      </c>
      <c r="F189" s="74">
        <f>F160</f>
        <v>84</v>
      </c>
      <c r="G189" s="72">
        <f>G121</f>
        <v>20.74</v>
      </c>
      <c r="H189" s="41"/>
      <c r="L189" s="63"/>
      <c r="M189" s="58"/>
      <c r="N189" s="59"/>
      <c r="O189" s="60"/>
      <c r="P189" s="10"/>
      <c r="Q189" s="61"/>
      <c r="R189" s="10"/>
      <c r="S189" s="62"/>
    </row>
    <row r="190" spans="2:19" x14ac:dyDescent="0.25">
      <c r="E190" s="50"/>
      <c r="F190" s="74">
        <f>F161</f>
        <v>86</v>
      </c>
      <c r="G190" s="72">
        <f>G122</f>
        <v>23.74</v>
      </c>
      <c r="H190" s="41"/>
      <c r="L190" s="63"/>
      <c r="M190" s="58"/>
      <c r="N190" s="59"/>
      <c r="O190" s="60"/>
      <c r="P190" s="10"/>
      <c r="Q190" s="61"/>
      <c r="R190" s="10"/>
      <c r="S190" s="62"/>
    </row>
    <row r="191" spans="2:19" x14ac:dyDescent="0.25">
      <c r="E191" s="50"/>
      <c r="F191" s="74">
        <f>F162</f>
        <v>88</v>
      </c>
      <c r="G191" s="72">
        <f>G123</f>
        <v>26.74</v>
      </c>
      <c r="H191" s="41"/>
      <c r="L191" s="63"/>
      <c r="M191" s="58"/>
      <c r="N191" s="59"/>
      <c r="O191" s="60"/>
      <c r="P191" s="10"/>
      <c r="Q191" s="61"/>
      <c r="R191" s="10"/>
      <c r="S191" s="62"/>
    </row>
    <row r="192" spans="2:19" x14ac:dyDescent="0.25">
      <c r="E192" s="50"/>
      <c r="F192" s="74">
        <f>F163</f>
        <v>90</v>
      </c>
      <c r="G192" s="72">
        <f>G124</f>
        <v>29.74</v>
      </c>
      <c r="H192" s="27">
        <f>INT(((3*Datos!C$6-'slots sin grua'!C186)*TAN('Variables auxiliares'!C$40)-Datos!C$8+'Variables auxiliares'!F$54)/Datos!J$8)</f>
        <v>6</v>
      </c>
      <c r="L192" s="63"/>
      <c r="M192" s="58"/>
      <c r="N192" s="59"/>
      <c r="O192" s="60"/>
      <c r="P192" s="10"/>
      <c r="Q192" s="61"/>
      <c r="R192" s="10"/>
      <c r="S192" s="62"/>
    </row>
    <row r="193" spans="2:19" x14ac:dyDescent="0.25">
      <c r="B193" s="1">
        <f>B186</f>
        <v>13</v>
      </c>
      <c r="C193" s="25">
        <f>C186</f>
        <v>207.79999999999998</v>
      </c>
      <c r="D193" s="1">
        <f>D63</f>
        <v>3</v>
      </c>
      <c r="E193" s="74">
        <f>E125</f>
        <v>3.66</v>
      </c>
      <c r="F193" s="74">
        <f t="shared" ref="F193:G197" si="52">F188</f>
        <v>82</v>
      </c>
      <c r="G193" s="72">
        <f t="shared" si="52"/>
        <v>17.739999999999998</v>
      </c>
      <c r="H193" s="41"/>
      <c r="L193" s="63"/>
      <c r="M193" s="58"/>
      <c r="N193" s="59"/>
      <c r="O193" s="60"/>
      <c r="P193" s="10"/>
      <c r="Q193" s="61"/>
      <c r="R193" s="10"/>
      <c r="S193" s="62"/>
    </row>
    <row r="194" spans="2:19" x14ac:dyDescent="0.25">
      <c r="E194" s="50"/>
      <c r="F194" s="74">
        <f t="shared" si="52"/>
        <v>84</v>
      </c>
      <c r="G194" s="72">
        <f t="shared" si="52"/>
        <v>20.74</v>
      </c>
      <c r="H194" s="41"/>
      <c r="L194" s="63"/>
      <c r="M194" s="58"/>
      <c r="N194" s="59"/>
      <c r="O194" s="60"/>
      <c r="P194" s="10"/>
      <c r="Q194" s="61"/>
      <c r="R194" s="10"/>
      <c r="S194" s="62"/>
    </row>
    <row r="195" spans="2:19" x14ac:dyDescent="0.25">
      <c r="E195" s="50"/>
      <c r="F195" s="74">
        <f t="shared" si="52"/>
        <v>86</v>
      </c>
      <c r="G195" s="72">
        <f t="shared" si="52"/>
        <v>23.74</v>
      </c>
      <c r="H195" s="41"/>
      <c r="L195" s="63"/>
      <c r="M195" s="58"/>
      <c r="N195" s="59"/>
      <c r="O195" s="60"/>
      <c r="P195" s="10"/>
      <c r="Q195" s="61"/>
      <c r="R195" s="10"/>
      <c r="S195" s="62"/>
    </row>
    <row r="196" spans="2:19" x14ac:dyDescent="0.25">
      <c r="E196" s="50"/>
      <c r="F196" s="74">
        <f t="shared" si="52"/>
        <v>88</v>
      </c>
      <c r="G196" s="72">
        <f t="shared" si="52"/>
        <v>26.74</v>
      </c>
      <c r="H196" s="41"/>
      <c r="L196" s="63"/>
      <c r="M196" s="58"/>
      <c r="N196" s="59"/>
      <c r="O196" s="60"/>
      <c r="P196" s="10"/>
      <c r="Q196" s="61"/>
      <c r="R196" s="10"/>
      <c r="S196" s="62"/>
    </row>
    <row r="197" spans="2:19" x14ac:dyDescent="0.25">
      <c r="E197" s="50"/>
      <c r="F197" s="75">
        <f t="shared" si="52"/>
        <v>90</v>
      </c>
      <c r="G197" s="73">
        <f t="shared" si="52"/>
        <v>29.74</v>
      </c>
      <c r="H197" s="27">
        <f>H192</f>
        <v>6</v>
      </c>
      <c r="L197" s="63"/>
      <c r="M197" s="58"/>
      <c r="N197" s="59"/>
      <c r="O197" s="60"/>
      <c r="P197" s="10"/>
      <c r="Q197" s="61"/>
      <c r="R197" s="10"/>
      <c r="S197" s="62"/>
    </row>
    <row r="198" spans="2:19" x14ac:dyDescent="0.25">
      <c r="B198" s="1">
        <f>B186</f>
        <v>13</v>
      </c>
      <c r="C198" s="25">
        <f>C186</f>
        <v>207.79999999999998</v>
      </c>
      <c r="D198" s="1">
        <f>D164</f>
        <v>10</v>
      </c>
      <c r="E198" s="1">
        <f>E164</f>
        <v>6.1</v>
      </c>
      <c r="F198" s="1">
        <f t="shared" ref="F198:G198" si="53">F164</f>
        <v>82</v>
      </c>
      <c r="G198" s="1">
        <f t="shared" si="53"/>
        <v>17.739999999999998</v>
      </c>
      <c r="H198" s="76"/>
      <c r="L198" s="63"/>
      <c r="M198" s="58"/>
      <c r="N198" s="59"/>
      <c r="O198" s="60"/>
      <c r="P198" s="10"/>
      <c r="Q198" s="61"/>
      <c r="R198" s="10"/>
      <c r="S198" s="62"/>
    </row>
    <row r="199" spans="2:19" x14ac:dyDescent="0.25">
      <c r="E199" s="50"/>
      <c r="F199" s="1">
        <f t="shared" ref="F199:G199" si="54">F165</f>
        <v>84</v>
      </c>
      <c r="G199" s="1">
        <f t="shared" si="54"/>
        <v>20.74</v>
      </c>
      <c r="H199" s="76"/>
      <c r="L199" s="63"/>
      <c r="M199" s="58"/>
      <c r="N199" s="59"/>
      <c r="O199" s="60"/>
      <c r="P199" s="10"/>
      <c r="Q199" s="61"/>
      <c r="R199" s="10"/>
      <c r="S199" s="62"/>
    </row>
    <row r="200" spans="2:19" x14ac:dyDescent="0.25">
      <c r="E200" s="50"/>
      <c r="F200" s="1">
        <f t="shared" ref="F200:G200" si="55">F166</f>
        <v>86</v>
      </c>
      <c r="G200" s="1">
        <f t="shared" si="55"/>
        <v>23.74</v>
      </c>
      <c r="H200" s="76"/>
      <c r="L200" s="63"/>
      <c r="M200" s="58"/>
      <c r="N200" s="59"/>
      <c r="O200" s="60"/>
      <c r="P200" s="10"/>
      <c r="Q200" s="61"/>
      <c r="R200" s="10"/>
      <c r="S200" s="62"/>
    </row>
    <row r="201" spans="2:19" x14ac:dyDescent="0.25">
      <c r="E201" s="50"/>
      <c r="F201" s="1">
        <f t="shared" ref="F201:G201" si="56">F167</f>
        <v>88</v>
      </c>
      <c r="G201" s="1">
        <f t="shared" si="56"/>
        <v>26.74</v>
      </c>
      <c r="H201" s="76"/>
      <c r="L201" s="63"/>
      <c r="M201" s="58"/>
      <c r="N201" s="59"/>
      <c r="O201" s="60"/>
      <c r="P201" s="10"/>
      <c r="Q201" s="61"/>
      <c r="R201" s="10"/>
      <c r="S201" s="62"/>
    </row>
    <row r="202" spans="2:19" x14ac:dyDescent="0.25">
      <c r="E202" s="50"/>
      <c r="F202" s="1">
        <f t="shared" ref="F202:G202" si="57">F168</f>
        <v>90</v>
      </c>
      <c r="G202" s="1">
        <f t="shared" si="57"/>
        <v>29.74</v>
      </c>
      <c r="H202" s="27">
        <f>H197</f>
        <v>6</v>
      </c>
      <c r="L202" s="63"/>
      <c r="M202" s="58"/>
      <c r="N202" s="59"/>
      <c r="O202" s="60"/>
      <c r="P202" s="10"/>
      <c r="Q202" s="61"/>
      <c r="R202" s="10"/>
      <c r="S202" s="62"/>
    </row>
    <row r="203" spans="2:19" x14ac:dyDescent="0.25">
      <c r="B203" s="1">
        <f>B186</f>
        <v>13</v>
      </c>
      <c r="C203" s="25">
        <f>C186</f>
        <v>207.79999999999998</v>
      </c>
      <c r="D203" s="1">
        <f>D73</f>
        <v>2</v>
      </c>
      <c r="E203" s="1">
        <f>-E186</f>
        <v>-1.22</v>
      </c>
      <c r="F203" s="1">
        <f>2*I71</f>
        <v>2</v>
      </c>
      <c r="G203" s="25">
        <f t="shared" ref="G203:G214" si="58">G186</f>
        <v>3.06</v>
      </c>
      <c r="L203" s="63"/>
      <c r="M203" s="58"/>
      <c r="N203" s="59"/>
      <c r="O203" s="60"/>
      <c r="P203" s="10"/>
      <c r="Q203" s="61"/>
      <c r="R203" s="10"/>
      <c r="S203" s="62"/>
    </row>
    <row r="204" spans="2:19" x14ac:dyDescent="0.25">
      <c r="F204" s="1">
        <f t="shared" ref="F204:F214" si="59">F187</f>
        <v>4</v>
      </c>
      <c r="G204" s="25">
        <f t="shared" si="58"/>
        <v>6.0600000000000005</v>
      </c>
      <c r="H204" s="10"/>
      <c r="L204" s="63"/>
      <c r="M204" s="58"/>
      <c r="N204" s="59"/>
      <c r="O204" s="60"/>
      <c r="P204" s="10"/>
      <c r="Q204" s="61"/>
      <c r="R204" s="10"/>
      <c r="S204" s="62"/>
    </row>
    <row r="205" spans="2:19" x14ac:dyDescent="0.25">
      <c r="F205" s="1">
        <f t="shared" si="59"/>
        <v>82</v>
      </c>
      <c r="G205" s="25">
        <f t="shared" si="58"/>
        <v>17.739999999999998</v>
      </c>
      <c r="L205" s="63"/>
      <c r="M205" s="58"/>
      <c r="N205" s="59"/>
      <c r="O205" s="60"/>
      <c r="P205" s="10"/>
      <c r="Q205" s="61"/>
      <c r="R205" s="10"/>
      <c r="S205" s="62"/>
    </row>
    <row r="206" spans="2:19" x14ac:dyDescent="0.25">
      <c r="E206" t="s">
        <v>142</v>
      </c>
      <c r="F206" s="1">
        <f t="shared" si="59"/>
        <v>84</v>
      </c>
      <c r="G206" s="25">
        <f t="shared" si="58"/>
        <v>20.74</v>
      </c>
      <c r="H206" s="10"/>
      <c r="L206" s="63"/>
      <c r="M206" s="58"/>
      <c r="N206" s="59"/>
      <c r="O206" s="60"/>
      <c r="P206" s="10"/>
      <c r="Q206" s="61"/>
      <c r="R206" s="10"/>
      <c r="S206" s="62"/>
    </row>
    <row r="207" spans="2:19" x14ac:dyDescent="0.25">
      <c r="F207" s="1">
        <f t="shared" si="59"/>
        <v>86</v>
      </c>
      <c r="G207" s="25">
        <f t="shared" si="58"/>
        <v>23.74</v>
      </c>
      <c r="H207" s="10"/>
      <c r="L207" s="63"/>
      <c r="M207" s="58"/>
      <c r="N207" s="59"/>
      <c r="O207" s="60"/>
      <c r="P207" s="10"/>
      <c r="Q207" s="61"/>
      <c r="R207" s="10"/>
      <c r="S207" s="62"/>
    </row>
    <row r="208" spans="2:19" x14ac:dyDescent="0.25">
      <c r="F208" s="1">
        <f t="shared" si="59"/>
        <v>88</v>
      </c>
      <c r="G208" s="25">
        <f t="shared" si="58"/>
        <v>26.74</v>
      </c>
      <c r="H208" s="10"/>
      <c r="L208" s="63"/>
      <c r="M208" s="58"/>
      <c r="N208" s="59"/>
      <c r="O208" s="60"/>
      <c r="P208" s="10"/>
      <c r="Q208" s="61"/>
      <c r="R208" s="10"/>
      <c r="S208" s="62"/>
    </row>
    <row r="209" spans="2:19" x14ac:dyDescent="0.25">
      <c r="F209" s="31">
        <f t="shared" si="59"/>
        <v>90</v>
      </c>
      <c r="G209" s="32">
        <f t="shared" si="58"/>
        <v>29.74</v>
      </c>
      <c r="H209" s="27">
        <f>H197</f>
        <v>6</v>
      </c>
      <c r="L209" s="63"/>
      <c r="M209" s="58"/>
      <c r="N209" s="59"/>
      <c r="O209" s="60"/>
      <c r="P209" s="10"/>
      <c r="Q209" s="61"/>
      <c r="R209" s="10"/>
      <c r="S209" s="62"/>
    </row>
    <row r="210" spans="2:19" x14ac:dyDescent="0.25">
      <c r="B210" s="1">
        <f>B193</f>
        <v>13</v>
      </c>
      <c r="C210" s="25">
        <f>C193</f>
        <v>207.79999999999998</v>
      </c>
      <c r="D210" s="1">
        <f>D78</f>
        <v>4</v>
      </c>
      <c r="E210" s="1">
        <f>-E193</f>
        <v>-3.66</v>
      </c>
      <c r="F210" s="1">
        <f t="shared" si="59"/>
        <v>82</v>
      </c>
      <c r="G210" s="1">
        <f t="shared" si="58"/>
        <v>17.739999999999998</v>
      </c>
      <c r="H210" s="41"/>
      <c r="L210" s="63"/>
      <c r="M210" s="58"/>
      <c r="N210" s="59"/>
      <c r="O210" s="60"/>
      <c r="P210" s="10"/>
      <c r="Q210" s="61"/>
      <c r="R210" s="10"/>
      <c r="S210" s="62"/>
    </row>
    <row r="211" spans="2:19" x14ac:dyDescent="0.25">
      <c r="F211" s="1">
        <f t="shared" si="59"/>
        <v>84</v>
      </c>
      <c r="G211" s="1">
        <f t="shared" si="58"/>
        <v>20.74</v>
      </c>
      <c r="H211" s="10"/>
      <c r="L211" s="63"/>
      <c r="M211" s="58"/>
      <c r="N211" s="59"/>
      <c r="O211" s="60"/>
      <c r="P211" s="10"/>
      <c r="Q211" s="61"/>
      <c r="R211" s="10"/>
      <c r="S211" s="62"/>
    </row>
    <row r="212" spans="2:19" x14ac:dyDescent="0.25">
      <c r="F212" s="1">
        <f t="shared" si="59"/>
        <v>86</v>
      </c>
      <c r="G212" s="1">
        <f t="shared" si="58"/>
        <v>23.74</v>
      </c>
      <c r="H212" s="10"/>
      <c r="L212" s="63"/>
      <c r="M212" s="58"/>
      <c r="N212" s="59"/>
      <c r="O212" s="60"/>
      <c r="P212" s="10"/>
      <c r="Q212" s="61"/>
      <c r="R212" s="10"/>
      <c r="S212" s="62"/>
    </row>
    <row r="213" spans="2:19" x14ac:dyDescent="0.25">
      <c r="F213" s="1">
        <f t="shared" si="59"/>
        <v>88</v>
      </c>
      <c r="G213" s="1">
        <f t="shared" si="58"/>
        <v>26.74</v>
      </c>
      <c r="H213" s="10"/>
      <c r="L213" s="63"/>
      <c r="M213" s="58"/>
      <c r="N213" s="59"/>
      <c r="O213" s="60"/>
      <c r="P213" s="10"/>
      <c r="Q213" s="61"/>
      <c r="R213" s="10"/>
      <c r="S213" s="62"/>
    </row>
    <row r="214" spans="2:19" x14ac:dyDescent="0.25">
      <c r="B214" s="10"/>
      <c r="C214" s="10"/>
      <c r="D214" s="10"/>
      <c r="E214" s="10"/>
      <c r="F214" s="31">
        <f t="shared" si="59"/>
        <v>90</v>
      </c>
      <c r="G214" s="31">
        <f t="shared" si="58"/>
        <v>29.74</v>
      </c>
      <c r="H214" s="1">
        <f>H197</f>
        <v>6</v>
      </c>
      <c r="L214" s="63"/>
      <c r="M214" s="58"/>
      <c r="N214" s="59"/>
      <c r="O214" s="60"/>
      <c r="P214" s="10"/>
      <c r="Q214" s="61"/>
      <c r="R214" s="10"/>
      <c r="S214" s="62"/>
    </row>
    <row r="215" spans="2:19" x14ac:dyDescent="0.25">
      <c r="B215" s="1">
        <f>B210</f>
        <v>13</v>
      </c>
      <c r="C215" s="25">
        <f>C210</f>
        <v>207.79999999999998</v>
      </c>
      <c r="D215" s="1">
        <f>D181</f>
        <v>11</v>
      </c>
      <c r="E215" s="1">
        <f t="shared" ref="E215:G215" si="60">E181</f>
        <v>-6.1</v>
      </c>
      <c r="F215" s="1">
        <f t="shared" si="60"/>
        <v>82</v>
      </c>
      <c r="G215" s="1">
        <f t="shared" si="60"/>
        <v>17.739999999999998</v>
      </c>
      <c r="H215" s="40"/>
      <c r="L215" s="63"/>
      <c r="M215" s="58"/>
      <c r="N215" s="59"/>
      <c r="O215" s="60"/>
      <c r="P215" s="10"/>
      <c r="Q215" s="61"/>
      <c r="R215" s="10"/>
      <c r="S215" s="62"/>
    </row>
    <row r="216" spans="2:19" x14ac:dyDescent="0.25">
      <c r="B216" s="10"/>
      <c r="C216" s="10"/>
      <c r="D216" s="10"/>
      <c r="E216" s="10"/>
      <c r="F216" s="28">
        <f t="shared" ref="F216:G216" si="61">F182</f>
        <v>84</v>
      </c>
      <c r="G216" s="28">
        <f t="shared" si="61"/>
        <v>20.74</v>
      </c>
      <c r="H216" s="40"/>
      <c r="L216" s="63"/>
      <c r="M216" s="58"/>
      <c r="N216" s="59"/>
      <c r="O216" s="60"/>
      <c r="P216" s="10"/>
      <c r="Q216" s="61"/>
      <c r="R216" s="10"/>
      <c r="S216" s="62"/>
    </row>
    <row r="217" spans="2:19" x14ac:dyDescent="0.25">
      <c r="B217" s="10"/>
      <c r="C217" s="10"/>
      <c r="D217" s="10"/>
      <c r="E217" s="10"/>
      <c r="F217" s="1">
        <f t="shared" ref="F217:G217" si="62">F183</f>
        <v>86</v>
      </c>
      <c r="G217" s="1">
        <f t="shared" si="62"/>
        <v>23.74</v>
      </c>
      <c r="H217" s="40"/>
      <c r="L217" s="63"/>
      <c r="M217" s="58"/>
      <c r="N217" s="59"/>
      <c r="O217" s="60"/>
      <c r="P217" s="10"/>
      <c r="Q217" s="61"/>
      <c r="R217" s="10"/>
      <c r="S217" s="62"/>
    </row>
    <row r="218" spans="2:19" x14ac:dyDescent="0.25">
      <c r="B218" s="10"/>
      <c r="C218" s="10"/>
      <c r="D218" s="10"/>
      <c r="E218" s="10"/>
      <c r="F218" s="1">
        <f t="shared" ref="F218:G218" si="63">F184</f>
        <v>88</v>
      </c>
      <c r="G218" s="1">
        <f t="shared" si="63"/>
        <v>26.74</v>
      </c>
      <c r="H218" s="40"/>
      <c r="L218" s="63"/>
      <c r="M218" s="58"/>
      <c r="N218" s="59"/>
      <c r="O218" s="60"/>
      <c r="P218" s="10"/>
      <c r="Q218" s="61"/>
      <c r="R218" s="10"/>
      <c r="S218" s="62"/>
    </row>
    <row r="219" spans="2:19" ht="15.75" thickBot="1" x14ac:dyDescent="0.3">
      <c r="B219" s="79"/>
      <c r="C219" s="79"/>
      <c r="D219" s="79"/>
      <c r="E219" s="79"/>
      <c r="F219" s="80">
        <f t="shared" ref="F219:G219" si="64">F185</f>
        <v>90</v>
      </c>
      <c r="G219" s="80">
        <f t="shared" si="64"/>
        <v>29.74</v>
      </c>
      <c r="H219" s="1">
        <f>H214</f>
        <v>6</v>
      </c>
      <c r="L219" s="63"/>
      <c r="M219" s="58"/>
      <c r="N219" s="59"/>
      <c r="O219" s="60"/>
      <c r="P219" s="10"/>
      <c r="Q219" s="61"/>
      <c r="R219" s="10"/>
      <c r="S219" s="62"/>
    </row>
    <row r="220" spans="2:19" x14ac:dyDescent="0.25">
      <c r="B220" s="28">
        <f>2*I63-1</f>
        <v>11</v>
      </c>
      <c r="C220" s="29">
        <f>C$118+('Variables auxiliares'!F$9-I63)*Datos!J$5</f>
        <v>213.85999999999999</v>
      </c>
      <c r="D220" s="28">
        <f>D58</f>
        <v>1</v>
      </c>
      <c r="E220" s="71">
        <f>E186</f>
        <v>1.22</v>
      </c>
      <c r="F220" s="108">
        <f>2*I71</f>
        <v>2</v>
      </c>
      <c r="G220" s="78">
        <f t="shared" ref="G220:G226" si="65">G186</f>
        <v>3.06</v>
      </c>
      <c r="H220" s="41"/>
      <c r="L220" s="63"/>
      <c r="M220" s="58"/>
      <c r="N220" s="59"/>
      <c r="O220" s="60"/>
      <c r="P220" s="10"/>
      <c r="Q220" s="61"/>
      <c r="R220" s="10"/>
      <c r="S220" s="62"/>
    </row>
    <row r="221" spans="2:19" x14ac:dyDescent="0.25">
      <c r="F221" s="74">
        <f t="shared" ref="F221:F226" si="66">F187</f>
        <v>4</v>
      </c>
      <c r="G221" s="77">
        <f t="shared" si="65"/>
        <v>6.0600000000000005</v>
      </c>
      <c r="H221" s="41"/>
      <c r="L221" s="63"/>
      <c r="M221" s="58"/>
      <c r="N221" s="59"/>
      <c r="O221" s="60"/>
      <c r="P221" s="10"/>
      <c r="Q221" s="61"/>
      <c r="R221" s="10"/>
      <c r="S221" s="62"/>
    </row>
    <row r="222" spans="2:19" x14ac:dyDescent="0.25">
      <c r="F222" s="74">
        <f t="shared" si="66"/>
        <v>82</v>
      </c>
      <c r="G222" s="77">
        <f t="shared" si="65"/>
        <v>17.739999999999998</v>
      </c>
      <c r="H222" s="41"/>
      <c r="L222" s="63"/>
      <c r="M222" s="58"/>
      <c r="N222" s="59"/>
      <c r="O222" s="60"/>
      <c r="P222" s="10"/>
      <c r="Q222" s="61"/>
      <c r="R222" s="10"/>
      <c r="S222" s="62"/>
    </row>
    <row r="223" spans="2:19" x14ac:dyDescent="0.25">
      <c r="F223" s="74">
        <f t="shared" si="66"/>
        <v>84</v>
      </c>
      <c r="G223" s="77">
        <f t="shared" si="65"/>
        <v>20.74</v>
      </c>
      <c r="H223" s="41"/>
      <c r="L223" s="63"/>
      <c r="M223" s="58"/>
      <c r="N223" s="59"/>
      <c r="O223" s="60"/>
      <c r="P223" s="10"/>
      <c r="Q223" s="61"/>
      <c r="R223" s="10"/>
      <c r="S223" s="62"/>
    </row>
    <row r="224" spans="2:19" x14ac:dyDescent="0.25">
      <c r="E224" t="s">
        <v>141</v>
      </c>
      <c r="F224" s="74">
        <f t="shared" si="66"/>
        <v>86</v>
      </c>
      <c r="G224" s="77">
        <f t="shared" si="65"/>
        <v>23.74</v>
      </c>
      <c r="H224" s="41"/>
      <c r="L224" s="63"/>
      <c r="M224" s="58"/>
      <c r="N224" s="59"/>
      <c r="O224" s="60"/>
      <c r="P224" s="10"/>
      <c r="Q224" s="61"/>
      <c r="R224" s="10"/>
      <c r="S224" s="62"/>
    </row>
    <row r="225" spans="2:19" x14ac:dyDescent="0.25">
      <c r="F225" s="74">
        <f t="shared" si="66"/>
        <v>88</v>
      </c>
      <c r="G225" s="77">
        <f t="shared" si="65"/>
        <v>26.74</v>
      </c>
      <c r="L225" s="63"/>
      <c r="M225" s="58"/>
      <c r="N225" s="59"/>
      <c r="O225" s="60"/>
      <c r="P225" s="10"/>
      <c r="Q225" s="61"/>
      <c r="R225" s="10"/>
      <c r="S225" s="62"/>
    </row>
    <row r="226" spans="2:19" x14ac:dyDescent="0.25">
      <c r="F226" s="74">
        <f t="shared" si="66"/>
        <v>90</v>
      </c>
      <c r="G226" s="72">
        <f t="shared" si="65"/>
        <v>29.74</v>
      </c>
      <c r="H226" s="27">
        <f>INT(((3*Datos!C$6-'slots sin grua'!C220)*TAN('Variables auxiliares'!C$40)-Datos!C$8+'Variables auxiliares'!F$54)/Datos!J$8)</f>
        <v>5</v>
      </c>
      <c r="L226" s="63"/>
      <c r="M226" s="58"/>
      <c r="N226" s="59"/>
      <c r="O226" s="60"/>
      <c r="P226" s="10"/>
      <c r="Q226" s="61"/>
      <c r="R226" s="10"/>
      <c r="S226" s="62"/>
    </row>
    <row r="227" spans="2:19" x14ac:dyDescent="0.25">
      <c r="B227" s="1">
        <f>B220</f>
        <v>11</v>
      </c>
      <c r="C227" s="25">
        <f>C220</f>
        <v>213.85999999999999</v>
      </c>
      <c r="D227" s="1">
        <f>D63</f>
        <v>3</v>
      </c>
      <c r="E227" s="74">
        <f>E159</f>
        <v>3.66</v>
      </c>
      <c r="F227" s="74">
        <f t="shared" ref="F227:G231" si="67">F222</f>
        <v>82</v>
      </c>
      <c r="G227" s="72">
        <f t="shared" si="67"/>
        <v>17.739999999999998</v>
      </c>
      <c r="H227" s="41"/>
      <c r="L227" s="63"/>
      <c r="M227" s="58"/>
      <c r="N227" s="59"/>
      <c r="O227" s="60"/>
      <c r="P227" s="10"/>
      <c r="Q227" s="61"/>
      <c r="R227" s="10"/>
      <c r="S227" s="62"/>
    </row>
    <row r="228" spans="2:19" x14ac:dyDescent="0.25">
      <c r="F228" s="74">
        <f t="shared" si="67"/>
        <v>84</v>
      </c>
      <c r="G228" s="72">
        <f t="shared" si="67"/>
        <v>20.74</v>
      </c>
      <c r="H228" s="41"/>
      <c r="L228" s="63"/>
      <c r="M228" s="58"/>
      <c r="N228" s="59"/>
      <c r="O228" s="60"/>
      <c r="P228" s="10"/>
      <c r="Q228" s="61"/>
      <c r="R228" s="10"/>
      <c r="S228" s="62"/>
    </row>
    <row r="229" spans="2:19" x14ac:dyDescent="0.25">
      <c r="F229" s="74">
        <f t="shared" si="67"/>
        <v>86</v>
      </c>
      <c r="G229" s="72">
        <f t="shared" si="67"/>
        <v>23.74</v>
      </c>
      <c r="H229" s="41"/>
      <c r="L229" s="63"/>
      <c r="M229" s="58"/>
      <c r="N229" s="59"/>
      <c r="O229" s="60"/>
      <c r="P229" s="10"/>
      <c r="Q229" s="61"/>
      <c r="R229" s="10"/>
      <c r="S229" s="62"/>
    </row>
    <row r="230" spans="2:19" x14ac:dyDescent="0.25">
      <c r="F230" s="74">
        <f t="shared" si="67"/>
        <v>88</v>
      </c>
      <c r="G230" s="72">
        <f t="shared" si="67"/>
        <v>26.74</v>
      </c>
      <c r="H230" s="41"/>
      <c r="L230" s="63"/>
      <c r="M230" s="58"/>
      <c r="N230" s="59"/>
      <c r="O230" s="60"/>
      <c r="P230" s="10"/>
      <c r="Q230" s="61"/>
      <c r="R230" s="10"/>
      <c r="S230" s="62"/>
    </row>
    <row r="231" spans="2:19" x14ac:dyDescent="0.25">
      <c r="F231" s="75">
        <f t="shared" si="67"/>
        <v>90</v>
      </c>
      <c r="G231" s="73">
        <f t="shared" si="67"/>
        <v>29.74</v>
      </c>
      <c r="H231" s="27">
        <f>H226</f>
        <v>5</v>
      </c>
      <c r="L231" s="63"/>
      <c r="M231" s="58"/>
      <c r="N231" s="59"/>
      <c r="O231" s="60"/>
      <c r="P231" s="10"/>
      <c r="Q231" s="61"/>
      <c r="R231" s="10"/>
      <c r="S231" s="62"/>
    </row>
    <row r="232" spans="2:19" x14ac:dyDescent="0.25">
      <c r="B232" s="1">
        <f>B227</f>
        <v>11</v>
      </c>
      <c r="C232" s="25">
        <f>C227</f>
        <v>213.85999999999999</v>
      </c>
      <c r="D232" s="1">
        <f>D198</f>
        <v>10</v>
      </c>
      <c r="E232" s="1">
        <f>E198</f>
        <v>6.1</v>
      </c>
      <c r="F232" s="1">
        <f>F198</f>
        <v>82</v>
      </c>
      <c r="G232" s="1">
        <f>G198</f>
        <v>17.739999999999998</v>
      </c>
      <c r="H232" s="70"/>
      <c r="L232" s="63"/>
      <c r="M232" s="58"/>
      <c r="N232" s="59"/>
      <c r="O232" s="60"/>
      <c r="P232" s="10"/>
      <c r="Q232" s="61"/>
      <c r="R232" s="10"/>
      <c r="S232" s="62"/>
    </row>
    <row r="233" spans="2:19" x14ac:dyDescent="0.25">
      <c r="F233" s="1">
        <f t="shared" ref="F233:G233" si="68">F199</f>
        <v>84</v>
      </c>
      <c r="G233" s="1">
        <f t="shared" si="68"/>
        <v>20.74</v>
      </c>
      <c r="H233" s="70"/>
      <c r="L233" s="63"/>
      <c r="M233" s="58"/>
      <c r="N233" s="59"/>
      <c r="O233" s="60"/>
      <c r="P233" s="10"/>
      <c r="Q233" s="61"/>
      <c r="R233" s="10"/>
      <c r="S233" s="62"/>
    </row>
    <row r="234" spans="2:19" x14ac:dyDescent="0.25">
      <c r="F234" s="1">
        <f t="shared" ref="F234:G234" si="69">F200</f>
        <v>86</v>
      </c>
      <c r="G234" s="1">
        <f t="shared" si="69"/>
        <v>23.74</v>
      </c>
      <c r="H234" s="70"/>
      <c r="L234" s="63"/>
      <c r="M234" s="58"/>
      <c r="N234" s="59"/>
      <c r="O234" s="60"/>
      <c r="P234" s="10"/>
      <c r="Q234" s="61"/>
      <c r="R234" s="10"/>
      <c r="S234" s="62"/>
    </row>
    <row r="235" spans="2:19" x14ac:dyDescent="0.25">
      <c r="F235" s="1">
        <f t="shared" ref="F235:G235" si="70">F201</f>
        <v>88</v>
      </c>
      <c r="G235" s="1">
        <f t="shared" si="70"/>
        <v>26.74</v>
      </c>
      <c r="H235" s="70"/>
      <c r="L235" s="63"/>
      <c r="M235" s="58"/>
      <c r="N235" s="59"/>
      <c r="O235" s="60"/>
      <c r="P235" s="10"/>
      <c r="Q235" s="61"/>
      <c r="R235" s="10"/>
      <c r="S235" s="62"/>
    </row>
    <row r="236" spans="2:19" x14ac:dyDescent="0.25">
      <c r="F236" s="1">
        <f t="shared" ref="F236:G236" si="71">F202</f>
        <v>90</v>
      </c>
      <c r="G236" s="1">
        <f t="shared" si="71"/>
        <v>29.74</v>
      </c>
      <c r="H236" s="27">
        <f>H231</f>
        <v>5</v>
      </c>
      <c r="L236" s="63"/>
      <c r="M236" s="58"/>
      <c r="N236" s="59"/>
      <c r="O236" s="60"/>
      <c r="P236" s="10"/>
      <c r="Q236" s="61"/>
      <c r="R236" s="10"/>
      <c r="S236" s="62"/>
    </row>
    <row r="237" spans="2:19" x14ac:dyDescent="0.25">
      <c r="B237" s="1">
        <f>B220</f>
        <v>11</v>
      </c>
      <c r="C237" s="25">
        <f>C220</f>
        <v>213.85999999999999</v>
      </c>
      <c r="D237" s="1">
        <f>D73</f>
        <v>2</v>
      </c>
      <c r="E237" s="1">
        <f>-E220</f>
        <v>-1.22</v>
      </c>
      <c r="F237" s="1">
        <f t="shared" ref="F237:G248" si="72">F220</f>
        <v>2</v>
      </c>
      <c r="G237" s="25">
        <f t="shared" si="72"/>
        <v>3.06</v>
      </c>
      <c r="H237" s="41"/>
      <c r="L237" s="63"/>
      <c r="M237" s="58"/>
      <c r="N237" s="59"/>
      <c r="O237" s="60"/>
      <c r="P237" s="10"/>
      <c r="Q237" s="61"/>
      <c r="R237" s="10"/>
      <c r="S237" s="62"/>
    </row>
    <row r="238" spans="2:19" x14ac:dyDescent="0.25">
      <c r="F238" s="1">
        <f t="shared" si="72"/>
        <v>4</v>
      </c>
      <c r="G238" s="25">
        <f t="shared" si="72"/>
        <v>6.0600000000000005</v>
      </c>
      <c r="H238" s="10"/>
      <c r="L238" s="63"/>
      <c r="M238" s="58"/>
      <c r="N238" s="59"/>
      <c r="O238" s="60"/>
      <c r="P238" s="10"/>
      <c r="Q238" s="61"/>
      <c r="R238" s="10"/>
      <c r="S238" s="62"/>
    </row>
    <row r="239" spans="2:19" x14ac:dyDescent="0.25">
      <c r="F239" s="1">
        <f t="shared" si="72"/>
        <v>82</v>
      </c>
      <c r="G239" s="25">
        <f t="shared" si="72"/>
        <v>17.739999999999998</v>
      </c>
      <c r="H239" s="10"/>
      <c r="L239" s="63"/>
      <c r="M239" s="58"/>
      <c r="N239" s="59"/>
      <c r="O239" s="60"/>
      <c r="P239" s="10"/>
      <c r="Q239" s="61"/>
      <c r="R239" s="10"/>
      <c r="S239" s="62"/>
    </row>
    <row r="240" spans="2:19" x14ac:dyDescent="0.25">
      <c r="E240" t="s">
        <v>142</v>
      </c>
      <c r="F240" s="1">
        <f t="shared" si="72"/>
        <v>84</v>
      </c>
      <c r="G240" s="25">
        <f t="shared" si="72"/>
        <v>20.74</v>
      </c>
      <c r="H240" s="10"/>
      <c r="L240" s="63"/>
      <c r="M240" s="58"/>
      <c r="N240" s="59"/>
      <c r="O240" s="60"/>
      <c r="P240" s="10"/>
      <c r="Q240" s="61"/>
      <c r="R240" s="10"/>
      <c r="S240" s="62"/>
    </row>
    <row r="241" spans="2:19" x14ac:dyDescent="0.25">
      <c r="F241" s="1">
        <f t="shared" si="72"/>
        <v>86</v>
      </c>
      <c r="G241" s="25">
        <f t="shared" si="72"/>
        <v>23.74</v>
      </c>
      <c r="H241" s="10"/>
      <c r="L241" s="63"/>
      <c r="M241" s="58"/>
      <c r="N241" s="59"/>
      <c r="O241" s="60"/>
      <c r="P241" s="10"/>
      <c r="Q241" s="61"/>
      <c r="R241" s="10"/>
      <c r="S241" s="62"/>
    </row>
    <row r="242" spans="2:19" x14ac:dyDescent="0.25">
      <c r="F242" s="1">
        <f t="shared" si="72"/>
        <v>88</v>
      </c>
      <c r="G242" s="25">
        <f t="shared" si="72"/>
        <v>26.74</v>
      </c>
      <c r="H242" s="10"/>
      <c r="L242" s="63"/>
      <c r="M242" s="58"/>
      <c r="N242" s="59"/>
      <c r="O242" s="60"/>
      <c r="P242" s="10"/>
      <c r="Q242" s="61"/>
      <c r="R242" s="10"/>
      <c r="S242" s="62"/>
    </row>
    <row r="243" spans="2:19" x14ac:dyDescent="0.25">
      <c r="F243" s="31">
        <f t="shared" si="72"/>
        <v>90</v>
      </c>
      <c r="G243" s="32">
        <f t="shared" si="72"/>
        <v>29.74</v>
      </c>
      <c r="H243" s="27">
        <f>H226</f>
        <v>5</v>
      </c>
      <c r="L243" s="63"/>
      <c r="M243" s="58"/>
      <c r="N243" s="59"/>
      <c r="O243" s="60"/>
      <c r="P243" s="10"/>
      <c r="Q243" s="61"/>
      <c r="R243" s="10"/>
      <c r="S243" s="62"/>
    </row>
    <row r="244" spans="2:19" x14ac:dyDescent="0.25">
      <c r="B244" s="1">
        <f>B227</f>
        <v>11</v>
      </c>
      <c r="C244" s="25">
        <f>C227</f>
        <v>213.85999999999999</v>
      </c>
      <c r="D244" s="1">
        <f>D78</f>
        <v>4</v>
      </c>
      <c r="E244" s="1">
        <f>-E227</f>
        <v>-3.66</v>
      </c>
      <c r="F244" s="1">
        <f t="shared" si="72"/>
        <v>82</v>
      </c>
      <c r="G244" s="1">
        <f t="shared" si="72"/>
        <v>17.739999999999998</v>
      </c>
      <c r="H244" s="70"/>
      <c r="L244" s="63"/>
      <c r="M244" s="58"/>
      <c r="N244" s="59"/>
      <c r="O244" s="60"/>
      <c r="P244" s="10"/>
      <c r="Q244" s="61"/>
      <c r="R244" s="10"/>
      <c r="S244" s="62"/>
    </row>
    <row r="245" spans="2:19" x14ac:dyDescent="0.25">
      <c r="F245" s="1">
        <f t="shared" si="72"/>
        <v>84</v>
      </c>
      <c r="G245" s="1">
        <f t="shared" si="72"/>
        <v>20.74</v>
      </c>
      <c r="H245" s="76"/>
      <c r="L245" s="63"/>
      <c r="M245" s="58"/>
      <c r="N245" s="59"/>
      <c r="O245" s="60"/>
      <c r="P245" s="10"/>
      <c r="Q245" s="61"/>
      <c r="R245" s="10"/>
      <c r="S245" s="62"/>
    </row>
    <row r="246" spans="2:19" x14ac:dyDescent="0.25">
      <c r="F246" s="1">
        <f t="shared" si="72"/>
        <v>86</v>
      </c>
      <c r="G246" s="1">
        <f t="shared" si="72"/>
        <v>23.74</v>
      </c>
      <c r="H246" s="76"/>
      <c r="L246" s="63"/>
      <c r="M246" s="58"/>
      <c r="N246" s="59"/>
      <c r="O246" s="60"/>
      <c r="P246" s="10"/>
      <c r="Q246" s="61"/>
      <c r="R246" s="10"/>
      <c r="S246" s="62"/>
    </row>
    <row r="247" spans="2:19" x14ac:dyDescent="0.25">
      <c r="F247" s="1">
        <f t="shared" si="72"/>
        <v>88</v>
      </c>
      <c r="G247" s="1">
        <f t="shared" si="72"/>
        <v>26.74</v>
      </c>
      <c r="H247" s="76"/>
      <c r="L247" s="63"/>
      <c r="M247" s="58"/>
      <c r="N247" s="59"/>
      <c r="O247" s="60"/>
      <c r="P247" s="10"/>
      <c r="Q247" s="61"/>
      <c r="R247" s="10"/>
      <c r="S247" s="62"/>
    </row>
    <row r="248" spans="2:19" x14ac:dyDescent="0.25">
      <c r="B248" s="10"/>
      <c r="C248" s="10"/>
      <c r="D248" s="10"/>
      <c r="E248" s="10"/>
      <c r="F248" s="31">
        <f t="shared" si="72"/>
        <v>90</v>
      </c>
      <c r="G248" s="31">
        <f t="shared" si="72"/>
        <v>29.74</v>
      </c>
      <c r="H248" s="1">
        <f>H231</f>
        <v>5</v>
      </c>
      <c r="L248" s="63"/>
      <c r="M248" s="58"/>
      <c r="N248" s="59"/>
      <c r="O248" s="60"/>
      <c r="P248" s="10"/>
      <c r="Q248" s="61"/>
      <c r="R248" s="10"/>
      <c r="S248" s="62"/>
    </row>
    <row r="249" spans="2:19" x14ac:dyDescent="0.25">
      <c r="B249" s="1">
        <f>B244</f>
        <v>11</v>
      </c>
      <c r="C249" s="25">
        <f>C244</f>
        <v>213.85999999999999</v>
      </c>
      <c r="D249" s="1">
        <f>D215</f>
        <v>11</v>
      </c>
      <c r="E249" s="1">
        <f>E215</f>
        <v>-6.1</v>
      </c>
      <c r="F249" s="1">
        <f>F215</f>
        <v>82</v>
      </c>
      <c r="G249" s="1">
        <f>G215</f>
        <v>17.739999999999998</v>
      </c>
      <c r="H249" s="40"/>
      <c r="L249" s="63"/>
      <c r="M249" s="58"/>
      <c r="N249" s="59"/>
      <c r="O249" s="60"/>
      <c r="P249" s="10"/>
      <c r="Q249" s="61"/>
      <c r="R249" s="10"/>
      <c r="S249" s="62"/>
    </row>
    <row r="250" spans="2:19" x14ac:dyDescent="0.25">
      <c r="B250" s="10"/>
      <c r="C250" s="10"/>
      <c r="D250" s="10"/>
      <c r="E250" s="10"/>
      <c r="F250" s="1">
        <f t="shared" ref="F250:G250" si="73">F216</f>
        <v>84</v>
      </c>
      <c r="G250" s="1">
        <f t="shared" si="73"/>
        <v>20.74</v>
      </c>
      <c r="H250" s="40"/>
      <c r="L250" s="63"/>
      <c r="M250" s="58"/>
      <c r="N250" s="59"/>
      <c r="O250" s="60"/>
      <c r="P250" s="10"/>
      <c r="Q250" s="61"/>
      <c r="R250" s="10"/>
      <c r="S250" s="62"/>
    </row>
    <row r="251" spans="2:19" x14ac:dyDescent="0.25">
      <c r="B251" s="10"/>
      <c r="C251" s="10"/>
      <c r="D251" s="10"/>
      <c r="E251" s="10"/>
      <c r="F251" s="1">
        <f t="shared" ref="F251:G251" si="74">F217</f>
        <v>86</v>
      </c>
      <c r="G251" s="1">
        <f t="shared" si="74"/>
        <v>23.74</v>
      </c>
      <c r="H251" s="40"/>
      <c r="L251" s="63"/>
      <c r="M251" s="58"/>
      <c r="N251" s="59"/>
      <c r="O251" s="60"/>
      <c r="P251" s="10"/>
      <c r="Q251" s="61"/>
      <c r="R251" s="10"/>
      <c r="S251" s="62"/>
    </row>
    <row r="252" spans="2:19" x14ac:dyDescent="0.25">
      <c r="B252" s="10"/>
      <c r="C252" s="10"/>
      <c r="D252" s="10"/>
      <c r="E252" s="10"/>
      <c r="F252" s="1">
        <f t="shared" ref="F252:G252" si="75">F218</f>
        <v>88</v>
      </c>
      <c r="G252" s="1">
        <f t="shared" si="75"/>
        <v>26.74</v>
      </c>
      <c r="H252" s="40"/>
      <c r="L252" s="63"/>
      <c r="M252" s="58"/>
      <c r="N252" s="59"/>
      <c r="O252" s="60"/>
      <c r="P252" s="10"/>
      <c r="Q252" s="61"/>
      <c r="R252" s="10"/>
      <c r="S252" s="62"/>
    </row>
    <row r="253" spans="2:19" ht="15.75" thickBot="1" x14ac:dyDescent="0.3">
      <c r="B253" s="79"/>
      <c r="C253" s="79"/>
      <c r="D253" s="79"/>
      <c r="E253" s="79"/>
      <c r="F253" s="80">
        <f t="shared" ref="F253:G253" si="76">F219</f>
        <v>90</v>
      </c>
      <c r="G253" s="80">
        <f t="shared" si="76"/>
        <v>29.74</v>
      </c>
      <c r="H253" s="1">
        <f>H248</f>
        <v>5</v>
      </c>
      <c r="L253" s="63"/>
      <c r="M253" s="58"/>
      <c r="N253" s="59"/>
      <c r="O253" s="60"/>
      <c r="P253" s="10"/>
      <c r="Q253" s="61"/>
      <c r="R253" s="10"/>
      <c r="S253" s="62"/>
    </row>
    <row r="254" spans="2:19" x14ac:dyDescent="0.25">
      <c r="B254" s="71">
        <f>2*I62-1</f>
        <v>9</v>
      </c>
      <c r="C254" s="78">
        <f>C$118+('Variables auxiliares'!F$9-I62)*Datos!J$5</f>
        <v>219.92</v>
      </c>
      <c r="D254" s="71">
        <f>D58</f>
        <v>1</v>
      </c>
      <c r="E254" s="71">
        <f>E186</f>
        <v>1.22</v>
      </c>
      <c r="F254" s="71">
        <f>I76*2</f>
        <v>2</v>
      </c>
      <c r="G254" s="69">
        <f>'Variables auxiliares'!M8+(Datos!J8/2)</f>
        <v>3.06</v>
      </c>
      <c r="H254" s="99"/>
      <c r="L254" s="63"/>
      <c r="M254" s="58"/>
      <c r="N254" s="59"/>
      <c r="O254" s="60"/>
      <c r="P254" s="10"/>
      <c r="Q254" s="61"/>
      <c r="R254" s="10"/>
      <c r="S254" s="62"/>
    </row>
    <row r="255" spans="2:19" x14ac:dyDescent="0.25">
      <c r="B255" s="50"/>
      <c r="C255" s="50"/>
      <c r="D255" s="50"/>
      <c r="E255" s="50"/>
      <c r="F255" s="74">
        <f>I77*2</f>
        <v>4</v>
      </c>
      <c r="G255" s="77">
        <f>G254+I76*Datos!J8</f>
        <v>6.0600000000000005</v>
      </c>
      <c r="H255" s="50"/>
      <c r="L255" s="63"/>
      <c r="M255" s="58"/>
      <c r="N255" s="59"/>
      <c r="O255" s="60"/>
      <c r="P255" s="10"/>
      <c r="Q255" s="61"/>
      <c r="R255" s="10"/>
      <c r="S255" s="62"/>
    </row>
    <row r="256" spans="2:19" x14ac:dyDescent="0.25">
      <c r="B256" s="50"/>
      <c r="C256" s="50"/>
      <c r="D256" s="50"/>
      <c r="E256" s="50"/>
      <c r="F256" s="74">
        <f>80+I79*2</f>
        <v>82</v>
      </c>
      <c r="G256" s="77">
        <f>G244</f>
        <v>17.739999999999998</v>
      </c>
      <c r="H256" s="100"/>
      <c r="L256" s="63"/>
      <c r="M256" s="58"/>
      <c r="N256" s="59"/>
      <c r="O256" s="60"/>
      <c r="P256" s="10"/>
      <c r="Q256" s="61"/>
      <c r="R256" s="10"/>
      <c r="S256" s="62"/>
    </row>
    <row r="257" spans="2:19" x14ac:dyDescent="0.25">
      <c r="B257" s="50"/>
      <c r="C257" s="50"/>
      <c r="D257" s="50"/>
      <c r="E257" s="50" t="s">
        <v>141</v>
      </c>
      <c r="F257" s="74">
        <f>80+I80*2</f>
        <v>84</v>
      </c>
      <c r="G257" s="77">
        <f>G245</f>
        <v>20.74</v>
      </c>
      <c r="H257" s="100"/>
      <c r="L257" s="63"/>
      <c r="M257" s="58"/>
      <c r="N257" s="59"/>
      <c r="O257" s="60"/>
      <c r="P257" s="10"/>
      <c r="Q257" s="61"/>
      <c r="R257" s="10"/>
      <c r="S257" s="62"/>
    </row>
    <row r="258" spans="2:19" x14ac:dyDescent="0.25">
      <c r="B258" s="50"/>
      <c r="C258" s="50"/>
      <c r="D258" s="50"/>
      <c r="E258" s="50"/>
      <c r="F258" s="74">
        <f>80+I81*2</f>
        <v>86</v>
      </c>
      <c r="G258" s="77">
        <f>G246</f>
        <v>23.74</v>
      </c>
      <c r="H258" s="50"/>
      <c r="I258" s="6"/>
      <c r="L258" s="63"/>
      <c r="M258" s="58"/>
      <c r="N258" s="59"/>
      <c r="O258" s="60"/>
      <c r="P258" s="10"/>
      <c r="Q258" s="61"/>
      <c r="R258" s="10"/>
      <c r="S258" s="62"/>
    </row>
    <row r="259" spans="2:19" x14ac:dyDescent="0.25">
      <c r="B259" s="50"/>
      <c r="C259" s="50"/>
      <c r="D259" s="50"/>
      <c r="E259" s="50"/>
      <c r="F259" s="74">
        <f>80+I82*2</f>
        <v>88</v>
      </c>
      <c r="G259" s="77">
        <f>G$58+(H259-1)*Datos!J$8</f>
        <v>29.74</v>
      </c>
      <c r="H259" s="101">
        <f>INT(((3*Datos!C$6-'slots sin grua'!C254)*TAN('Variables auxiliares'!C$40)-Datos!C$8+'Variables auxiliares'!F$54)/Datos!J$8)</f>
        <v>5</v>
      </c>
      <c r="I259" s="6"/>
      <c r="L259" s="63"/>
      <c r="M259" s="58"/>
      <c r="N259" s="59"/>
      <c r="O259" s="60"/>
      <c r="P259" s="10"/>
      <c r="Q259" s="61"/>
      <c r="R259" s="10"/>
      <c r="S259" s="62"/>
    </row>
    <row r="260" spans="2:19" x14ac:dyDescent="0.25">
      <c r="B260" s="74">
        <f>B254</f>
        <v>9</v>
      </c>
      <c r="C260" s="77">
        <f>C254</f>
        <v>219.92</v>
      </c>
      <c r="D260" s="74">
        <f>D63</f>
        <v>3</v>
      </c>
      <c r="E260" s="68">
        <f>E193</f>
        <v>3.66</v>
      </c>
      <c r="F260" s="74">
        <f t="shared" ref="F260:G263" si="77">F256</f>
        <v>82</v>
      </c>
      <c r="G260" s="72">
        <f t="shared" si="77"/>
        <v>17.739999999999998</v>
      </c>
      <c r="H260" s="99"/>
      <c r="I260" s="6"/>
      <c r="L260" s="63"/>
      <c r="M260" s="58"/>
      <c r="N260" s="59"/>
      <c r="O260" s="60"/>
      <c r="P260" s="10"/>
      <c r="Q260" s="61"/>
      <c r="R260" s="10"/>
      <c r="S260" s="62"/>
    </row>
    <row r="261" spans="2:19" x14ac:dyDescent="0.25">
      <c r="B261" s="50"/>
      <c r="C261" s="50"/>
      <c r="D261" s="50"/>
      <c r="E261" s="50"/>
      <c r="F261" s="74">
        <f t="shared" si="77"/>
        <v>84</v>
      </c>
      <c r="G261" s="72">
        <f t="shared" si="77"/>
        <v>20.74</v>
      </c>
      <c r="H261" s="99"/>
      <c r="I261" s="6"/>
      <c r="L261" s="63"/>
      <c r="M261" s="58"/>
      <c r="N261" s="59"/>
      <c r="O261" s="60"/>
      <c r="P261" s="10"/>
      <c r="Q261" s="61"/>
      <c r="R261" s="10"/>
      <c r="S261" s="62"/>
    </row>
    <row r="262" spans="2:19" x14ac:dyDescent="0.25">
      <c r="B262" s="50"/>
      <c r="C262" s="50"/>
      <c r="D262" s="50"/>
      <c r="E262" s="50"/>
      <c r="F262" s="74">
        <f t="shared" si="77"/>
        <v>86</v>
      </c>
      <c r="G262" s="72">
        <f t="shared" si="77"/>
        <v>23.74</v>
      </c>
      <c r="H262" s="99"/>
      <c r="I262" s="6"/>
      <c r="L262" s="63"/>
      <c r="M262" s="58"/>
      <c r="N262" s="59"/>
      <c r="O262" s="60"/>
      <c r="P262" s="10"/>
      <c r="Q262" s="61"/>
      <c r="R262" s="10"/>
      <c r="S262" s="62"/>
    </row>
    <row r="263" spans="2:19" x14ac:dyDescent="0.25">
      <c r="B263" s="100"/>
      <c r="C263" s="100"/>
      <c r="D263" s="50"/>
      <c r="E263" s="50"/>
      <c r="F263" s="75">
        <f t="shared" si="77"/>
        <v>88</v>
      </c>
      <c r="G263" s="73">
        <f t="shared" si="77"/>
        <v>29.74</v>
      </c>
      <c r="H263" s="101">
        <f>H259</f>
        <v>5</v>
      </c>
      <c r="I263" s="6"/>
      <c r="L263" s="63"/>
      <c r="M263" s="58"/>
      <c r="N263" s="59"/>
      <c r="O263" s="60"/>
      <c r="P263" s="10"/>
      <c r="Q263" s="61"/>
      <c r="R263" s="10"/>
      <c r="S263" s="62"/>
    </row>
    <row r="264" spans="2:19" x14ac:dyDescent="0.25">
      <c r="B264" s="74">
        <f>B260</f>
        <v>9</v>
      </c>
      <c r="C264" s="77">
        <f>C260</f>
        <v>219.92</v>
      </c>
      <c r="D264" s="74">
        <f>D232</f>
        <v>10</v>
      </c>
      <c r="E264" s="74">
        <f t="shared" ref="E264:G264" si="78">E232</f>
        <v>6.1</v>
      </c>
      <c r="F264" s="74">
        <f t="shared" si="78"/>
        <v>82</v>
      </c>
      <c r="G264" s="74">
        <f t="shared" si="78"/>
        <v>17.739999999999998</v>
      </c>
      <c r="H264" s="102"/>
      <c r="I264" s="6"/>
      <c r="L264" s="63"/>
      <c r="M264" s="58"/>
      <c r="N264" s="59"/>
      <c r="O264" s="60"/>
      <c r="P264" s="10"/>
      <c r="Q264" s="61"/>
      <c r="R264" s="10"/>
      <c r="S264" s="62"/>
    </row>
    <row r="265" spans="2:19" x14ac:dyDescent="0.25">
      <c r="B265" s="50"/>
      <c r="C265" s="50"/>
      <c r="D265" s="50"/>
      <c r="E265" s="50"/>
      <c r="F265" s="71">
        <f t="shared" ref="F265:G265" si="79">F233</f>
        <v>84</v>
      </c>
      <c r="G265" s="71">
        <f t="shared" si="79"/>
        <v>20.74</v>
      </c>
      <c r="H265" s="102"/>
      <c r="I265" s="6"/>
      <c r="L265" s="63"/>
      <c r="M265" s="58"/>
      <c r="N265" s="59"/>
      <c r="O265" s="60"/>
      <c r="P265" s="10"/>
      <c r="Q265" s="61"/>
      <c r="R265" s="10"/>
      <c r="S265" s="62"/>
    </row>
    <row r="266" spans="2:19" x14ac:dyDescent="0.25">
      <c r="B266" s="50"/>
      <c r="C266" s="50"/>
      <c r="D266" s="50"/>
      <c r="E266" s="50"/>
      <c r="F266" s="74">
        <f t="shared" ref="F266:G266" si="80">F234</f>
        <v>86</v>
      </c>
      <c r="G266" s="74">
        <f t="shared" si="80"/>
        <v>23.74</v>
      </c>
      <c r="H266" s="102"/>
      <c r="I266" s="6"/>
      <c r="L266" s="63"/>
      <c r="M266" s="58"/>
      <c r="N266" s="59"/>
      <c r="O266" s="60"/>
      <c r="P266" s="10"/>
      <c r="Q266" s="61"/>
      <c r="R266" s="10"/>
      <c r="S266" s="62"/>
    </row>
    <row r="267" spans="2:19" x14ac:dyDescent="0.25">
      <c r="B267" s="50"/>
      <c r="C267" s="50"/>
      <c r="D267" s="50"/>
      <c r="E267" s="50"/>
      <c r="F267" s="74">
        <f t="shared" ref="F267:G267" si="81">F235</f>
        <v>88</v>
      </c>
      <c r="G267" s="74">
        <f t="shared" si="81"/>
        <v>26.74</v>
      </c>
      <c r="H267" s="101">
        <f>H263</f>
        <v>5</v>
      </c>
      <c r="I267" s="6"/>
      <c r="L267" s="63"/>
      <c r="M267" s="58"/>
      <c r="N267" s="59"/>
      <c r="O267" s="60"/>
      <c r="P267" s="10"/>
      <c r="Q267" s="61"/>
      <c r="R267" s="10"/>
      <c r="S267" s="62"/>
    </row>
    <row r="268" spans="2:19" x14ac:dyDescent="0.25">
      <c r="B268" s="74">
        <f>B254</f>
        <v>9</v>
      </c>
      <c r="C268" s="77">
        <f>C254</f>
        <v>219.92</v>
      </c>
      <c r="D268" s="74">
        <f>D73</f>
        <v>2</v>
      </c>
      <c r="E268" s="74">
        <f>-E254</f>
        <v>-1.22</v>
      </c>
      <c r="F268" s="74">
        <f t="shared" ref="F268:G277" si="82">F254</f>
        <v>2</v>
      </c>
      <c r="G268" s="77">
        <f t="shared" si="82"/>
        <v>3.06</v>
      </c>
      <c r="H268" s="50"/>
      <c r="I268" s="6"/>
      <c r="L268" s="63"/>
      <c r="M268" s="58"/>
      <c r="N268" s="59"/>
      <c r="O268" s="60"/>
      <c r="P268" s="10"/>
      <c r="Q268" s="61"/>
      <c r="R268" s="10"/>
      <c r="S268" s="62"/>
    </row>
    <row r="269" spans="2:19" x14ac:dyDescent="0.25">
      <c r="B269" s="50"/>
      <c r="C269" s="50"/>
      <c r="D269" s="50"/>
      <c r="E269" s="50"/>
      <c r="F269" s="74">
        <f t="shared" si="82"/>
        <v>4</v>
      </c>
      <c r="G269" s="77">
        <f t="shared" si="82"/>
        <v>6.0600000000000005</v>
      </c>
      <c r="H269" s="100"/>
      <c r="I269" s="6"/>
      <c r="L269" s="63"/>
      <c r="M269" s="58"/>
      <c r="N269" s="59"/>
      <c r="O269" s="60"/>
      <c r="P269" s="10"/>
      <c r="Q269" s="61"/>
      <c r="R269" s="10"/>
      <c r="S269" s="62"/>
    </row>
    <row r="270" spans="2:19" x14ac:dyDescent="0.25">
      <c r="B270" s="50"/>
      <c r="C270" s="50"/>
      <c r="D270" s="50"/>
      <c r="E270" s="50"/>
      <c r="F270" s="74">
        <f t="shared" si="82"/>
        <v>82</v>
      </c>
      <c r="G270" s="77">
        <f t="shared" si="82"/>
        <v>17.739999999999998</v>
      </c>
      <c r="H270" s="100"/>
      <c r="I270" s="6"/>
      <c r="L270" s="63"/>
      <c r="M270" s="58"/>
      <c r="N270" s="59"/>
      <c r="O270" s="60"/>
      <c r="P270" s="10"/>
      <c r="Q270" s="61"/>
      <c r="R270" s="10"/>
      <c r="S270" s="62"/>
    </row>
    <row r="271" spans="2:19" x14ac:dyDescent="0.25">
      <c r="B271" s="50"/>
      <c r="C271" s="50"/>
      <c r="D271" s="50"/>
      <c r="E271" s="50" t="s">
        <v>142</v>
      </c>
      <c r="F271" s="74">
        <f t="shared" si="82"/>
        <v>84</v>
      </c>
      <c r="G271" s="77">
        <f t="shared" si="82"/>
        <v>20.74</v>
      </c>
      <c r="H271" s="100"/>
      <c r="I271" s="6"/>
      <c r="L271" s="63"/>
      <c r="M271" s="58"/>
      <c r="N271" s="59"/>
      <c r="O271" s="60"/>
      <c r="P271" s="10"/>
      <c r="Q271" s="61"/>
      <c r="R271" s="10"/>
      <c r="S271" s="62"/>
    </row>
    <row r="272" spans="2:19" x14ac:dyDescent="0.25">
      <c r="B272" s="50"/>
      <c r="C272" s="50"/>
      <c r="D272" s="50"/>
      <c r="E272" s="50"/>
      <c r="F272" s="74">
        <f t="shared" si="82"/>
        <v>86</v>
      </c>
      <c r="G272" s="77">
        <f t="shared" si="82"/>
        <v>23.74</v>
      </c>
      <c r="H272" s="100"/>
      <c r="I272" s="6"/>
      <c r="L272" s="63"/>
      <c r="M272" s="58"/>
      <c r="N272" s="59"/>
      <c r="O272" s="60"/>
      <c r="P272" s="10"/>
      <c r="Q272" s="61"/>
      <c r="R272" s="10"/>
      <c r="S272" s="62"/>
    </row>
    <row r="273" spans="2:19" x14ac:dyDescent="0.25">
      <c r="B273" s="50"/>
      <c r="C273" s="50"/>
      <c r="D273" s="50"/>
      <c r="E273" s="50"/>
      <c r="F273" s="75">
        <f t="shared" si="82"/>
        <v>88</v>
      </c>
      <c r="G273" s="81">
        <f t="shared" si="82"/>
        <v>29.74</v>
      </c>
      <c r="H273" s="101">
        <f>H259</f>
        <v>5</v>
      </c>
      <c r="I273" s="6"/>
      <c r="L273" s="63"/>
      <c r="M273" s="58"/>
      <c r="N273" s="59"/>
      <c r="O273" s="60"/>
      <c r="P273" s="10"/>
      <c r="Q273" s="61"/>
      <c r="R273" s="10"/>
      <c r="S273" s="62"/>
    </row>
    <row r="274" spans="2:19" x14ac:dyDescent="0.25">
      <c r="B274" s="74">
        <f>B260</f>
        <v>9</v>
      </c>
      <c r="C274" s="77">
        <f>C260</f>
        <v>219.92</v>
      </c>
      <c r="D274" s="74">
        <f>D78</f>
        <v>4</v>
      </c>
      <c r="E274" s="74">
        <f>-E260</f>
        <v>-3.66</v>
      </c>
      <c r="F274" s="74">
        <f t="shared" si="82"/>
        <v>82</v>
      </c>
      <c r="G274" s="74">
        <f t="shared" si="82"/>
        <v>17.739999999999998</v>
      </c>
      <c r="H274" s="102"/>
      <c r="I274" s="6"/>
      <c r="L274" s="63"/>
      <c r="M274" s="58"/>
      <c r="N274" s="59"/>
      <c r="O274" s="60"/>
      <c r="P274" s="10"/>
      <c r="Q274" s="61"/>
      <c r="R274" s="10"/>
      <c r="S274" s="62"/>
    </row>
    <row r="275" spans="2:19" x14ac:dyDescent="0.25">
      <c r="B275" s="50"/>
      <c r="C275" s="50"/>
      <c r="D275" s="50"/>
      <c r="E275" s="50"/>
      <c r="F275" s="74">
        <f t="shared" si="82"/>
        <v>84</v>
      </c>
      <c r="G275" s="74">
        <f t="shared" si="82"/>
        <v>20.74</v>
      </c>
      <c r="H275" s="102"/>
      <c r="I275" s="6"/>
      <c r="L275" s="63"/>
      <c r="M275" s="58"/>
      <c r="N275" s="59"/>
      <c r="O275" s="60"/>
      <c r="P275" s="10"/>
      <c r="Q275" s="61"/>
      <c r="R275" s="10"/>
      <c r="S275" s="62"/>
    </row>
    <row r="276" spans="2:19" x14ac:dyDescent="0.25">
      <c r="B276" s="50"/>
      <c r="C276" s="50"/>
      <c r="D276" s="50"/>
      <c r="E276" s="50"/>
      <c r="F276" s="74">
        <f t="shared" si="82"/>
        <v>86</v>
      </c>
      <c r="G276" s="74">
        <f t="shared" si="82"/>
        <v>23.74</v>
      </c>
      <c r="H276" s="102"/>
      <c r="I276" s="6"/>
      <c r="L276" s="63"/>
      <c r="M276" s="58"/>
      <c r="N276" s="59"/>
      <c r="O276" s="60"/>
      <c r="P276" s="10"/>
      <c r="Q276" s="61"/>
      <c r="R276" s="10"/>
      <c r="S276" s="62"/>
    </row>
    <row r="277" spans="2:19" x14ac:dyDescent="0.25">
      <c r="B277" s="100"/>
      <c r="C277" s="100"/>
      <c r="D277" s="100"/>
      <c r="E277" s="100"/>
      <c r="F277" s="75">
        <f t="shared" si="82"/>
        <v>88</v>
      </c>
      <c r="G277" s="75">
        <f t="shared" si="82"/>
        <v>29.74</v>
      </c>
      <c r="H277" s="74">
        <f>H263</f>
        <v>5</v>
      </c>
      <c r="I277" s="6"/>
      <c r="L277" s="63"/>
      <c r="M277" s="58"/>
      <c r="N277" s="59"/>
      <c r="O277" s="60"/>
      <c r="P277" s="10"/>
      <c r="Q277" s="61"/>
      <c r="R277" s="10"/>
      <c r="S277" s="62"/>
    </row>
    <row r="278" spans="2:19" x14ac:dyDescent="0.25">
      <c r="B278" s="74">
        <f>B274</f>
        <v>9</v>
      </c>
      <c r="C278" s="77">
        <f>C274</f>
        <v>219.92</v>
      </c>
      <c r="D278" s="74">
        <f>D249</f>
        <v>11</v>
      </c>
      <c r="E278" s="74">
        <f>E249</f>
        <v>-6.1</v>
      </c>
      <c r="F278" s="74">
        <f>F249</f>
        <v>82</v>
      </c>
      <c r="G278" s="74">
        <f>G249</f>
        <v>17.739999999999998</v>
      </c>
      <c r="H278" s="116"/>
      <c r="I278" s="6"/>
      <c r="L278" s="63"/>
      <c r="M278" s="58"/>
      <c r="N278" s="59"/>
      <c r="O278" s="60"/>
      <c r="P278" s="10"/>
      <c r="Q278" s="61"/>
      <c r="R278" s="10"/>
      <c r="S278" s="62"/>
    </row>
    <row r="279" spans="2:19" x14ac:dyDescent="0.25">
      <c r="B279" s="100"/>
      <c r="C279" s="100"/>
      <c r="D279" s="100"/>
      <c r="E279" s="100"/>
      <c r="F279" s="74">
        <f t="shared" ref="F279:G279" si="83">F250</f>
        <v>84</v>
      </c>
      <c r="G279" s="74">
        <f t="shared" si="83"/>
        <v>20.74</v>
      </c>
      <c r="H279" s="116"/>
      <c r="I279" s="6"/>
      <c r="L279" s="63"/>
      <c r="M279" s="58"/>
      <c r="N279" s="59"/>
      <c r="O279" s="60"/>
      <c r="P279" s="10"/>
      <c r="Q279" s="61"/>
      <c r="R279" s="10"/>
      <c r="S279" s="62"/>
    </row>
    <row r="280" spans="2:19" x14ac:dyDescent="0.25">
      <c r="B280" s="100"/>
      <c r="C280" s="100"/>
      <c r="D280" s="100"/>
      <c r="E280" s="100"/>
      <c r="F280" s="74">
        <f t="shared" ref="F280:G280" si="84">F251</f>
        <v>86</v>
      </c>
      <c r="G280" s="74">
        <f t="shared" si="84"/>
        <v>23.74</v>
      </c>
      <c r="H280" s="116"/>
      <c r="I280" s="6"/>
      <c r="L280" s="63"/>
      <c r="M280" s="58"/>
      <c r="N280" s="59"/>
      <c r="O280" s="60"/>
      <c r="P280" s="10"/>
      <c r="Q280" s="61"/>
      <c r="R280" s="10"/>
      <c r="S280" s="62"/>
    </row>
    <row r="281" spans="2:19" ht="15.75" thickBot="1" x14ac:dyDescent="0.3">
      <c r="B281" s="103"/>
      <c r="C281" s="103"/>
      <c r="D281" s="103"/>
      <c r="E281" s="103"/>
      <c r="F281" s="104">
        <f t="shared" ref="F281:G281" si="85">F252</f>
        <v>88</v>
      </c>
      <c r="G281" s="104">
        <f t="shared" si="85"/>
        <v>26.74</v>
      </c>
      <c r="H281" s="74">
        <f>H277</f>
        <v>5</v>
      </c>
      <c r="I281" s="6"/>
      <c r="L281" s="63"/>
      <c r="M281" s="58"/>
      <c r="N281" s="59"/>
      <c r="O281" s="60"/>
      <c r="P281" s="10"/>
      <c r="Q281" s="61"/>
      <c r="R281" s="10"/>
      <c r="S281" s="62"/>
    </row>
    <row r="282" spans="2:19" x14ac:dyDescent="0.25">
      <c r="B282" s="71">
        <f>2*I61-1</f>
        <v>7</v>
      </c>
      <c r="C282" s="78">
        <f>C$118+('Variables auxiliares'!F$9-I61)*Datos!J$5</f>
        <v>225.98</v>
      </c>
      <c r="D282" s="71">
        <f>D58</f>
        <v>1</v>
      </c>
      <c r="E282" s="71">
        <f>E220</f>
        <v>1.22</v>
      </c>
      <c r="F282" s="108">
        <f>F268</f>
        <v>2</v>
      </c>
      <c r="G282" s="78">
        <f>G220</f>
        <v>3.06</v>
      </c>
      <c r="H282" s="50"/>
      <c r="I282" s="6"/>
      <c r="L282" s="63"/>
      <c r="M282" s="58"/>
      <c r="N282" s="59"/>
      <c r="O282" s="60"/>
      <c r="P282" s="10"/>
      <c r="Q282" s="61"/>
      <c r="R282" s="10"/>
      <c r="S282" s="62"/>
    </row>
    <row r="283" spans="2:19" x14ac:dyDescent="0.25">
      <c r="B283" s="50"/>
      <c r="C283" s="50"/>
      <c r="D283" s="50"/>
      <c r="E283" s="50"/>
      <c r="F283" s="74">
        <f>F221</f>
        <v>4</v>
      </c>
      <c r="G283" s="77">
        <f>G221</f>
        <v>6.0600000000000005</v>
      </c>
      <c r="H283" s="100"/>
      <c r="I283" s="6"/>
      <c r="L283" s="63"/>
      <c r="M283" s="58"/>
      <c r="N283" s="59"/>
      <c r="O283" s="60"/>
      <c r="P283" s="10"/>
      <c r="Q283" s="61"/>
      <c r="R283" s="10"/>
      <c r="S283" s="62"/>
    </row>
    <row r="284" spans="2:19" x14ac:dyDescent="0.25">
      <c r="B284" s="50"/>
      <c r="C284" s="50"/>
      <c r="D284" s="50"/>
      <c r="E284" s="50"/>
      <c r="F284" s="74">
        <f t="shared" ref="F284:G287" si="86">F260</f>
        <v>82</v>
      </c>
      <c r="G284" s="77">
        <f t="shared" si="86"/>
        <v>17.739999999999998</v>
      </c>
      <c r="H284" s="100"/>
      <c r="I284" s="6"/>
      <c r="L284" s="63"/>
      <c r="M284" s="58"/>
      <c r="N284" s="59"/>
      <c r="O284" s="60"/>
      <c r="P284" s="10"/>
      <c r="Q284" s="61"/>
      <c r="R284" s="10"/>
      <c r="S284" s="62"/>
    </row>
    <row r="285" spans="2:19" x14ac:dyDescent="0.25">
      <c r="B285" s="50"/>
      <c r="C285" s="50"/>
      <c r="D285" s="50"/>
      <c r="E285" s="50" t="s">
        <v>141</v>
      </c>
      <c r="F285" s="74">
        <f t="shared" si="86"/>
        <v>84</v>
      </c>
      <c r="G285" s="77">
        <f t="shared" si="86"/>
        <v>20.74</v>
      </c>
      <c r="H285" s="50"/>
      <c r="I285" s="6"/>
      <c r="L285" s="63"/>
      <c r="M285" s="58"/>
      <c r="N285" s="59"/>
      <c r="O285" s="60"/>
      <c r="P285" s="10"/>
      <c r="Q285" s="61"/>
      <c r="R285" s="10"/>
      <c r="S285" s="62"/>
    </row>
    <row r="286" spans="2:19" x14ac:dyDescent="0.25">
      <c r="B286" s="50"/>
      <c r="C286" s="50"/>
      <c r="D286" s="50"/>
      <c r="E286" s="50"/>
      <c r="F286" s="74">
        <f t="shared" si="86"/>
        <v>86</v>
      </c>
      <c r="G286" s="77">
        <f t="shared" si="86"/>
        <v>23.74</v>
      </c>
      <c r="H286" s="50"/>
      <c r="I286" s="6"/>
      <c r="L286" s="63"/>
      <c r="M286" s="58"/>
      <c r="N286" s="59"/>
      <c r="O286" s="60"/>
      <c r="P286" s="10"/>
      <c r="Q286" s="61"/>
      <c r="R286" s="10"/>
      <c r="S286" s="62"/>
    </row>
    <row r="287" spans="2:19" x14ac:dyDescent="0.25">
      <c r="B287" s="50"/>
      <c r="C287" s="50"/>
      <c r="D287" s="50"/>
      <c r="E287" s="50"/>
      <c r="F287" s="74">
        <f t="shared" si="86"/>
        <v>88</v>
      </c>
      <c r="G287" s="72">
        <f t="shared" si="86"/>
        <v>29.74</v>
      </c>
      <c r="H287" s="101">
        <f>INT(((3*Datos!C$6-'slots sin grua'!C282)*TAN('Variables auxiliares'!C$40)-Datos!C$8+'Variables auxiliares'!F$54)/Datos!J$8)</f>
        <v>5</v>
      </c>
      <c r="I287" s="6"/>
      <c r="L287" s="63"/>
      <c r="M287" s="58"/>
      <c r="N287" s="59"/>
      <c r="O287" s="60"/>
      <c r="P287" s="10"/>
      <c r="Q287" s="61"/>
      <c r="R287" s="10"/>
      <c r="S287" s="62"/>
    </row>
    <row r="288" spans="2:19" x14ac:dyDescent="0.25">
      <c r="B288" s="74">
        <f>B282</f>
        <v>7</v>
      </c>
      <c r="C288" s="77">
        <f>C282</f>
        <v>225.98</v>
      </c>
      <c r="D288" s="74">
        <f>D63</f>
        <v>3</v>
      </c>
      <c r="E288" s="74">
        <f>E227</f>
        <v>3.66</v>
      </c>
      <c r="F288" s="74">
        <f t="shared" ref="F288:G291" si="87">F284</f>
        <v>82</v>
      </c>
      <c r="G288" s="77">
        <f t="shared" si="87"/>
        <v>17.739999999999998</v>
      </c>
      <c r="H288" s="100"/>
      <c r="I288" s="6"/>
      <c r="L288" s="63"/>
      <c r="M288" s="58"/>
      <c r="N288" s="59"/>
      <c r="O288" s="60"/>
      <c r="P288" s="10"/>
      <c r="Q288" s="61"/>
      <c r="R288" s="10"/>
      <c r="S288" s="62"/>
    </row>
    <row r="289" spans="2:19" x14ac:dyDescent="0.25">
      <c r="B289" s="50"/>
      <c r="C289" s="50"/>
      <c r="D289" s="50"/>
      <c r="E289" s="50"/>
      <c r="F289" s="74">
        <f t="shared" si="87"/>
        <v>84</v>
      </c>
      <c r="G289" s="77">
        <f t="shared" si="87"/>
        <v>20.74</v>
      </c>
      <c r="H289" s="50"/>
      <c r="I289" s="6"/>
      <c r="L289" s="63"/>
      <c r="M289" s="58"/>
      <c r="N289" s="59"/>
      <c r="O289" s="60"/>
      <c r="P289" s="10"/>
      <c r="Q289" s="61"/>
      <c r="R289" s="10"/>
      <c r="S289" s="62"/>
    </row>
    <row r="290" spans="2:19" x14ac:dyDescent="0.25">
      <c r="B290" s="50"/>
      <c r="C290" s="50"/>
      <c r="D290" s="50"/>
      <c r="E290" s="50"/>
      <c r="F290" s="74">
        <f t="shared" si="87"/>
        <v>86</v>
      </c>
      <c r="G290" s="77">
        <f t="shared" si="87"/>
        <v>23.74</v>
      </c>
      <c r="H290" s="50"/>
      <c r="I290" s="6"/>
      <c r="L290" s="63"/>
      <c r="M290" s="58"/>
      <c r="N290" s="59"/>
      <c r="O290" s="60"/>
      <c r="P290" s="10"/>
      <c r="Q290" s="61"/>
      <c r="R290" s="10"/>
      <c r="S290" s="62"/>
    </row>
    <row r="291" spans="2:19" x14ac:dyDescent="0.25">
      <c r="B291" s="50"/>
      <c r="C291" s="50"/>
      <c r="D291" s="50"/>
      <c r="E291" s="50"/>
      <c r="F291" s="75">
        <f t="shared" si="87"/>
        <v>88</v>
      </c>
      <c r="G291" s="81">
        <f t="shared" si="87"/>
        <v>29.74</v>
      </c>
      <c r="H291" s="101">
        <f>H287</f>
        <v>5</v>
      </c>
      <c r="I291" s="6"/>
      <c r="L291" s="63"/>
      <c r="M291" s="58"/>
      <c r="N291" s="59"/>
      <c r="O291" s="60"/>
      <c r="P291" s="10"/>
      <c r="Q291" s="61"/>
      <c r="R291" s="10"/>
      <c r="S291" s="62"/>
    </row>
    <row r="292" spans="2:19" x14ac:dyDescent="0.25">
      <c r="B292" s="74">
        <f>B288</f>
        <v>7</v>
      </c>
      <c r="C292" s="77">
        <f>C288</f>
        <v>225.98</v>
      </c>
      <c r="D292" s="74">
        <f>D264</f>
        <v>10</v>
      </c>
      <c r="E292" s="74">
        <f t="shared" ref="E292:G292" si="88">E264</f>
        <v>6.1</v>
      </c>
      <c r="F292" s="74">
        <f t="shared" si="88"/>
        <v>82</v>
      </c>
      <c r="G292" s="74">
        <f t="shared" si="88"/>
        <v>17.739999999999998</v>
      </c>
      <c r="H292" s="102"/>
      <c r="I292" s="6"/>
      <c r="L292" s="63"/>
      <c r="M292" s="58"/>
      <c r="N292" s="59"/>
      <c r="O292" s="60"/>
      <c r="P292" s="10"/>
      <c r="Q292" s="61"/>
      <c r="R292" s="10"/>
      <c r="S292" s="62"/>
    </row>
    <row r="293" spans="2:19" x14ac:dyDescent="0.25">
      <c r="B293" s="50"/>
      <c r="C293" s="50"/>
      <c r="D293" s="50"/>
      <c r="E293" s="50"/>
      <c r="F293" s="74">
        <f t="shared" ref="F293:G293" si="89">F265</f>
        <v>84</v>
      </c>
      <c r="G293" s="74">
        <f t="shared" si="89"/>
        <v>20.74</v>
      </c>
      <c r="H293" s="102"/>
      <c r="I293" s="6"/>
      <c r="L293" s="63"/>
      <c r="M293" s="58"/>
      <c r="N293" s="59"/>
      <c r="O293" s="60"/>
      <c r="P293" s="10"/>
      <c r="Q293" s="61"/>
      <c r="R293" s="10"/>
      <c r="S293" s="62"/>
    </row>
    <row r="294" spans="2:19" x14ac:dyDescent="0.25">
      <c r="B294" s="50"/>
      <c r="C294" s="50"/>
      <c r="D294" s="50"/>
      <c r="E294" s="50"/>
      <c r="F294" s="74">
        <f t="shared" ref="F294:G294" si="90">F266</f>
        <v>86</v>
      </c>
      <c r="G294" s="74">
        <f t="shared" si="90"/>
        <v>23.74</v>
      </c>
      <c r="H294" s="102"/>
      <c r="I294" s="6"/>
      <c r="L294" s="63"/>
      <c r="M294" s="58"/>
      <c r="N294" s="59"/>
      <c r="O294" s="60"/>
      <c r="P294" s="10"/>
      <c r="Q294" s="61"/>
      <c r="R294" s="10"/>
      <c r="S294" s="62"/>
    </row>
    <row r="295" spans="2:19" x14ac:dyDescent="0.25">
      <c r="B295" s="50"/>
      <c r="C295" s="50"/>
      <c r="D295" s="50"/>
      <c r="E295" s="50"/>
      <c r="F295" s="74">
        <f t="shared" ref="F295:G295" si="91">F267</f>
        <v>88</v>
      </c>
      <c r="G295" s="74">
        <f t="shared" si="91"/>
        <v>26.74</v>
      </c>
      <c r="H295" s="101">
        <f>H291</f>
        <v>5</v>
      </c>
      <c r="I295" s="6"/>
      <c r="L295" s="63"/>
      <c r="M295" s="58"/>
      <c r="N295" s="59"/>
      <c r="O295" s="60"/>
      <c r="P295" s="10"/>
      <c r="Q295" s="61"/>
      <c r="R295" s="10"/>
      <c r="S295" s="62"/>
    </row>
    <row r="296" spans="2:19" x14ac:dyDescent="0.25">
      <c r="B296" s="74">
        <f>B282</f>
        <v>7</v>
      </c>
      <c r="C296" s="77">
        <f>C282</f>
        <v>225.98</v>
      </c>
      <c r="D296" s="74">
        <f>D73</f>
        <v>2</v>
      </c>
      <c r="E296" s="74">
        <f>-E282</f>
        <v>-1.22</v>
      </c>
      <c r="F296" s="1">
        <f t="shared" ref="F296:G305" si="92">F282</f>
        <v>2</v>
      </c>
      <c r="G296" s="77">
        <f t="shared" si="92"/>
        <v>3.06</v>
      </c>
      <c r="H296" s="50"/>
      <c r="I296" s="6"/>
      <c r="L296" s="63"/>
      <c r="M296" s="58"/>
      <c r="N296" s="59"/>
      <c r="O296" s="60"/>
      <c r="P296" s="10"/>
      <c r="Q296" s="61"/>
      <c r="R296" s="10"/>
      <c r="S296" s="62"/>
    </row>
    <row r="297" spans="2:19" x14ac:dyDescent="0.25">
      <c r="B297" s="50"/>
      <c r="C297" s="50"/>
      <c r="D297" s="50"/>
      <c r="E297" s="50"/>
      <c r="F297" s="74">
        <f t="shared" si="92"/>
        <v>4</v>
      </c>
      <c r="G297" s="77">
        <f t="shared" si="92"/>
        <v>6.0600000000000005</v>
      </c>
      <c r="H297" s="50"/>
      <c r="I297" s="6"/>
      <c r="L297" s="63"/>
      <c r="M297" s="58"/>
      <c r="N297" s="59"/>
      <c r="O297" s="60"/>
      <c r="P297" s="10"/>
      <c r="Q297" s="61"/>
      <c r="R297" s="10"/>
      <c r="S297" s="62"/>
    </row>
    <row r="298" spans="2:19" x14ac:dyDescent="0.25">
      <c r="B298" s="50"/>
      <c r="C298" s="50"/>
      <c r="D298" s="50"/>
      <c r="E298" s="50"/>
      <c r="F298" s="74">
        <f t="shared" si="92"/>
        <v>82</v>
      </c>
      <c r="G298" s="77">
        <f t="shared" si="92"/>
        <v>17.739999999999998</v>
      </c>
      <c r="H298" s="50"/>
      <c r="I298" s="6"/>
      <c r="L298" s="63"/>
      <c r="M298" s="58"/>
      <c r="N298" s="59"/>
      <c r="O298" s="60"/>
      <c r="P298" s="10"/>
      <c r="Q298" s="61"/>
      <c r="R298" s="10"/>
      <c r="S298" s="62"/>
    </row>
    <row r="299" spans="2:19" x14ac:dyDescent="0.25">
      <c r="B299" s="50"/>
      <c r="C299" s="50"/>
      <c r="D299" s="50"/>
      <c r="E299" s="50" t="s">
        <v>142</v>
      </c>
      <c r="F299" s="74">
        <f t="shared" si="92"/>
        <v>84</v>
      </c>
      <c r="G299" s="77">
        <f t="shared" si="92"/>
        <v>20.74</v>
      </c>
      <c r="H299" s="50"/>
      <c r="I299" s="6"/>
      <c r="L299" s="63"/>
      <c r="M299" s="58"/>
      <c r="N299" s="59"/>
      <c r="O299" s="60"/>
      <c r="P299" s="10"/>
      <c r="Q299" s="61"/>
      <c r="R299" s="10"/>
      <c r="S299" s="62"/>
    </row>
    <row r="300" spans="2:19" x14ac:dyDescent="0.25">
      <c r="B300" s="50"/>
      <c r="C300" s="50"/>
      <c r="D300" s="50"/>
      <c r="E300" s="50"/>
      <c r="F300" s="74">
        <f t="shared" si="92"/>
        <v>86</v>
      </c>
      <c r="G300" s="77">
        <f t="shared" si="92"/>
        <v>23.74</v>
      </c>
      <c r="H300" s="50"/>
      <c r="I300" s="6"/>
      <c r="L300" s="63"/>
      <c r="M300" s="58"/>
      <c r="N300" s="59"/>
      <c r="O300" s="60"/>
      <c r="P300" s="10"/>
      <c r="Q300" s="61"/>
      <c r="R300" s="10"/>
      <c r="S300" s="62"/>
    </row>
    <row r="301" spans="2:19" x14ac:dyDescent="0.25">
      <c r="B301" s="50"/>
      <c r="C301" s="50"/>
      <c r="D301" s="50"/>
      <c r="E301" s="50"/>
      <c r="F301" s="75">
        <f t="shared" si="92"/>
        <v>88</v>
      </c>
      <c r="G301" s="81">
        <f t="shared" si="92"/>
        <v>29.74</v>
      </c>
      <c r="H301" s="101">
        <f>H287</f>
        <v>5</v>
      </c>
      <c r="I301" s="6"/>
      <c r="L301" s="63"/>
      <c r="M301" s="58"/>
      <c r="N301" s="59"/>
      <c r="O301" s="60"/>
      <c r="P301" s="10"/>
      <c r="Q301" s="61"/>
      <c r="R301" s="10"/>
      <c r="S301" s="62"/>
    </row>
    <row r="302" spans="2:19" x14ac:dyDescent="0.25">
      <c r="B302" s="74">
        <f>B296</f>
        <v>7</v>
      </c>
      <c r="C302" s="77">
        <f>C288</f>
        <v>225.98</v>
      </c>
      <c r="D302" s="74">
        <f>D78</f>
        <v>4</v>
      </c>
      <c r="E302" s="74">
        <f>-E288</f>
        <v>-3.66</v>
      </c>
      <c r="F302" s="74">
        <f t="shared" si="92"/>
        <v>82</v>
      </c>
      <c r="G302" s="77">
        <f t="shared" si="92"/>
        <v>17.739999999999998</v>
      </c>
      <c r="H302" s="50"/>
      <c r="I302" s="6"/>
      <c r="L302" s="63"/>
      <c r="M302" s="58"/>
      <c r="N302" s="59"/>
      <c r="O302" s="60"/>
      <c r="P302" s="10"/>
      <c r="Q302" s="61"/>
      <c r="R302" s="10"/>
      <c r="S302" s="62"/>
    </row>
    <row r="303" spans="2:19" x14ac:dyDescent="0.25">
      <c r="B303" s="50"/>
      <c r="C303" s="50"/>
      <c r="D303" s="50"/>
      <c r="E303" s="50"/>
      <c r="F303" s="74">
        <f t="shared" si="92"/>
        <v>84</v>
      </c>
      <c r="G303" s="77">
        <f t="shared" si="92"/>
        <v>20.74</v>
      </c>
      <c r="H303" s="50"/>
      <c r="I303" s="6"/>
      <c r="L303" s="63"/>
      <c r="M303" s="58"/>
      <c r="N303" s="59"/>
      <c r="O303" s="60"/>
      <c r="P303" s="10"/>
      <c r="Q303" s="61"/>
      <c r="R303" s="10"/>
      <c r="S303" s="62"/>
    </row>
    <row r="304" spans="2:19" x14ac:dyDescent="0.25">
      <c r="B304" s="50"/>
      <c r="C304" s="50"/>
      <c r="D304" s="50"/>
      <c r="E304" s="50"/>
      <c r="F304" s="74">
        <f t="shared" si="92"/>
        <v>86</v>
      </c>
      <c r="G304" s="77">
        <f t="shared" si="92"/>
        <v>23.74</v>
      </c>
      <c r="I304" s="6"/>
      <c r="L304" s="63"/>
      <c r="M304" s="58"/>
      <c r="N304" s="59"/>
      <c r="O304" s="60"/>
      <c r="P304" s="10"/>
      <c r="Q304" s="61"/>
      <c r="R304" s="10"/>
      <c r="S304" s="62"/>
    </row>
    <row r="305" spans="2:19" x14ac:dyDescent="0.25">
      <c r="B305" s="50"/>
      <c r="C305" s="50"/>
      <c r="D305" s="50"/>
      <c r="E305" s="50"/>
      <c r="F305" s="75">
        <f t="shared" si="92"/>
        <v>88</v>
      </c>
      <c r="G305" s="81">
        <f t="shared" si="92"/>
        <v>29.74</v>
      </c>
      <c r="H305" s="101">
        <f>H291</f>
        <v>5</v>
      </c>
      <c r="I305" s="6"/>
      <c r="L305" s="63"/>
      <c r="M305" s="58"/>
      <c r="N305" s="59"/>
      <c r="O305" s="60"/>
      <c r="P305" s="10"/>
      <c r="Q305" s="61"/>
      <c r="R305" s="10"/>
      <c r="S305" s="62"/>
    </row>
    <row r="306" spans="2:19" x14ac:dyDescent="0.25">
      <c r="B306" s="74">
        <f>B302</f>
        <v>7</v>
      </c>
      <c r="C306" s="77">
        <f>C302</f>
        <v>225.98</v>
      </c>
      <c r="D306" s="74">
        <f>D278</f>
        <v>11</v>
      </c>
      <c r="E306" s="74">
        <f t="shared" ref="E306:G306" si="93">E278</f>
        <v>-6.1</v>
      </c>
      <c r="F306" s="74">
        <f t="shared" si="93"/>
        <v>82</v>
      </c>
      <c r="G306" s="74">
        <f t="shared" si="93"/>
        <v>17.739999999999998</v>
      </c>
      <c r="H306" s="102"/>
      <c r="I306" s="6"/>
      <c r="L306" s="63"/>
      <c r="M306" s="58"/>
      <c r="N306" s="59"/>
      <c r="O306" s="60"/>
      <c r="P306" s="10"/>
      <c r="Q306" s="61"/>
      <c r="R306" s="10"/>
      <c r="S306" s="62"/>
    </row>
    <row r="307" spans="2:19" x14ac:dyDescent="0.25">
      <c r="B307" s="50"/>
      <c r="C307" s="50"/>
      <c r="D307" s="50"/>
      <c r="E307" s="50"/>
      <c r="F307" s="74">
        <f t="shared" ref="F307:G307" si="94">F279</f>
        <v>84</v>
      </c>
      <c r="G307" s="74">
        <f t="shared" si="94"/>
        <v>20.74</v>
      </c>
      <c r="H307" s="102"/>
      <c r="I307" s="6"/>
      <c r="L307" s="63"/>
      <c r="M307" s="58"/>
      <c r="N307" s="59"/>
      <c r="O307" s="60"/>
      <c r="P307" s="10"/>
      <c r="Q307" s="61"/>
      <c r="R307" s="10"/>
      <c r="S307" s="62"/>
    </row>
    <row r="308" spans="2:19" x14ac:dyDescent="0.25">
      <c r="B308" s="50"/>
      <c r="C308" s="50"/>
      <c r="D308" s="50"/>
      <c r="E308" s="50"/>
      <c r="F308" s="74">
        <f t="shared" ref="F308:G308" si="95">F280</f>
        <v>86</v>
      </c>
      <c r="G308" s="74">
        <f t="shared" si="95"/>
        <v>23.74</v>
      </c>
      <c r="H308" s="102"/>
      <c r="I308" s="6"/>
      <c r="L308" s="63"/>
      <c r="M308" s="58"/>
      <c r="N308" s="59"/>
      <c r="O308" s="60"/>
      <c r="P308" s="10"/>
      <c r="Q308" s="61"/>
      <c r="R308" s="10"/>
      <c r="S308" s="62"/>
    </row>
    <row r="309" spans="2:19" ht="15.75" thickBot="1" x14ac:dyDescent="0.3">
      <c r="B309" s="103"/>
      <c r="C309" s="103"/>
      <c r="D309" s="103"/>
      <c r="E309" s="103"/>
      <c r="F309" s="104">
        <f t="shared" ref="F309:G309" si="96">F281</f>
        <v>88</v>
      </c>
      <c r="G309" s="104">
        <f t="shared" si="96"/>
        <v>26.74</v>
      </c>
      <c r="H309" s="27">
        <f>H305</f>
        <v>5</v>
      </c>
      <c r="I309" s="6"/>
      <c r="L309" s="63"/>
      <c r="M309" s="58"/>
      <c r="N309" s="59"/>
      <c r="O309" s="60"/>
      <c r="P309" s="10"/>
      <c r="Q309" s="61"/>
      <c r="R309" s="10"/>
      <c r="S309" s="62"/>
    </row>
    <row r="310" spans="2:19" x14ac:dyDescent="0.25">
      <c r="B310" s="123">
        <f>2*I60-1</f>
        <v>5</v>
      </c>
      <c r="C310" s="125">
        <f>C$118+('Variables auxiliares'!F$9-I60)*Datos!J$5</f>
        <v>232.03999999999996</v>
      </c>
      <c r="D310" s="28">
        <f>D282</f>
        <v>1</v>
      </c>
      <c r="E310" s="28">
        <f>E282</f>
        <v>1.22</v>
      </c>
      <c r="F310" s="28">
        <f>F282</f>
        <v>2</v>
      </c>
      <c r="G310" s="29">
        <f>G282</f>
        <v>3.06</v>
      </c>
      <c r="I310" s="6"/>
      <c r="L310" s="63"/>
      <c r="M310" s="58"/>
      <c r="N310" s="59"/>
      <c r="O310" s="60"/>
      <c r="P310" s="10"/>
      <c r="Q310" s="61"/>
      <c r="R310" s="10"/>
      <c r="S310" s="62"/>
    </row>
    <row r="311" spans="2:19" x14ac:dyDescent="0.25">
      <c r="F311" s="1">
        <f t="shared" ref="F311:G319" si="97">F283</f>
        <v>4</v>
      </c>
      <c r="G311" s="25">
        <f t="shared" si="97"/>
        <v>6.0600000000000005</v>
      </c>
      <c r="I311" s="6"/>
      <c r="L311" s="63"/>
      <c r="M311" s="58"/>
      <c r="N311" s="59"/>
      <c r="O311" s="60"/>
      <c r="P311" s="10"/>
      <c r="Q311" s="61"/>
      <c r="R311" s="10"/>
      <c r="S311" s="62"/>
    </row>
    <row r="312" spans="2:19" x14ac:dyDescent="0.25">
      <c r="E312" t="s">
        <v>141</v>
      </c>
      <c r="F312" s="1">
        <f t="shared" si="97"/>
        <v>82</v>
      </c>
      <c r="G312" s="25">
        <f t="shared" si="97"/>
        <v>17.739999999999998</v>
      </c>
      <c r="I312" s="6"/>
      <c r="L312" s="63"/>
      <c r="M312" s="58"/>
      <c r="N312" s="59"/>
      <c r="O312" s="60"/>
      <c r="P312" s="10"/>
      <c r="Q312" s="61"/>
      <c r="R312" s="10"/>
      <c r="S312" s="62"/>
    </row>
    <row r="313" spans="2:19" x14ac:dyDescent="0.25">
      <c r="F313" s="1">
        <f t="shared" si="97"/>
        <v>84</v>
      </c>
      <c r="G313" s="25">
        <f t="shared" si="97"/>
        <v>20.74</v>
      </c>
      <c r="I313" s="6"/>
      <c r="L313" s="63"/>
      <c r="M313" s="58"/>
      <c r="N313" s="59"/>
      <c r="O313" s="60"/>
      <c r="P313" s="10"/>
      <c r="Q313" s="61"/>
      <c r="R313" s="10"/>
      <c r="S313" s="62"/>
    </row>
    <row r="314" spans="2:19" x14ac:dyDescent="0.25">
      <c r="D314" s="91"/>
      <c r="E314" s="91"/>
      <c r="F314" s="1">
        <f t="shared" si="97"/>
        <v>86</v>
      </c>
      <c r="G314" s="25">
        <f t="shared" si="97"/>
        <v>23.74</v>
      </c>
      <c r="H314" s="89"/>
      <c r="I314" s="6"/>
      <c r="L314" s="63"/>
      <c r="M314" s="58"/>
      <c r="N314" s="59"/>
      <c r="O314" s="60"/>
      <c r="P314" s="10"/>
      <c r="Q314" s="61"/>
      <c r="R314" s="10"/>
      <c r="S314" s="62"/>
    </row>
    <row r="315" spans="2:19" x14ac:dyDescent="0.25">
      <c r="B315" s="89"/>
      <c r="C315" s="89"/>
      <c r="D315" s="89"/>
      <c r="E315" s="89"/>
      <c r="F315" s="1">
        <f t="shared" si="97"/>
        <v>88</v>
      </c>
      <c r="G315" s="25">
        <f t="shared" si="97"/>
        <v>29.74</v>
      </c>
      <c r="H315" s="120">
        <f>INT(((3*Datos!C$6-'slots sin grua'!C310)*TAN('Variables auxiliares'!C$40)-Datos!C$8+'Variables auxiliares'!F$54)/Datos!J$8)</f>
        <v>5</v>
      </c>
      <c r="I315" s="6"/>
      <c r="L315" s="63"/>
      <c r="M315" s="58"/>
      <c r="N315" s="59"/>
      <c r="O315" s="60"/>
      <c r="P315" s="10"/>
      <c r="Q315" s="61"/>
      <c r="R315" s="10"/>
      <c r="S315" s="62"/>
    </row>
    <row r="316" spans="2:19" x14ac:dyDescent="0.25">
      <c r="B316" s="120">
        <f>B310</f>
        <v>5</v>
      </c>
      <c r="C316" s="121">
        <f>C310</f>
        <v>232.03999999999996</v>
      </c>
      <c r="D316" s="120">
        <f>D288</f>
        <v>3</v>
      </c>
      <c r="E316" s="120">
        <f>E288</f>
        <v>3.66</v>
      </c>
      <c r="F316" s="120">
        <f t="shared" si="97"/>
        <v>82</v>
      </c>
      <c r="G316" s="120">
        <f t="shared" si="97"/>
        <v>17.739999999999998</v>
      </c>
      <c r="H316" s="119"/>
      <c r="I316" s="6"/>
      <c r="L316" s="63"/>
      <c r="M316" s="58"/>
      <c r="N316" s="59"/>
      <c r="O316" s="60"/>
      <c r="P316" s="10"/>
      <c r="Q316" s="61"/>
      <c r="R316" s="10"/>
      <c r="S316" s="62"/>
    </row>
    <row r="317" spans="2:19" x14ac:dyDescent="0.25">
      <c r="B317" s="119"/>
      <c r="C317" s="119"/>
      <c r="D317" s="119"/>
      <c r="E317" s="119"/>
      <c r="F317" s="120">
        <f t="shared" si="97"/>
        <v>84</v>
      </c>
      <c r="G317" s="120">
        <f t="shared" si="97"/>
        <v>20.74</v>
      </c>
      <c r="H317" s="119"/>
      <c r="I317" s="6"/>
      <c r="L317" s="63"/>
      <c r="M317" s="58"/>
      <c r="N317" s="59"/>
      <c r="O317" s="60"/>
      <c r="P317" s="10"/>
      <c r="Q317" s="61"/>
      <c r="R317" s="10"/>
      <c r="S317" s="62"/>
    </row>
    <row r="318" spans="2:19" x14ac:dyDescent="0.25">
      <c r="B318" s="112"/>
      <c r="C318" s="122"/>
      <c r="D318" s="119"/>
      <c r="E318" s="119"/>
      <c r="F318" s="120">
        <f t="shared" si="97"/>
        <v>86</v>
      </c>
      <c r="G318" s="120">
        <f t="shared" si="97"/>
        <v>23.74</v>
      </c>
      <c r="H318" s="119"/>
      <c r="I318" s="6"/>
      <c r="L318" s="63"/>
      <c r="M318" s="58"/>
      <c r="N318" s="59"/>
      <c r="O318" s="60"/>
      <c r="P318" s="10"/>
      <c r="Q318" s="61"/>
      <c r="R318" s="10"/>
      <c r="S318" s="62"/>
    </row>
    <row r="319" spans="2:19" x14ac:dyDescent="0.25">
      <c r="B319" s="112"/>
      <c r="C319" s="122"/>
      <c r="D319" s="119"/>
      <c r="E319" s="119"/>
      <c r="F319" s="120">
        <f t="shared" si="97"/>
        <v>88</v>
      </c>
      <c r="G319" s="120">
        <f t="shared" si="97"/>
        <v>29.74</v>
      </c>
      <c r="H319" s="126">
        <f>H315</f>
        <v>5</v>
      </c>
      <c r="I319" s="6"/>
      <c r="L319" s="63"/>
      <c r="M319" s="58"/>
      <c r="N319" s="59"/>
      <c r="O319" s="60"/>
      <c r="P319" s="10"/>
      <c r="Q319" s="61"/>
      <c r="R319" s="10"/>
      <c r="S319" s="62"/>
    </row>
    <row r="320" spans="2:19" x14ac:dyDescent="0.25">
      <c r="B320" s="120">
        <f>B316</f>
        <v>5</v>
      </c>
      <c r="C320" s="121">
        <f t="shared" ref="C320:D320" si="98">C316</f>
        <v>232.03999999999996</v>
      </c>
      <c r="D320" s="120">
        <f t="shared" si="98"/>
        <v>3</v>
      </c>
      <c r="E320" s="120">
        <f>-E306</f>
        <v>6.1</v>
      </c>
      <c r="F320" s="120">
        <f>F316</f>
        <v>82</v>
      </c>
      <c r="G320" s="120">
        <f>G316</f>
        <v>17.739999999999998</v>
      </c>
      <c r="H320" s="136"/>
      <c r="I320" s="6"/>
      <c r="L320" s="63"/>
      <c r="M320" s="58"/>
      <c r="N320" s="59"/>
      <c r="O320" s="60"/>
      <c r="P320" s="10"/>
      <c r="Q320" s="61"/>
      <c r="R320" s="10"/>
      <c r="S320" s="62"/>
    </row>
    <row r="321" spans="2:19" x14ac:dyDescent="0.25">
      <c r="B321" s="112"/>
      <c r="C321" s="122"/>
      <c r="D321" s="119"/>
      <c r="E321" s="119"/>
      <c r="F321" s="120">
        <f t="shared" ref="F321:G321" si="99">F317</f>
        <v>84</v>
      </c>
      <c r="G321" s="120">
        <f t="shared" si="99"/>
        <v>20.74</v>
      </c>
      <c r="H321" s="136"/>
      <c r="I321" s="6"/>
      <c r="L321" s="63"/>
      <c r="M321" s="58"/>
      <c r="N321" s="59"/>
      <c r="O321" s="60"/>
      <c r="P321" s="10"/>
      <c r="Q321" s="61"/>
      <c r="R321" s="10"/>
      <c r="S321" s="62"/>
    </row>
    <row r="322" spans="2:19" x14ac:dyDescent="0.25">
      <c r="B322" s="112"/>
      <c r="C322" s="122"/>
      <c r="D322" s="119"/>
      <c r="E322" s="119"/>
      <c r="F322" s="120">
        <f t="shared" ref="F322:G322" si="100">F318</f>
        <v>86</v>
      </c>
      <c r="G322" s="120">
        <f t="shared" si="100"/>
        <v>23.74</v>
      </c>
      <c r="H322" s="136"/>
      <c r="I322" s="6"/>
      <c r="L322" s="63"/>
      <c r="M322" s="58"/>
      <c r="N322" s="59"/>
      <c r="O322" s="60"/>
      <c r="P322" s="10"/>
      <c r="Q322" s="61"/>
      <c r="R322" s="10"/>
      <c r="S322" s="62"/>
    </row>
    <row r="323" spans="2:19" x14ac:dyDescent="0.25">
      <c r="B323" s="112"/>
      <c r="C323" s="122"/>
      <c r="D323" s="119"/>
      <c r="E323" s="119"/>
      <c r="F323" s="120">
        <f t="shared" ref="F323:G323" si="101">F319</f>
        <v>88</v>
      </c>
      <c r="G323" s="120">
        <f t="shared" si="101"/>
        <v>29.74</v>
      </c>
      <c r="H323" s="126">
        <f>H319</f>
        <v>5</v>
      </c>
      <c r="I323" s="6"/>
      <c r="L323" s="63"/>
      <c r="M323" s="58"/>
      <c r="N323" s="59"/>
      <c r="O323" s="60"/>
      <c r="P323" s="10"/>
      <c r="Q323" s="61"/>
      <c r="R323" s="10"/>
      <c r="S323" s="62"/>
    </row>
    <row r="324" spans="2:19" x14ac:dyDescent="0.25">
      <c r="B324" s="1">
        <f>B316</f>
        <v>5</v>
      </c>
      <c r="C324" s="25">
        <f>C316</f>
        <v>232.03999999999996</v>
      </c>
      <c r="D324" s="120">
        <f>D296</f>
        <v>2</v>
      </c>
      <c r="E324" s="120">
        <f>E296</f>
        <v>-1.22</v>
      </c>
      <c r="F324" s="120">
        <f>F296</f>
        <v>2</v>
      </c>
      <c r="G324" s="121">
        <f>G296</f>
        <v>3.06</v>
      </c>
      <c r="H324" s="89"/>
      <c r="I324" s="6"/>
      <c r="L324" s="63"/>
      <c r="M324" s="58"/>
      <c r="N324" s="59"/>
      <c r="O324" s="60"/>
      <c r="P324" s="10"/>
      <c r="Q324" s="61"/>
      <c r="R324" s="10"/>
      <c r="S324" s="62"/>
    </row>
    <row r="325" spans="2:19" x14ac:dyDescent="0.25">
      <c r="B325" s="89"/>
      <c r="C325" s="89"/>
      <c r="D325" s="119"/>
      <c r="E325" s="119"/>
      <c r="F325" s="120">
        <f t="shared" ref="F325:G333" si="102">F297</f>
        <v>4</v>
      </c>
      <c r="G325" s="121">
        <f t="shared" si="102"/>
        <v>6.0600000000000005</v>
      </c>
      <c r="H325" s="89"/>
      <c r="I325" s="6"/>
      <c r="L325" s="63"/>
      <c r="M325" s="58"/>
      <c r="N325" s="59"/>
      <c r="O325" s="60"/>
      <c r="P325" s="10"/>
      <c r="Q325" s="61"/>
      <c r="R325" s="10"/>
      <c r="S325" s="62"/>
    </row>
    <row r="326" spans="2:19" x14ac:dyDescent="0.25">
      <c r="B326" s="89"/>
      <c r="C326" s="89"/>
      <c r="D326" s="119"/>
      <c r="E326" s="119"/>
      <c r="F326" s="120">
        <f t="shared" si="102"/>
        <v>82</v>
      </c>
      <c r="G326" s="121">
        <f t="shared" si="102"/>
        <v>17.739999999999998</v>
      </c>
      <c r="H326" s="89"/>
      <c r="I326" s="6"/>
      <c r="L326" s="63"/>
      <c r="M326" s="58"/>
      <c r="N326" s="59"/>
      <c r="O326" s="60"/>
      <c r="P326" s="10"/>
      <c r="Q326" s="61"/>
      <c r="R326" s="10"/>
      <c r="S326" s="62"/>
    </row>
    <row r="327" spans="2:19" x14ac:dyDescent="0.25">
      <c r="B327" s="89"/>
      <c r="C327" s="89"/>
      <c r="D327" s="119"/>
      <c r="E327" s="119" t="s">
        <v>142</v>
      </c>
      <c r="F327" s="120">
        <f t="shared" si="102"/>
        <v>84</v>
      </c>
      <c r="G327" s="121">
        <f t="shared" si="102"/>
        <v>20.74</v>
      </c>
      <c r="H327" s="91"/>
      <c r="I327" s="6"/>
      <c r="L327" s="63"/>
      <c r="M327" s="58"/>
      <c r="N327" s="59"/>
      <c r="O327" s="60"/>
      <c r="P327" s="10"/>
      <c r="Q327" s="61"/>
      <c r="R327" s="10"/>
      <c r="S327" s="62"/>
    </row>
    <row r="328" spans="2:19" x14ac:dyDescent="0.25">
      <c r="B328" s="91"/>
      <c r="C328" s="92"/>
      <c r="D328" s="112"/>
      <c r="E328" s="112"/>
      <c r="F328" s="120">
        <f t="shared" si="102"/>
        <v>86</v>
      </c>
      <c r="G328" s="121">
        <f t="shared" si="102"/>
        <v>23.74</v>
      </c>
      <c r="H328" s="89"/>
      <c r="I328" s="6"/>
      <c r="L328" s="63"/>
      <c r="M328" s="58"/>
      <c r="N328" s="59"/>
      <c r="O328" s="60"/>
      <c r="P328" s="10"/>
      <c r="Q328" s="61"/>
      <c r="R328" s="10"/>
      <c r="S328" s="62"/>
    </row>
    <row r="329" spans="2:19" x14ac:dyDescent="0.25">
      <c r="B329" s="89"/>
      <c r="C329" s="89"/>
      <c r="D329" s="119"/>
      <c r="E329" s="119"/>
      <c r="F329" s="120">
        <f t="shared" si="102"/>
        <v>88</v>
      </c>
      <c r="G329" s="121">
        <f t="shared" si="102"/>
        <v>29.74</v>
      </c>
      <c r="H329" s="126">
        <f>H319</f>
        <v>5</v>
      </c>
      <c r="I329" s="6"/>
      <c r="L329" s="63"/>
      <c r="M329" s="58"/>
      <c r="N329" s="59"/>
      <c r="O329" s="60"/>
      <c r="P329" s="10"/>
      <c r="Q329" s="61"/>
      <c r="R329" s="10"/>
      <c r="S329" s="62"/>
    </row>
    <row r="330" spans="2:19" x14ac:dyDescent="0.25">
      <c r="B330" s="1">
        <f>B310</f>
        <v>5</v>
      </c>
      <c r="C330" s="25">
        <f>C310</f>
        <v>232.03999999999996</v>
      </c>
      <c r="D330" s="1">
        <f>D302</f>
        <v>4</v>
      </c>
      <c r="E330" s="1">
        <f>E302</f>
        <v>-3.66</v>
      </c>
      <c r="F330" s="1">
        <f t="shared" si="102"/>
        <v>82</v>
      </c>
      <c r="G330" s="1">
        <f t="shared" si="102"/>
        <v>17.739999999999998</v>
      </c>
      <c r="I330" s="6"/>
      <c r="L330" s="63"/>
      <c r="M330" s="58"/>
      <c r="N330" s="59"/>
      <c r="O330" s="60"/>
      <c r="P330" s="10"/>
      <c r="Q330" s="61"/>
      <c r="R330" s="10"/>
      <c r="S330" s="62"/>
    </row>
    <row r="331" spans="2:19" x14ac:dyDescent="0.25">
      <c r="B331" s="89"/>
      <c r="C331" s="89"/>
      <c r="D331" s="89"/>
      <c r="E331" s="91"/>
      <c r="F331" s="1">
        <f t="shared" si="102"/>
        <v>84</v>
      </c>
      <c r="G331" s="1">
        <f t="shared" si="102"/>
        <v>20.74</v>
      </c>
      <c r="H331" s="89"/>
      <c r="I331" s="6"/>
      <c r="L331" s="63"/>
      <c r="M331" s="58"/>
      <c r="N331" s="59"/>
      <c r="O331" s="60"/>
      <c r="P331" s="10"/>
      <c r="Q331" s="61"/>
      <c r="R331" s="10"/>
      <c r="S331" s="62"/>
    </row>
    <row r="332" spans="2:19" x14ac:dyDescent="0.25">
      <c r="B332" s="89"/>
      <c r="C332" s="89"/>
      <c r="D332" s="89"/>
      <c r="E332" s="89"/>
      <c r="F332" s="31">
        <f t="shared" si="102"/>
        <v>86</v>
      </c>
      <c r="G332" s="31">
        <f t="shared" si="102"/>
        <v>23.74</v>
      </c>
      <c r="H332" s="89"/>
      <c r="I332" s="6"/>
      <c r="L332" s="63"/>
      <c r="M332" s="58"/>
      <c r="N332" s="59"/>
      <c r="O332" s="60"/>
      <c r="P332" s="10"/>
      <c r="Q332" s="61"/>
      <c r="R332" s="10"/>
      <c r="S332" s="62"/>
    </row>
    <row r="333" spans="2:19" x14ac:dyDescent="0.25">
      <c r="F333" s="1">
        <f t="shared" si="102"/>
        <v>88</v>
      </c>
      <c r="G333" s="1">
        <f t="shared" si="102"/>
        <v>29.74</v>
      </c>
      <c r="H333" s="27">
        <f>H329</f>
        <v>5</v>
      </c>
      <c r="I333" s="6"/>
      <c r="L333" s="63"/>
      <c r="M333" s="58"/>
      <c r="N333" s="59"/>
      <c r="O333" s="60"/>
      <c r="P333" s="10"/>
      <c r="Q333" s="61"/>
      <c r="R333" s="10"/>
      <c r="S333" s="62"/>
    </row>
    <row r="334" spans="2:19" x14ac:dyDescent="0.25">
      <c r="B334" s="1">
        <f>B330</f>
        <v>5</v>
      </c>
      <c r="C334" s="25">
        <f t="shared" ref="C334:D334" si="103">C330</f>
        <v>232.03999999999996</v>
      </c>
      <c r="D334" s="1">
        <f t="shared" si="103"/>
        <v>4</v>
      </c>
      <c r="E334" s="1">
        <f>-E320</f>
        <v>-6.1</v>
      </c>
      <c r="F334" s="1">
        <f>F330</f>
        <v>82</v>
      </c>
      <c r="G334" s="1">
        <f>G330</f>
        <v>17.739999999999998</v>
      </c>
      <c r="I334" s="6"/>
      <c r="L334" s="63"/>
      <c r="M334" s="58"/>
      <c r="N334" s="59"/>
      <c r="O334" s="60"/>
      <c r="P334" s="10"/>
      <c r="Q334" s="61"/>
      <c r="R334" s="10"/>
      <c r="S334" s="62"/>
    </row>
    <row r="335" spans="2:19" x14ac:dyDescent="0.25">
      <c r="B335" s="10"/>
      <c r="C335" s="10"/>
      <c r="D335" s="10"/>
      <c r="E335" s="10"/>
      <c r="F335" s="1">
        <f t="shared" ref="F335:G335" si="104">F331</f>
        <v>84</v>
      </c>
      <c r="G335" s="1">
        <f t="shared" si="104"/>
        <v>20.74</v>
      </c>
      <c r="I335" s="6"/>
      <c r="L335" s="63"/>
      <c r="M335" s="58"/>
      <c r="N335" s="59"/>
      <c r="O335" s="60"/>
      <c r="P335" s="10"/>
      <c r="Q335" s="61"/>
      <c r="R335" s="10"/>
      <c r="S335" s="62"/>
    </row>
    <row r="336" spans="2:19" x14ac:dyDescent="0.25">
      <c r="B336" s="10"/>
      <c r="C336" s="10"/>
      <c r="D336" s="10"/>
      <c r="E336" s="10"/>
      <c r="F336" s="1">
        <f t="shared" ref="F336:G336" si="105">F332</f>
        <v>86</v>
      </c>
      <c r="G336" s="1">
        <f t="shared" si="105"/>
        <v>23.74</v>
      </c>
      <c r="I336" s="6"/>
      <c r="L336" s="63"/>
      <c r="M336" s="58"/>
      <c r="N336" s="59"/>
      <c r="O336" s="60"/>
      <c r="P336" s="10"/>
      <c r="Q336" s="61"/>
      <c r="R336" s="10"/>
      <c r="S336" s="62"/>
    </row>
    <row r="337" spans="2:19" ht="15.75" thickBot="1" x14ac:dyDescent="0.3">
      <c r="B337" s="10"/>
      <c r="C337" s="10"/>
      <c r="D337" s="10"/>
      <c r="E337" s="10"/>
      <c r="F337" s="31">
        <f t="shared" ref="F337:G337" si="106">F333</f>
        <v>88</v>
      </c>
      <c r="G337" s="31">
        <f t="shared" si="106"/>
        <v>29.74</v>
      </c>
      <c r="H337" s="27">
        <f>H333</f>
        <v>5</v>
      </c>
      <c r="I337" s="6"/>
      <c r="L337" s="63"/>
      <c r="M337" s="58"/>
      <c r="N337" s="59"/>
      <c r="O337" s="60"/>
      <c r="P337" s="10"/>
      <c r="Q337" s="61"/>
      <c r="R337" s="10"/>
      <c r="S337" s="62"/>
    </row>
    <row r="338" spans="2:19" x14ac:dyDescent="0.25">
      <c r="B338" s="138">
        <f>2*I59-1</f>
        <v>3</v>
      </c>
      <c r="C338" s="139">
        <f>C$118+('Variables auxiliares'!F$9-I59)*Datos!J$5</f>
        <v>238.09999999999997</v>
      </c>
      <c r="D338" s="140">
        <f>D310</f>
        <v>1</v>
      </c>
      <c r="E338" s="140">
        <f>E310</f>
        <v>1.22</v>
      </c>
      <c r="F338" s="138">
        <f>F310</f>
        <v>2</v>
      </c>
      <c r="G338" s="141">
        <f>G310</f>
        <v>3.06</v>
      </c>
      <c r="H338" s="89"/>
      <c r="I338" s="6"/>
      <c r="L338" s="63"/>
      <c r="M338" s="58"/>
      <c r="N338" s="59"/>
      <c r="O338" s="60"/>
      <c r="P338" s="10"/>
      <c r="Q338" s="61"/>
      <c r="R338" s="10"/>
      <c r="S338" s="62"/>
    </row>
    <row r="339" spans="2:19" x14ac:dyDescent="0.25">
      <c r="B339" s="89"/>
      <c r="C339" s="119"/>
      <c r="D339" s="119"/>
      <c r="E339" s="119"/>
      <c r="F339" s="1">
        <f t="shared" ref="F339:G347" si="107">F311</f>
        <v>4</v>
      </c>
      <c r="G339" s="25">
        <f t="shared" si="107"/>
        <v>6.0600000000000005</v>
      </c>
      <c r="H339" s="89"/>
      <c r="I339" s="6"/>
      <c r="L339" s="63"/>
      <c r="M339" s="58"/>
      <c r="N339" s="59"/>
      <c r="O339" s="60"/>
      <c r="P339" s="10"/>
      <c r="Q339" s="61"/>
      <c r="R339" s="10"/>
      <c r="S339" s="62"/>
    </row>
    <row r="340" spans="2:19" x14ac:dyDescent="0.25">
      <c r="B340" s="89"/>
      <c r="C340" s="119"/>
      <c r="D340" s="119"/>
      <c r="E340" s="119" t="s">
        <v>141</v>
      </c>
      <c r="F340" s="1">
        <f t="shared" si="107"/>
        <v>82</v>
      </c>
      <c r="G340" s="1">
        <f t="shared" si="107"/>
        <v>17.739999999999998</v>
      </c>
      <c r="H340" s="89"/>
      <c r="I340" s="6"/>
      <c r="L340" s="63"/>
      <c r="M340" s="58"/>
      <c r="N340" s="59"/>
      <c r="O340" s="60"/>
      <c r="P340" s="10"/>
      <c r="Q340" s="61"/>
      <c r="R340" s="10"/>
      <c r="S340" s="62"/>
    </row>
    <row r="341" spans="2:19" x14ac:dyDescent="0.25">
      <c r="B341" s="89"/>
      <c r="C341" s="89"/>
      <c r="D341" s="89"/>
      <c r="E341" s="89"/>
      <c r="F341" s="1">
        <f t="shared" si="107"/>
        <v>84</v>
      </c>
      <c r="G341" s="1">
        <f t="shared" si="107"/>
        <v>20.74</v>
      </c>
      <c r="H341" s="91"/>
      <c r="I341" s="6"/>
      <c r="L341" s="63"/>
      <c r="M341" s="58"/>
      <c r="N341" s="59"/>
      <c r="O341" s="60"/>
      <c r="P341" s="10"/>
      <c r="Q341" s="61"/>
      <c r="R341" s="10"/>
      <c r="S341" s="62"/>
    </row>
    <row r="342" spans="2:19" x14ac:dyDescent="0.25">
      <c r="B342" s="89"/>
      <c r="C342" s="89"/>
      <c r="D342" s="89"/>
      <c r="E342" s="89"/>
      <c r="F342" s="1">
        <f t="shared" si="107"/>
        <v>86</v>
      </c>
      <c r="G342" s="1">
        <f t="shared" si="107"/>
        <v>23.74</v>
      </c>
      <c r="H342" s="6"/>
      <c r="I342" s="6"/>
      <c r="L342" s="63"/>
      <c r="M342" s="58"/>
      <c r="N342" s="59"/>
      <c r="O342" s="60"/>
      <c r="P342" s="10"/>
      <c r="Q342" s="61"/>
      <c r="R342" s="10"/>
      <c r="S342" s="62"/>
    </row>
    <row r="343" spans="2:19" ht="15.75" thickBot="1" x14ac:dyDescent="0.3">
      <c r="B343" s="79"/>
      <c r="C343" s="79"/>
      <c r="D343" s="137"/>
      <c r="E343" s="137"/>
      <c r="F343" s="80">
        <f t="shared" si="107"/>
        <v>88</v>
      </c>
      <c r="G343" s="80">
        <f t="shared" si="107"/>
        <v>29.74</v>
      </c>
      <c r="H343" s="120">
        <f>INT(((3*Datos!C$6-C338)*TAN('Variables auxiliares'!C$40)-Datos!C$8+'Variables auxiliares'!F$54)/Datos!J$8)</f>
        <v>5</v>
      </c>
      <c r="I343" s="6"/>
      <c r="L343" s="63"/>
      <c r="M343" s="58"/>
      <c r="N343" s="59"/>
      <c r="O343" s="60"/>
      <c r="P343" s="10"/>
      <c r="Q343" s="61"/>
      <c r="R343" s="10"/>
      <c r="S343" s="62"/>
    </row>
    <row r="344" spans="2:19" x14ac:dyDescent="0.25">
      <c r="B344" s="123">
        <f>B338</f>
        <v>3</v>
      </c>
      <c r="C344" s="125">
        <f>C338</f>
        <v>238.09999999999997</v>
      </c>
      <c r="D344" s="123">
        <f>D316</f>
        <v>3</v>
      </c>
      <c r="E344" s="123">
        <f>E316</f>
        <v>3.66</v>
      </c>
      <c r="F344" s="123">
        <f t="shared" si="107"/>
        <v>82</v>
      </c>
      <c r="G344" s="123">
        <f t="shared" si="107"/>
        <v>17.739999999999998</v>
      </c>
      <c r="H344" s="6"/>
      <c r="I344" s="6"/>
      <c r="L344" s="63"/>
      <c r="M344" s="58"/>
      <c r="N344" s="59"/>
      <c r="O344" s="60"/>
      <c r="P344" s="10"/>
      <c r="Q344" s="61"/>
      <c r="R344" s="10"/>
      <c r="S344" s="62"/>
    </row>
    <row r="345" spans="2:19" x14ac:dyDescent="0.25">
      <c r="B345" s="58"/>
      <c r="C345" s="58"/>
      <c r="D345" s="58"/>
      <c r="E345" s="58"/>
      <c r="F345" s="123">
        <f t="shared" si="107"/>
        <v>84</v>
      </c>
      <c r="G345" s="123">
        <f t="shared" si="107"/>
        <v>20.74</v>
      </c>
      <c r="L345" s="63"/>
      <c r="M345" s="58"/>
      <c r="N345" s="59"/>
      <c r="O345" s="60"/>
      <c r="P345" s="10"/>
      <c r="Q345" s="61"/>
      <c r="R345" s="10"/>
      <c r="S345" s="62"/>
    </row>
    <row r="346" spans="2:19" x14ac:dyDescent="0.25">
      <c r="B346" s="10"/>
      <c r="C346" s="10"/>
      <c r="D346" s="10"/>
      <c r="E346" s="10"/>
      <c r="F346" s="120">
        <f t="shared" si="107"/>
        <v>86</v>
      </c>
      <c r="G346" s="120">
        <f t="shared" si="107"/>
        <v>23.74</v>
      </c>
      <c r="L346" s="63"/>
      <c r="M346" s="58"/>
      <c r="N346" s="59"/>
      <c r="O346" s="60"/>
      <c r="P346" s="10"/>
      <c r="Q346" s="61"/>
      <c r="R346" s="10"/>
      <c r="S346" s="62"/>
    </row>
    <row r="347" spans="2:19" x14ac:dyDescent="0.25">
      <c r="B347" s="10"/>
      <c r="C347" s="10"/>
      <c r="D347" s="10"/>
      <c r="E347" s="10"/>
      <c r="F347" s="124">
        <f t="shared" si="107"/>
        <v>88</v>
      </c>
      <c r="G347" s="124">
        <f t="shared" si="107"/>
        <v>29.74</v>
      </c>
      <c r="H347" s="120">
        <f>H343</f>
        <v>5</v>
      </c>
      <c r="L347" s="63"/>
      <c r="M347" s="58"/>
      <c r="N347" s="59"/>
      <c r="O347" s="60"/>
      <c r="P347" s="10"/>
      <c r="Q347" s="61"/>
      <c r="R347" s="10"/>
      <c r="S347" s="62"/>
    </row>
    <row r="348" spans="2:19" x14ac:dyDescent="0.25">
      <c r="B348" s="1">
        <f>B344</f>
        <v>3</v>
      </c>
      <c r="C348" s="25">
        <f t="shared" ref="C348:D348" si="108">C344</f>
        <v>238.09999999999997</v>
      </c>
      <c r="D348" s="1">
        <f t="shared" si="108"/>
        <v>3</v>
      </c>
      <c r="E348" s="1">
        <f>E320</f>
        <v>6.1</v>
      </c>
      <c r="F348" s="124">
        <f>F344</f>
        <v>82</v>
      </c>
      <c r="G348" s="124">
        <f>G344</f>
        <v>17.739999999999998</v>
      </c>
      <c r="H348" s="112"/>
      <c r="L348" s="63"/>
      <c r="M348" s="58"/>
      <c r="N348" s="59"/>
      <c r="O348" s="60"/>
      <c r="P348" s="10"/>
      <c r="Q348" s="61"/>
      <c r="R348" s="10"/>
      <c r="S348" s="62"/>
    </row>
    <row r="349" spans="2:19" x14ac:dyDescent="0.25">
      <c r="B349" s="10"/>
      <c r="C349" s="10"/>
      <c r="D349" s="10"/>
      <c r="E349" s="10"/>
      <c r="F349" s="124">
        <f t="shared" ref="F349:G349" si="109">F345</f>
        <v>84</v>
      </c>
      <c r="G349" s="124">
        <f t="shared" si="109"/>
        <v>20.74</v>
      </c>
      <c r="H349" s="112"/>
      <c r="L349" s="63"/>
      <c r="M349" s="58"/>
      <c r="N349" s="59"/>
      <c r="O349" s="60"/>
      <c r="P349" s="10"/>
      <c r="Q349" s="61"/>
      <c r="R349" s="10"/>
      <c r="S349" s="62"/>
    </row>
    <row r="350" spans="2:19" x14ac:dyDescent="0.25">
      <c r="B350" s="10"/>
      <c r="C350" s="10"/>
      <c r="D350" s="10"/>
      <c r="E350" s="10"/>
      <c r="F350" s="124">
        <f t="shared" ref="F350:G350" si="110">F346</f>
        <v>86</v>
      </c>
      <c r="G350" s="124">
        <f t="shared" si="110"/>
        <v>23.74</v>
      </c>
      <c r="H350" s="112"/>
      <c r="L350" s="63"/>
      <c r="M350" s="58"/>
      <c r="N350" s="59"/>
      <c r="O350" s="60"/>
      <c r="P350" s="10"/>
      <c r="Q350" s="61"/>
      <c r="R350" s="10"/>
      <c r="S350" s="62"/>
    </row>
    <row r="351" spans="2:19" x14ac:dyDescent="0.25">
      <c r="B351" s="10"/>
      <c r="C351" s="10"/>
      <c r="D351" s="10"/>
      <c r="E351" s="10"/>
      <c r="F351" s="124">
        <f t="shared" ref="F351:G351" si="111">F347</f>
        <v>88</v>
      </c>
      <c r="G351" s="124">
        <f t="shared" si="111"/>
        <v>29.74</v>
      </c>
      <c r="H351" s="120">
        <f>H347</f>
        <v>5</v>
      </c>
      <c r="L351" s="63"/>
      <c r="M351" s="58"/>
      <c r="N351" s="59"/>
      <c r="O351" s="60"/>
      <c r="P351" s="10"/>
      <c r="Q351" s="61"/>
      <c r="R351" s="10"/>
      <c r="S351" s="62"/>
    </row>
    <row r="352" spans="2:19" x14ac:dyDescent="0.25">
      <c r="B352" s="120">
        <f>B344</f>
        <v>3</v>
      </c>
      <c r="C352" s="121">
        <f>C344</f>
        <v>238.09999999999997</v>
      </c>
      <c r="D352" s="120">
        <f>D324</f>
        <v>2</v>
      </c>
      <c r="E352" s="120">
        <f>E324</f>
        <v>-1.22</v>
      </c>
      <c r="F352" s="120">
        <f t="shared" ref="F352:G352" si="112">F324</f>
        <v>2</v>
      </c>
      <c r="G352" s="121">
        <f t="shared" si="112"/>
        <v>3.06</v>
      </c>
      <c r="L352" s="63"/>
      <c r="M352" s="58"/>
      <c r="N352" s="59"/>
      <c r="O352" s="60"/>
      <c r="P352" s="10"/>
      <c r="Q352" s="61"/>
      <c r="R352" s="10"/>
      <c r="S352" s="62"/>
    </row>
    <row r="353" spans="2:19" x14ac:dyDescent="0.25">
      <c r="B353" s="10"/>
      <c r="C353" s="10"/>
      <c r="D353" s="10"/>
      <c r="E353" s="10"/>
      <c r="F353" s="123">
        <f t="shared" ref="F353:G361" si="113">F325</f>
        <v>4</v>
      </c>
      <c r="G353" s="125">
        <f t="shared" si="113"/>
        <v>6.0600000000000005</v>
      </c>
      <c r="L353" s="63"/>
      <c r="M353" s="58"/>
      <c r="N353" s="59"/>
      <c r="O353" s="60"/>
      <c r="P353" s="10"/>
      <c r="Q353" s="61"/>
      <c r="R353" s="10"/>
      <c r="S353" s="62"/>
    </row>
    <row r="354" spans="2:19" x14ac:dyDescent="0.25">
      <c r="B354" s="58"/>
      <c r="C354" s="59"/>
      <c r="D354" s="10"/>
      <c r="E354" s="10" t="s">
        <v>142</v>
      </c>
      <c r="F354" s="120">
        <f t="shared" si="113"/>
        <v>82</v>
      </c>
      <c r="G354" s="120">
        <f t="shared" si="113"/>
        <v>17.739999999999998</v>
      </c>
      <c r="L354" s="63"/>
      <c r="M354" s="58"/>
      <c r="N354" s="59"/>
      <c r="O354" s="60"/>
      <c r="P354" s="10"/>
      <c r="Q354" s="61"/>
      <c r="R354" s="10"/>
      <c r="S354" s="62"/>
    </row>
    <row r="355" spans="2:19" x14ac:dyDescent="0.25">
      <c r="B355" s="10"/>
      <c r="C355" s="10"/>
      <c r="D355" s="10"/>
      <c r="E355" s="10"/>
      <c r="F355" s="120">
        <f t="shared" si="113"/>
        <v>84</v>
      </c>
      <c r="G355" s="120">
        <f t="shared" si="113"/>
        <v>20.74</v>
      </c>
      <c r="L355" s="63"/>
      <c r="M355" s="58"/>
      <c r="N355" s="59"/>
      <c r="O355" s="60"/>
      <c r="P355" s="10"/>
      <c r="Q355" s="61"/>
      <c r="R355" s="10"/>
      <c r="S355" s="62"/>
    </row>
    <row r="356" spans="2:19" x14ac:dyDescent="0.25">
      <c r="B356" s="58"/>
      <c r="C356" s="58"/>
      <c r="D356" s="58"/>
      <c r="E356" s="58"/>
      <c r="F356" s="120">
        <f t="shared" si="113"/>
        <v>86</v>
      </c>
      <c r="G356" s="120">
        <f t="shared" si="113"/>
        <v>23.74</v>
      </c>
      <c r="L356" s="63"/>
      <c r="M356" s="58"/>
      <c r="N356" s="59"/>
      <c r="O356" s="60"/>
      <c r="P356" s="10"/>
      <c r="Q356" s="61"/>
      <c r="R356" s="10"/>
      <c r="S356" s="62"/>
    </row>
    <row r="357" spans="2:19" x14ac:dyDescent="0.25">
      <c r="B357" s="10"/>
      <c r="C357" s="10"/>
      <c r="D357" s="10"/>
      <c r="E357" s="10"/>
      <c r="F357" s="120">
        <f t="shared" si="113"/>
        <v>88</v>
      </c>
      <c r="G357" s="120">
        <f t="shared" si="113"/>
        <v>29.74</v>
      </c>
      <c r="H357" s="120">
        <f>H347</f>
        <v>5</v>
      </c>
      <c r="L357" s="63"/>
      <c r="M357" s="58"/>
      <c r="N357" s="59"/>
      <c r="O357" s="60"/>
      <c r="P357" s="10"/>
      <c r="Q357" s="61"/>
      <c r="R357" s="10"/>
      <c r="S357" s="62"/>
    </row>
    <row r="358" spans="2:19" x14ac:dyDescent="0.25">
      <c r="B358" s="120">
        <f>B352</f>
        <v>3</v>
      </c>
      <c r="C358" s="121">
        <f>C352</f>
        <v>238.09999999999997</v>
      </c>
      <c r="D358" s="120">
        <f>D330</f>
        <v>4</v>
      </c>
      <c r="E358" s="120">
        <f>E330</f>
        <v>-3.66</v>
      </c>
      <c r="F358" s="120">
        <f t="shared" si="113"/>
        <v>82</v>
      </c>
      <c r="G358" s="120">
        <f t="shared" si="113"/>
        <v>17.739999999999998</v>
      </c>
      <c r="L358" s="63"/>
      <c r="M358" s="58"/>
      <c r="N358" s="59"/>
      <c r="O358" s="60"/>
      <c r="P358" s="10"/>
      <c r="Q358" s="61"/>
      <c r="R358" s="10"/>
      <c r="S358" s="62"/>
    </row>
    <row r="359" spans="2:19" x14ac:dyDescent="0.25">
      <c r="B359" s="58"/>
      <c r="C359" s="10"/>
      <c r="D359" s="10"/>
      <c r="E359" s="10"/>
      <c r="F359" s="120">
        <f t="shared" si="113"/>
        <v>84</v>
      </c>
      <c r="G359" s="120">
        <f t="shared" si="113"/>
        <v>20.74</v>
      </c>
      <c r="L359" s="63"/>
      <c r="M359" s="58"/>
      <c r="N359" s="59"/>
      <c r="O359" s="60"/>
      <c r="P359" s="10"/>
      <c r="Q359" s="61"/>
      <c r="R359" s="10"/>
      <c r="S359" s="62"/>
    </row>
    <row r="360" spans="2:19" x14ac:dyDescent="0.25">
      <c r="B360" s="58"/>
      <c r="C360" s="10"/>
      <c r="D360" s="10"/>
      <c r="E360" s="10"/>
      <c r="F360" s="120">
        <f t="shared" si="113"/>
        <v>86</v>
      </c>
      <c r="G360" s="120">
        <f t="shared" si="113"/>
        <v>23.74</v>
      </c>
      <c r="L360" s="63"/>
      <c r="M360" s="58"/>
      <c r="N360" s="59"/>
      <c r="O360" s="60"/>
      <c r="P360" s="10"/>
      <c r="Q360" s="61"/>
      <c r="R360" s="10"/>
      <c r="S360" s="62"/>
    </row>
    <row r="361" spans="2:19" x14ac:dyDescent="0.25">
      <c r="B361" s="86"/>
      <c r="C361" s="85"/>
      <c r="D361" s="85"/>
      <c r="E361" s="85"/>
      <c r="F361" s="120">
        <f t="shared" si="113"/>
        <v>88</v>
      </c>
      <c r="G361" s="120">
        <f t="shared" si="113"/>
        <v>29.74</v>
      </c>
      <c r="H361" s="1">
        <f>H357</f>
        <v>5</v>
      </c>
      <c r="L361" s="63"/>
      <c r="M361" s="58"/>
      <c r="N361" s="59"/>
      <c r="O361" s="60"/>
      <c r="P361" s="10"/>
      <c r="Q361" s="61"/>
      <c r="R361" s="10"/>
      <c r="S361" s="62"/>
    </row>
    <row r="362" spans="2:19" x14ac:dyDescent="0.25">
      <c r="B362" s="1">
        <f>B358</f>
        <v>3</v>
      </c>
      <c r="C362" s="1">
        <f t="shared" ref="C362:D362" si="114">C358</f>
        <v>238.09999999999997</v>
      </c>
      <c r="D362" s="1">
        <f t="shared" si="114"/>
        <v>4</v>
      </c>
      <c r="E362" s="1">
        <f>-E348</f>
        <v>-6.1</v>
      </c>
      <c r="F362" s="120">
        <f>F358</f>
        <v>82</v>
      </c>
      <c r="G362" s="120">
        <f>G358</f>
        <v>17.739999999999998</v>
      </c>
      <c r="H362" s="58"/>
      <c r="L362" s="63"/>
      <c r="M362" s="58"/>
      <c r="N362" s="59"/>
      <c r="O362" s="60"/>
      <c r="P362" s="10"/>
      <c r="Q362" s="61"/>
      <c r="R362" s="10"/>
      <c r="S362" s="62"/>
    </row>
    <row r="363" spans="2:19" x14ac:dyDescent="0.25">
      <c r="B363" s="58"/>
      <c r="C363" s="10"/>
      <c r="D363" s="10"/>
      <c r="E363" s="10"/>
      <c r="F363" s="120">
        <f t="shared" ref="F363:G363" si="115">F359</f>
        <v>84</v>
      </c>
      <c r="G363" s="120">
        <f t="shared" si="115"/>
        <v>20.74</v>
      </c>
      <c r="H363" s="58"/>
      <c r="L363" s="63"/>
      <c r="M363" s="58"/>
      <c r="N363" s="59"/>
      <c r="O363" s="60"/>
      <c r="P363" s="10"/>
      <c r="Q363" s="61"/>
      <c r="R363" s="10"/>
      <c r="S363" s="62"/>
    </row>
    <row r="364" spans="2:19" x14ac:dyDescent="0.25">
      <c r="B364" s="58"/>
      <c r="C364" s="10"/>
      <c r="D364" s="10"/>
      <c r="E364" s="10"/>
      <c r="F364" s="120">
        <f t="shared" ref="F364:G364" si="116">F360</f>
        <v>86</v>
      </c>
      <c r="G364" s="120">
        <f t="shared" si="116"/>
        <v>23.74</v>
      </c>
      <c r="H364" s="58"/>
      <c r="L364" s="63"/>
      <c r="M364" s="58"/>
      <c r="N364" s="59"/>
      <c r="O364" s="60"/>
      <c r="P364" s="10"/>
      <c r="Q364" s="61"/>
      <c r="R364" s="10"/>
      <c r="S364" s="62"/>
    </row>
    <row r="365" spans="2:19" ht="15.75" thickBot="1" x14ac:dyDescent="0.3">
      <c r="B365" s="58"/>
      <c r="C365" s="10"/>
      <c r="D365" s="10"/>
      <c r="E365" s="10"/>
      <c r="F365" s="120">
        <f t="shared" ref="F365:G365" si="117">F361</f>
        <v>88</v>
      </c>
      <c r="G365" s="120">
        <f t="shared" si="117"/>
        <v>29.74</v>
      </c>
      <c r="H365" s="1">
        <f>H361</f>
        <v>5</v>
      </c>
      <c r="L365" s="63"/>
      <c r="M365" s="58"/>
      <c r="N365" s="59"/>
      <c r="O365" s="60"/>
      <c r="P365" s="10"/>
      <c r="Q365" s="61"/>
      <c r="R365" s="10"/>
      <c r="S365" s="62"/>
    </row>
    <row r="366" spans="2:19" x14ac:dyDescent="0.25">
      <c r="B366" s="138">
        <f>2*I58-1</f>
        <v>1</v>
      </c>
      <c r="C366" s="141">
        <f>C$118+('Variables auxiliares'!F$9-I58)*Datos!J$5</f>
        <v>244.15999999999997</v>
      </c>
      <c r="D366" s="138">
        <f>D338</f>
        <v>1</v>
      </c>
      <c r="E366" s="138">
        <f t="shared" ref="E366:G366" si="118">E338</f>
        <v>1.22</v>
      </c>
      <c r="F366" s="28">
        <f t="shared" si="118"/>
        <v>2</v>
      </c>
      <c r="G366" s="29">
        <f t="shared" si="118"/>
        <v>3.06</v>
      </c>
      <c r="L366" s="63"/>
      <c r="M366" s="58"/>
      <c r="N366" s="59"/>
      <c r="O366" s="60"/>
      <c r="P366" s="10"/>
      <c r="Q366" s="61"/>
      <c r="R366" s="10"/>
      <c r="S366" s="62"/>
    </row>
    <row r="367" spans="2:19" x14ac:dyDescent="0.25">
      <c r="B367" s="58"/>
      <c r="C367" s="58"/>
      <c r="D367" s="58"/>
      <c r="E367" s="58"/>
      <c r="F367" s="1">
        <f t="shared" ref="F367:G367" si="119">F339</f>
        <v>4</v>
      </c>
      <c r="G367" s="25">
        <f t="shared" si="119"/>
        <v>6.0600000000000005</v>
      </c>
      <c r="L367" s="63"/>
      <c r="M367" s="58"/>
      <c r="N367" s="59"/>
      <c r="O367" s="60"/>
      <c r="P367" s="10"/>
      <c r="Q367" s="61"/>
      <c r="R367" s="10"/>
      <c r="S367" s="62"/>
    </row>
    <row r="368" spans="2:19" x14ac:dyDescent="0.25">
      <c r="B368" s="10"/>
      <c r="C368" s="10"/>
      <c r="D368" s="10"/>
      <c r="E368" s="10"/>
      <c r="F368" s="1">
        <f t="shared" ref="F368:G368" si="120">F340</f>
        <v>82</v>
      </c>
      <c r="G368" s="1">
        <f t="shared" si="120"/>
        <v>17.739999999999998</v>
      </c>
      <c r="L368" s="63"/>
      <c r="M368" s="58"/>
      <c r="N368" s="59"/>
      <c r="O368" s="60"/>
      <c r="P368" s="10"/>
      <c r="Q368" s="61"/>
      <c r="R368" s="10"/>
      <c r="S368" s="62"/>
    </row>
    <row r="369" spans="2:19" x14ac:dyDescent="0.25">
      <c r="B369" s="10"/>
      <c r="C369" s="10"/>
      <c r="D369" s="10"/>
      <c r="E369" s="10" t="s">
        <v>141</v>
      </c>
      <c r="F369" s="1">
        <f t="shared" ref="F369:G372" si="121">F341</f>
        <v>84</v>
      </c>
      <c r="G369" s="1">
        <f t="shared" si="121"/>
        <v>20.74</v>
      </c>
      <c r="L369" s="63"/>
      <c r="M369" s="58"/>
      <c r="N369" s="59"/>
      <c r="O369" s="60"/>
      <c r="P369" s="10"/>
      <c r="Q369" s="61"/>
      <c r="R369" s="10"/>
      <c r="S369" s="62"/>
    </row>
    <row r="370" spans="2:19" x14ac:dyDescent="0.25">
      <c r="B370" s="10"/>
      <c r="C370" s="10"/>
      <c r="D370" s="10"/>
      <c r="E370" s="10"/>
      <c r="F370" s="1">
        <f t="shared" si="121"/>
        <v>86</v>
      </c>
      <c r="G370" s="1">
        <f t="shared" si="121"/>
        <v>23.74</v>
      </c>
      <c r="L370" s="63"/>
      <c r="M370" s="58"/>
      <c r="N370" s="59"/>
      <c r="O370" s="60"/>
      <c r="P370" s="10"/>
      <c r="Q370" s="61"/>
      <c r="R370" s="10"/>
      <c r="S370" s="62"/>
    </row>
    <row r="371" spans="2:19" x14ac:dyDescent="0.25">
      <c r="B371" s="10"/>
      <c r="C371" s="10"/>
      <c r="D371" s="10"/>
      <c r="E371" s="10"/>
      <c r="F371" s="31">
        <f t="shared" si="121"/>
        <v>88</v>
      </c>
      <c r="G371" s="31">
        <f t="shared" si="121"/>
        <v>29.74</v>
      </c>
      <c r="H371" s="1">
        <f>INT(((3*Datos!C$6-C366)*TAN('Variables auxiliares'!C$40)-Datos!C$8+'Variables auxiliares'!F$54)/Datos!J$8)</f>
        <v>5</v>
      </c>
      <c r="L371" s="63"/>
      <c r="M371" s="58"/>
      <c r="N371" s="59"/>
      <c r="O371" s="60"/>
      <c r="P371" s="10"/>
      <c r="Q371" s="61"/>
      <c r="R371" s="10"/>
      <c r="S371" s="62"/>
    </row>
    <row r="372" spans="2:19" x14ac:dyDescent="0.25">
      <c r="B372" s="1">
        <f>B366</f>
        <v>1</v>
      </c>
      <c r="C372" s="25">
        <f>C366</f>
        <v>244.15999999999997</v>
      </c>
      <c r="D372" s="1">
        <f>D344</f>
        <v>3</v>
      </c>
      <c r="E372" s="1">
        <f>E344</f>
        <v>3.66</v>
      </c>
      <c r="F372" s="1">
        <f t="shared" si="121"/>
        <v>82</v>
      </c>
      <c r="G372" s="1">
        <f t="shared" si="121"/>
        <v>17.739999999999998</v>
      </c>
      <c r="L372" s="63"/>
      <c r="M372" s="58"/>
      <c r="N372" s="59"/>
      <c r="O372" s="60"/>
      <c r="P372" s="10"/>
      <c r="Q372" s="61"/>
      <c r="R372" s="10"/>
      <c r="S372" s="62"/>
    </row>
    <row r="373" spans="2:19" x14ac:dyDescent="0.25">
      <c r="B373" s="10"/>
      <c r="C373" s="10"/>
      <c r="D373" s="10"/>
      <c r="E373" s="10"/>
      <c r="F373" s="1">
        <f t="shared" ref="F373:G373" si="122">F345</f>
        <v>84</v>
      </c>
      <c r="G373" s="1">
        <f t="shared" si="122"/>
        <v>20.74</v>
      </c>
      <c r="L373" s="63"/>
      <c r="M373" s="58"/>
      <c r="N373" s="59"/>
      <c r="O373" s="60"/>
      <c r="P373" s="10"/>
      <c r="Q373" s="61"/>
      <c r="R373" s="10"/>
      <c r="S373" s="62"/>
    </row>
    <row r="374" spans="2:19" x14ac:dyDescent="0.25">
      <c r="B374" s="58"/>
      <c r="C374" s="59"/>
      <c r="D374" s="58"/>
      <c r="E374" s="58"/>
      <c r="F374" s="1">
        <f t="shared" ref="F374:G374" si="123">F346</f>
        <v>86</v>
      </c>
      <c r="G374" s="1">
        <f t="shared" si="123"/>
        <v>23.74</v>
      </c>
      <c r="L374" s="63"/>
      <c r="M374" s="58"/>
      <c r="N374" s="59"/>
      <c r="O374" s="60"/>
      <c r="P374" s="10"/>
      <c r="Q374" s="61"/>
      <c r="R374" s="10"/>
      <c r="S374" s="62"/>
    </row>
    <row r="375" spans="2:19" x14ac:dyDescent="0.25">
      <c r="B375" s="10"/>
      <c r="C375" s="10"/>
      <c r="D375" s="10"/>
      <c r="E375" s="10"/>
      <c r="F375" s="1">
        <f t="shared" ref="F375:G375" si="124">F347</f>
        <v>88</v>
      </c>
      <c r="G375" s="1">
        <f t="shared" si="124"/>
        <v>29.74</v>
      </c>
      <c r="H375" s="1">
        <f>H371</f>
        <v>5</v>
      </c>
      <c r="L375" s="63"/>
      <c r="M375" s="58"/>
      <c r="N375" s="59"/>
      <c r="O375" s="60"/>
      <c r="P375" s="10"/>
      <c r="Q375" s="61"/>
      <c r="R375" s="10"/>
      <c r="S375" s="62"/>
    </row>
    <row r="376" spans="2:19" x14ac:dyDescent="0.25">
      <c r="B376" s="1">
        <f>B372</f>
        <v>1</v>
      </c>
      <c r="C376" s="25">
        <f t="shared" ref="C376:D376" si="125">C372</f>
        <v>244.15999999999997</v>
      </c>
      <c r="D376" s="1">
        <f t="shared" si="125"/>
        <v>3</v>
      </c>
      <c r="E376" s="1">
        <f>E348</f>
        <v>6.1</v>
      </c>
      <c r="F376" s="1">
        <f>F372</f>
        <v>82</v>
      </c>
      <c r="G376" s="1">
        <f>G372</f>
        <v>17.739999999999998</v>
      </c>
      <c r="H376" s="58"/>
      <c r="L376" s="63"/>
      <c r="M376" s="58"/>
      <c r="N376" s="59"/>
      <c r="O376" s="60"/>
      <c r="P376" s="10"/>
      <c r="Q376" s="61"/>
      <c r="R376" s="10"/>
      <c r="S376" s="62"/>
    </row>
    <row r="377" spans="2:19" x14ac:dyDescent="0.25">
      <c r="B377" s="10"/>
      <c r="C377" s="10"/>
      <c r="D377" s="10"/>
      <c r="E377" s="10"/>
      <c r="F377" s="1">
        <f t="shared" ref="F377:G377" si="126">F373</f>
        <v>84</v>
      </c>
      <c r="G377" s="1">
        <f t="shared" si="126"/>
        <v>20.74</v>
      </c>
      <c r="H377" s="58"/>
      <c r="L377" s="63"/>
      <c r="M377" s="58"/>
      <c r="N377" s="59"/>
      <c r="O377" s="60"/>
      <c r="P377" s="10"/>
      <c r="Q377" s="61"/>
      <c r="R377" s="10"/>
      <c r="S377" s="62"/>
    </row>
    <row r="378" spans="2:19" x14ac:dyDescent="0.25">
      <c r="B378" s="10"/>
      <c r="C378" s="10"/>
      <c r="D378" s="10"/>
      <c r="E378" s="10"/>
      <c r="F378" s="1">
        <f t="shared" ref="F378:G378" si="127">F374</f>
        <v>86</v>
      </c>
      <c r="G378" s="1">
        <f t="shared" si="127"/>
        <v>23.74</v>
      </c>
      <c r="H378" s="58"/>
      <c r="L378" s="63"/>
      <c r="M378" s="58"/>
      <c r="N378" s="59"/>
      <c r="O378" s="60"/>
      <c r="P378" s="10"/>
      <c r="Q378" s="61"/>
      <c r="R378" s="10"/>
      <c r="S378" s="62"/>
    </row>
    <row r="379" spans="2:19" x14ac:dyDescent="0.25">
      <c r="B379" s="10"/>
      <c r="C379" s="10"/>
      <c r="D379" s="10"/>
      <c r="E379" s="10"/>
      <c r="F379" s="1">
        <f t="shared" ref="F379:G379" si="128">F375</f>
        <v>88</v>
      </c>
      <c r="G379" s="1">
        <f t="shared" si="128"/>
        <v>29.74</v>
      </c>
      <c r="H379" s="1">
        <f>H375</f>
        <v>5</v>
      </c>
      <c r="L379" s="63"/>
      <c r="M379" s="58"/>
      <c r="N379" s="59"/>
      <c r="O379" s="60"/>
      <c r="P379" s="10"/>
      <c r="Q379" s="61"/>
      <c r="R379" s="10"/>
      <c r="S379" s="62"/>
    </row>
    <row r="380" spans="2:19" x14ac:dyDescent="0.25">
      <c r="B380" s="1">
        <f>B372</f>
        <v>1</v>
      </c>
      <c r="C380" s="25">
        <f>C372</f>
        <v>244.15999999999997</v>
      </c>
      <c r="D380" s="1">
        <f>D352</f>
        <v>2</v>
      </c>
      <c r="E380" s="1">
        <f>E352</f>
        <v>-1.22</v>
      </c>
      <c r="F380" s="1">
        <f t="shared" ref="F380:G380" si="129">F352</f>
        <v>2</v>
      </c>
      <c r="G380" s="25">
        <f t="shared" si="129"/>
        <v>3.06</v>
      </c>
      <c r="L380" s="63"/>
      <c r="M380" s="58"/>
      <c r="N380" s="59"/>
      <c r="O380" s="60"/>
      <c r="P380" s="10"/>
      <c r="Q380" s="61"/>
      <c r="R380" s="10"/>
      <c r="S380" s="62"/>
    </row>
    <row r="381" spans="2:19" x14ac:dyDescent="0.25">
      <c r="B381" s="10"/>
      <c r="C381" s="10"/>
      <c r="D381" s="10"/>
      <c r="E381" s="10"/>
      <c r="F381" s="1">
        <f t="shared" ref="F381:G381" si="130">F353</f>
        <v>4</v>
      </c>
      <c r="G381" s="25">
        <f t="shared" si="130"/>
        <v>6.0600000000000005</v>
      </c>
      <c r="L381" s="63"/>
      <c r="M381" s="58"/>
      <c r="N381" s="59"/>
      <c r="O381" s="60"/>
      <c r="P381" s="10"/>
      <c r="Q381" s="61"/>
      <c r="R381" s="10"/>
      <c r="S381" s="62"/>
    </row>
    <row r="382" spans="2:19" x14ac:dyDescent="0.25">
      <c r="B382" s="10"/>
      <c r="C382" s="10"/>
      <c r="D382" s="10"/>
      <c r="E382" s="10"/>
      <c r="F382" s="1">
        <f t="shared" ref="F382:G382" si="131">F354</f>
        <v>82</v>
      </c>
      <c r="G382" s="25">
        <f t="shared" si="131"/>
        <v>17.739999999999998</v>
      </c>
      <c r="L382" s="63"/>
      <c r="M382" s="58"/>
      <c r="N382" s="59"/>
      <c r="O382" s="60"/>
      <c r="P382" s="10"/>
      <c r="Q382" s="61"/>
      <c r="R382" s="10"/>
      <c r="S382" s="62"/>
    </row>
    <row r="383" spans="2:19" x14ac:dyDescent="0.25">
      <c r="B383" s="10"/>
      <c r="C383" s="10"/>
      <c r="D383" s="10"/>
      <c r="E383" s="10" t="s">
        <v>142</v>
      </c>
      <c r="F383" s="1">
        <f t="shared" ref="F383:G383" si="132">F355</f>
        <v>84</v>
      </c>
      <c r="G383" s="25">
        <f t="shared" si="132"/>
        <v>20.74</v>
      </c>
      <c r="L383" s="63"/>
      <c r="M383" s="58"/>
      <c r="N383" s="59"/>
      <c r="O383" s="60"/>
      <c r="P383" s="10"/>
      <c r="Q383" s="61"/>
      <c r="R383" s="10"/>
      <c r="S383" s="62"/>
    </row>
    <row r="384" spans="2:19" x14ac:dyDescent="0.25">
      <c r="B384" s="10"/>
      <c r="C384" s="10"/>
      <c r="D384" s="10"/>
      <c r="E384" s="10"/>
      <c r="F384" s="1">
        <f t="shared" ref="F384:G385" si="133">F356</f>
        <v>86</v>
      </c>
      <c r="G384" s="25">
        <f t="shared" si="133"/>
        <v>23.74</v>
      </c>
      <c r="L384" s="63"/>
      <c r="M384" s="58"/>
      <c r="N384" s="59"/>
      <c r="O384" s="60"/>
      <c r="P384" s="10"/>
      <c r="Q384" s="61"/>
      <c r="R384" s="10"/>
      <c r="S384" s="62"/>
    </row>
    <row r="385" spans="2:19" x14ac:dyDescent="0.25">
      <c r="B385" s="58"/>
      <c r="C385" s="58"/>
      <c r="D385" s="58"/>
      <c r="E385" s="58"/>
      <c r="F385" s="31">
        <f t="shared" si="133"/>
        <v>88</v>
      </c>
      <c r="G385" s="32">
        <f t="shared" si="133"/>
        <v>29.74</v>
      </c>
      <c r="H385" s="1">
        <f>H375</f>
        <v>5</v>
      </c>
      <c r="L385" s="63"/>
      <c r="M385" s="58"/>
      <c r="N385" s="59"/>
      <c r="O385" s="60"/>
      <c r="P385" s="10"/>
      <c r="Q385" s="61"/>
      <c r="R385" s="10"/>
      <c r="S385" s="62"/>
    </row>
    <row r="386" spans="2:19" x14ac:dyDescent="0.25">
      <c r="B386" s="1">
        <f>B380</f>
        <v>1</v>
      </c>
      <c r="C386" s="25">
        <f>C380</f>
        <v>244.15999999999997</v>
      </c>
      <c r="D386" s="1">
        <f>D358</f>
        <v>4</v>
      </c>
      <c r="E386" s="1">
        <f t="shared" ref="E386:G386" si="134">E358</f>
        <v>-3.66</v>
      </c>
      <c r="F386" s="1">
        <f t="shared" si="134"/>
        <v>82</v>
      </c>
      <c r="G386" s="1">
        <f t="shared" si="134"/>
        <v>17.739999999999998</v>
      </c>
      <c r="L386" s="63"/>
      <c r="M386" s="58"/>
      <c r="N386" s="59"/>
      <c r="O386" s="60"/>
      <c r="P386" s="10"/>
      <c r="Q386" s="61"/>
      <c r="R386" s="10"/>
      <c r="S386" s="62"/>
    </row>
    <row r="387" spans="2:19" x14ac:dyDescent="0.25">
      <c r="B387" s="10"/>
      <c r="C387" s="10"/>
      <c r="D387" s="10"/>
      <c r="E387" s="10"/>
      <c r="F387" s="1">
        <f t="shared" ref="F387:G387" si="135">F359</f>
        <v>84</v>
      </c>
      <c r="G387" s="1">
        <f t="shared" si="135"/>
        <v>20.74</v>
      </c>
      <c r="L387" s="63"/>
      <c r="M387" s="58"/>
      <c r="N387" s="59"/>
      <c r="O387" s="60"/>
      <c r="P387" s="10"/>
      <c r="Q387" s="61"/>
      <c r="R387" s="10"/>
      <c r="S387" s="62"/>
    </row>
    <row r="388" spans="2:19" x14ac:dyDescent="0.25">
      <c r="B388" s="10"/>
      <c r="C388" s="10"/>
      <c r="D388" s="10"/>
      <c r="E388" s="10"/>
      <c r="F388" s="1">
        <f t="shared" ref="F388:G388" si="136">F360</f>
        <v>86</v>
      </c>
      <c r="G388" s="1">
        <f t="shared" si="136"/>
        <v>23.74</v>
      </c>
      <c r="L388" s="63"/>
      <c r="M388" s="58"/>
      <c r="N388" s="59"/>
      <c r="O388" s="60"/>
      <c r="P388" s="10"/>
      <c r="Q388" s="61"/>
      <c r="R388" s="10"/>
      <c r="S388" s="62"/>
    </row>
    <row r="389" spans="2:19" x14ac:dyDescent="0.25">
      <c r="B389" s="10"/>
      <c r="C389" s="10"/>
      <c r="D389" s="10"/>
      <c r="E389" s="10"/>
      <c r="F389" s="1">
        <f t="shared" ref="F389:G389" si="137">F361</f>
        <v>88</v>
      </c>
      <c r="G389" s="1">
        <f t="shared" si="137"/>
        <v>29.74</v>
      </c>
      <c r="H389" s="142">
        <f>H385</f>
        <v>5</v>
      </c>
      <c r="L389" s="63"/>
      <c r="M389" s="58"/>
      <c r="N389" s="59"/>
      <c r="O389" s="60"/>
      <c r="P389" s="10"/>
      <c r="Q389" s="61"/>
      <c r="R389" s="10"/>
      <c r="S389" s="62"/>
    </row>
    <row r="390" spans="2:19" x14ac:dyDescent="0.25">
      <c r="B390" s="1">
        <f>B386</f>
        <v>1</v>
      </c>
      <c r="C390" s="25">
        <f t="shared" ref="C390:G390" si="138">C386</f>
        <v>244.15999999999997</v>
      </c>
      <c r="D390" s="1">
        <f t="shared" si="138"/>
        <v>4</v>
      </c>
      <c r="E390" s="1">
        <f>-E376</f>
        <v>-6.1</v>
      </c>
      <c r="F390" s="1">
        <f t="shared" si="138"/>
        <v>82</v>
      </c>
      <c r="G390" s="1">
        <f t="shared" si="138"/>
        <v>17.739999999999998</v>
      </c>
      <c r="L390" s="63"/>
      <c r="M390" s="58"/>
      <c r="N390" s="59"/>
      <c r="O390" s="60"/>
      <c r="P390" s="10"/>
      <c r="Q390" s="61"/>
      <c r="R390" s="10"/>
      <c r="S390" s="62"/>
    </row>
    <row r="391" spans="2:19" x14ac:dyDescent="0.25">
      <c r="B391" s="10"/>
      <c r="C391" s="10"/>
      <c r="D391" s="10"/>
      <c r="E391" s="10"/>
      <c r="F391" s="1">
        <f t="shared" ref="F391:G391" si="139">F387</f>
        <v>84</v>
      </c>
      <c r="G391" s="1">
        <f t="shared" si="139"/>
        <v>20.74</v>
      </c>
      <c r="L391" s="63"/>
      <c r="M391" s="58"/>
      <c r="N391" s="59"/>
      <c r="O391" s="60"/>
      <c r="P391" s="10"/>
      <c r="Q391" s="61"/>
      <c r="R391" s="10"/>
      <c r="S391" s="62"/>
    </row>
    <row r="392" spans="2:19" x14ac:dyDescent="0.25">
      <c r="B392" s="58"/>
      <c r="C392" s="58"/>
      <c r="D392" s="58"/>
      <c r="E392" s="58"/>
      <c r="F392" s="1">
        <f t="shared" ref="F392:G392" si="140">F388</f>
        <v>86</v>
      </c>
      <c r="G392" s="1">
        <f t="shared" si="140"/>
        <v>23.74</v>
      </c>
      <c r="L392" s="63"/>
      <c r="M392" s="60"/>
      <c r="N392" s="59"/>
      <c r="O392" s="60"/>
      <c r="P392" s="10"/>
      <c r="Q392" s="61"/>
      <c r="R392" s="10"/>
      <c r="S392" s="62"/>
    </row>
    <row r="393" spans="2:19" x14ac:dyDescent="0.25">
      <c r="B393" s="10"/>
      <c r="C393" s="10"/>
      <c r="D393" s="10"/>
      <c r="E393" s="10"/>
      <c r="F393" s="1">
        <f t="shared" ref="F393:G393" si="141">F389</f>
        <v>88</v>
      </c>
      <c r="G393" s="1">
        <f t="shared" si="141"/>
        <v>29.74</v>
      </c>
      <c r="H393" s="1">
        <f>H389</f>
        <v>5</v>
      </c>
      <c r="L393" s="63"/>
      <c r="M393" s="60"/>
      <c r="N393" s="59"/>
      <c r="O393" s="60"/>
      <c r="P393" s="10"/>
      <c r="Q393" s="61"/>
      <c r="R393" s="10"/>
      <c r="S393" s="62"/>
    </row>
    <row r="394" spans="2:19" x14ac:dyDescent="0.25">
      <c r="B394" s="10"/>
      <c r="C394" s="10"/>
      <c r="D394" s="10"/>
      <c r="E394" s="10"/>
      <c r="F394" s="58"/>
      <c r="G394" s="59"/>
      <c r="L394" s="63"/>
      <c r="M394" s="60"/>
      <c r="N394" s="59"/>
      <c r="O394" s="60"/>
      <c r="P394" s="10"/>
      <c r="Q394" s="61"/>
      <c r="R394" s="10"/>
      <c r="S394" s="62"/>
    </row>
    <row r="395" spans="2:19" x14ac:dyDescent="0.25">
      <c r="B395" s="10"/>
      <c r="C395" s="10"/>
      <c r="D395" s="10"/>
      <c r="E395" s="10"/>
      <c r="F395" s="58"/>
      <c r="G395" s="59"/>
      <c r="L395" s="63"/>
      <c r="M395" s="60"/>
      <c r="N395" s="59"/>
      <c r="O395" s="60"/>
      <c r="P395" s="10"/>
      <c r="Q395" s="61"/>
      <c r="R395" s="10"/>
      <c r="S395" s="62"/>
    </row>
    <row r="396" spans="2:19" x14ac:dyDescent="0.25">
      <c r="B396" s="10"/>
      <c r="C396" s="10"/>
      <c r="D396" s="10"/>
      <c r="E396" s="10"/>
      <c r="F396" s="58"/>
      <c r="G396" s="59"/>
      <c r="L396" s="63"/>
      <c r="M396" s="60"/>
      <c r="N396" s="59"/>
      <c r="O396" s="60"/>
      <c r="P396" s="10"/>
      <c r="Q396" s="61"/>
      <c r="R396" s="10"/>
      <c r="S396" s="62"/>
    </row>
    <row r="397" spans="2:19" x14ac:dyDescent="0.25">
      <c r="B397" s="10"/>
      <c r="C397" s="10"/>
      <c r="D397" s="10"/>
      <c r="E397" s="10"/>
      <c r="F397" s="58"/>
      <c r="G397" s="59"/>
      <c r="L397" s="63"/>
      <c r="M397" s="60"/>
      <c r="N397" s="59"/>
      <c r="O397" s="60"/>
      <c r="P397" s="10"/>
      <c r="Q397" s="61"/>
      <c r="R397" s="10"/>
      <c r="S397" s="62"/>
    </row>
    <row r="398" spans="2:19" x14ac:dyDescent="0.25">
      <c r="B398" s="10"/>
      <c r="C398" s="10"/>
      <c r="D398" s="10"/>
      <c r="E398" s="10"/>
      <c r="F398" s="58"/>
      <c r="G398" s="59"/>
      <c r="L398" s="63"/>
      <c r="M398" s="60"/>
      <c r="N398" s="59"/>
      <c r="O398" s="60"/>
      <c r="P398" s="10"/>
      <c r="Q398" s="61"/>
      <c r="R398" s="10"/>
      <c r="S398" s="62"/>
    </row>
    <row r="399" spans="2:19" x14ac:dyDescent="0.25">
      <c r="B399" s="58"/>
      <c r="C399" s="58"/>
      <c r="D399" s="58"/>
      <c r="E399" s="58"/>
      <c r="F399" s="58"/>
      <c r="G399" s="59"/>
      <c r="L399" s="63"/>
      <c r="M399" s="60"/>
      <c r="N399" s="59"/>
      <c r="O399" s="60"/>
      <c r="P399" s="10"/>
      <c r="Q399" s="61"/>
      <c r="R399" s="10"/>
      <c r="S399" s="62"/>
    </row>
    <row r="400" spans="2:19" x14ac:dyDescent="0.25">
      <c r="B400" s="10"/>
      <c r="C400" s="10"/>
      <c r="D400" s="10"/>
      <c r="E400" s="10"/>
      <c r="F400" s="58"/>
      <c r="G400" s="59"/>
      <c r="L400" s="63"/>
      <c r="M400" s="60"/>
      <c r="N400" s="59"/>
      <c r="O400" s="60"/>
      <c r="P400" s="10"/>
      <c r="Q400" s="61"/>
      <c r="R400" s="10"/>
      <c r="S400" s="62"/>
    </row>
    <row r="401" spans="2:19" x14ac:dyDescent="0.25">
      <c r="B401" s="10"/>
      <c r="C401" s="10"/>
      <c r="D401" s="10"/>
      <c r="E401" s="10"/>
      <c r="F401" s="58"/>
      <c r="G401" s="59"/>
      <c r="L401" s="63"/>
      <c r="M401" s="60"/>
      <c r="N401" s="59"/>
      <c r="O401" s="60"/>
      <c r="P401" s="10"/>
      <c r="Q401" s="61"/>
      <c r="R401" s="10"/>
      <c r="S401" s="62"/>
    </row>
    <row r="402" spans="2:19" x14ac:dyDescent="0.25">
      <c r="B402" s="10"/>
      <c r="C402" s="10"/>
      <c r="D402" s="10"/>
      <c r="E402" s="10"/>
      <c r="F402" s="58"/>
      <c r="G402" s="59"/>
      <c r="L402" s="63"/>
      <c r="M402" s="60"/>
      <c r="N402" s="59"/>
      <c r="O402" s="60"/>
      <c r="P402" s="10"/>
      <c r="Q402" s="61"/>
      <c r="R402" s="10"/>
      <c r="S402" s="62"/>
    </row>
    <row r="403" spans="2:19" x14ac:dyDescent="0.25">
      <c r="B403" s="10"/>
      <c r="C403" s="10"/>
      <c r="D403" s="10"/>
      <c r="E403" s="10"/>
      <c r="F403" s="58"/>
      <c r="G403" s="59"/>
      <c r="L403" s="63"/>
      <c r="M403" s="60"/>
      <c r="N403" s="59"/>
      <c r="O403" s="60"/>
      <c r="P403" s="10"/>
      <c r="Q403" s="61"/>
      <c r="R403" s="10"/>
      <c r="S403" s="62"/>
    </row>
    <row r="404" spans="2:19" x14ac:dyDescent="0.25">
      <c r="B404" s="10"/>
      <c r="C404" s="10"/>
      <c r="D404" s="10"/>
      <c r="E404" s="10"/>
      <c r="F404" s="58"/>
      <c r="G404" s="59"/>
      <c r="L404" s="63"/>
      <c r="M404" s="60"/>
      <c r="N404" s="59"/>
      <c r="O404" s="60"/>
      <c r="P404" s="10"/>
      <c r="Q404" s="61"/>
      <c r="R404" s="10"/>
      <c r="S404" s="62"/>
    </row>
    <row r="405" spans="2:19" x14ac:dyDescent="0.25">
      <c r="B405" s="10"/>
      <c r="C405" s="10"/>
      <c r="D405" s="10"/>
      <c r="E405" s="10"/>
      <c r="F405" s="58"/>
      <c r="G405" s="59"/>
      <c r="L405" s="63"/>
      <c r="M405" s="60"/>
      <c r="N405" s="59"/>
      <c r="O405" s="60"/>
      <c r="P405" s="10"/>
      <c r="Q405" s="61"/>
      <c r="R405" s="10"/>
      <c r="S405" s="62"/>
    </row>
    <row r="406" spans="2:19" x14ac:dyDescent="0.25">
      <c r="B406" s="58"/>
      <c r="C406" s="59"/>
      <c r="D406" s="58"/>
      <c r="E406" s="58"/>
      <c r="F406" s="58"/>
      <c r="G406" s="59"/>
      <c r="L406" s="58"/>
      <c r="M406" s="58"/>
      <c r="N406" s="59"/>
      <c r="O406" s="60"/>
      <c r="P406" s="10"/>
      <c r="Q406" s="61"/>
      <c r="R406" s="10"/>
      <c r="S406" s="62"/>
    </row>
    <row r="407" spans="2:19" x14ac:dyDescent="0.25">
      <c r="B407" s="10"/>
      <c r="C407" s="10"/>
      <c r="D407" s="10"/>
      <c r="E407" s="10"/>
      <c r="F407" s="58"/>
      <c r="G407" s="59"/>
      <c r="L407" s="58"/>
      <c r="M407" s="58"/>
      <c r="N407" s="59"/>
      <c r="O407" s="60"/>
      <c r="P407" s="10"/>
      <c r="Q407" s="61"/>
      <c r="R407" s="10"/>
      <c r="S407" s="62"/>
    </row>
    <row r="408" spans="2:19" x14ac:dyDescent="0.25">
      <c r="B408" s="10"/>
      <c r="C408" s="10"/>
      <c r="D408" s="10"/>
      <c r="E408" s="10"/>
      <c r="F408" s="58"/>
      <c r="G408" s="59"/>
      <c r="L408" s="58"/>
      <c r="M408" s="58"/>
      <c r="N408" s="59"/>
      <c r="O408" s="60"/>
      <c r="P408" s="10"/>
      <c r="Q408" s="61"/>
      <c r="R408" s="10"/>
      <c r="S408" s="62"/>
    </row>
    <row r="409" spans="2:19" x14ac:dyDescent="0.25">
      <c r="B409" s="10"/>
      <c r="C409" s="10"/>
      <c r="D409" s="10"/>
      <c r="E409" s="10"/>
      <c r="F409" s="58"/>
      <c r="G409" s="59"/>
      <c r="L409" s="58"/>
      <c r="M409" s="58"/>
      <c r="N409" s="59"/>
      <c r="O409" s="60"/>
      <c r="P409" s="10"/>
      <c r="Q409" s="61"/>
      <c r="R409" s="10"/>
      <c r="S409" s="62"/>
    </row>
    <row r="410" spans="2:19" x14ac:dyDescent="0.25">
      <c r="B410" s="10"/>
      <c r="C410" s="10"/>
      <c r="D410" s="10"/>
      <c r="E410" s="10"/>
      <c r="F410" s="58"/>
      <c r="G410" s="59"/>
      <c r="L410" s="58"/>
      <c r="M410" s="58"/>
      <c r="N410" s="59"/>
      <c r="O410" s="60"/>
      <c r="P410" s="10"/>
      <c r="Q410" s="61"/>
      <c r="R410" s="10"/>
      <c r="S410" s="62"/>
    </row>
    <row r="411" spans="2:19" x14ac:dyDescent="0.25">
      <c r="B411" s="10"/>
      <c r="C411" s="10"/>
      <c r="D411" s="10"/>
      <c r="E411" s="10"/>
      <c r="F411" s="58"/>
      <c r="G411" s="59"/>
      <c r="L411" s="58"/>
      <c r="M411" s="58"/>
      <c r="N411" s="59"/>
      <c r="O411" s="60"/>
      <c r="P411" s="10"/>
      <c r="Q411" s="61"/>
      <c r="R411" s="10"/>
      <c r="S411" s="62"/>
    </row>
    <row r="412" spans="2:19" x14ac:dyDescent="0.25">
      <c r="B412" s="58"/>
      <c r="C412" s="58"/>
      <c r="D412" s="58"/>
      <c r="E412" s="58"/>
      <c r="F412" s="58"/>
      <c r="G412" s="59"/>
      <c r="L412" s="58"/>
      <c r="M412" s="58"/>
      <c r="N412" s="59"/>
      <c r="O412" s="60"/>
      <c r="P412" s="10"/>
      <c r="Q412" s="61"/>
      <c r="R412" s="10"/>
      <c r="S412" s="62"/>
    </row>
    <row r="413" spans="2:19" x14ac:dyDescent="0.25">
      <c r="B413" s="10"/>
      <c r="C413" s="10"/>
      <c r="D413" s="10"/>
      <c r="E413" s="10"/>
      <c r="F413" s="58"/>
      <c r="G413" s="59"/>
      <c r="L413" s="58"/>
      <c r="M413" s="58"/>
      <c r="N413" s="59"/>
      <c r="O413" s="60"/>
      <c r="P413" s="10"/>
      <c r="Q413" s="61"/>
      <c r="R413" s="10"/>
      <c r="S413" s="62"/>
    </row>
    <row r="414" spans="2:19" x14ac:dyDescent="0.25">
      <c r="B414" s="10"/>
      <c r="C414" s="10"/>
      <c r="D414" s="10"/>
      <c r="E414" s="10"/>
      <c r="F414" s="58"/>
      <c r="G414" s="59"/>
      <c r="L414" s="58"/>
      <c r="M414" s="58"/>
      <c r="N414" s="59"/>
      <c r="O414" s="60"/>
      <c r="P414" s="10"/>
      <c r="Q414" s="61"/>
      <c r="R414" s="10"/>
      <c r="S414" s="62"/>
    </row>
    <row r="415" spans="2:19" x14ac:dyDescent="0.25">
      <c r="B415" s="10"/>
      <c r="C415" s="10"/>
      <c r="D415" s="10"/>
      <c r="E415" s="10"/>
      <c r="F415" s="58"/>
      <c r="G415" s="59"/>
      <c r="L415" s="58"/>
      <c r="M415" s="58"/>
      <c r="N415" s="59"/>
      <c r="O415" s="60"/>
      <c r="P415" s="10"/>
      <c r="Q415" s="61"/>
      <c r="R415" s="10"/>
      <c r="S415" s="62"/>
    </row>
    <row r="416" spans="2:19" x14ac:dyDescent="0.25">
      <c r="B416" s="10"/>
      <c r="C416" s="10"/>
      <c r="D416" s="10"/>
      <c r="E416" s="10"/>
      <c r="F416" s="58"/>
      <c r="G416" s="59"/>
      <c r="L416" s="58"/>
      <c r="M416" s="58"/>
      <c r="N416" s="59"/>
      <c r="O416" s="60"/>
      <c r="P416" s="10"/>
      <c r="Q416" s="61"/>
      <c r="R416" s="10"/>
      <c r="S416" s="62"/>
    </row>
    <row r="417" spans="2:19" x14ac:dyDescent="0.25">
      <c r="B417" s="10"/>
      <c r="C417" s="10"/>
      <c r="D417" s="10"/>
      <c r="E417" s="10"/>
      <c r="F417" s="58"/>
      <c r="G417" s="59"/>
      <c r="L417" s="58"/>
      <c r="M417" s="58"/>
      <c r="N417" s="59"/>
      <c r="O417" s="60"/>
      <c r="P417" s="10"/>
      <c r="Q417" s="61"/>
      <c r="R417" s="10"/>
      <c r="S417" s="62"/>
    </row>
    <row r="418" spans="2:19" x14ac:dyDescent="0.25">
      <c r="B418" s="58"/>
      <c r="C418" s="58"/>
      <c r="D418" s="58"/>
      <c r="E418" s="58"/>
      <c r="F418" s="58"/>
      <c r="G418" s="59"/>
      <c r="L418" s="58"/>
      <c r="M418" s="58"/>
      <c r="N418" s="59"/>
      <c r="O418" s="60"/>
      <c r="P418" s="10"/>
      <c r="Q418" s="61"/>
      <c r="R418" s="10"/>
      <c r="S418" s="62"/>
    </row>
    <row r="419" spans="2:19" x14ac:dyDescent="0.25">
      <c r="B419" s="10"/>
      <c r="C419" s="10"/>
      <c r="D419" s="10"/>
      <c r="E419" s="10"/>
      <c r="F419" s="58"/>
      <c r="G419" s="59"/>
      <c r="L419" s="58"/>
      <c r="M419" s="58"/>
      <c r="N419" s="59"/>
      <c r="O419" s="60"/>
      <c r="P419" s="10"/>
      <c r="Q419" s="61"/>
      <c r="R419" s="10"/>
      <c r="S419" s="62"/>
    </row>
    <row r="420" spans="2:19" x14ac:dyDescent="0.25">
      <c r="B420" s="10"/>
      <c r="C420" s="10"/>
      <c r="D420" s="10"/>
      <c r="E420" s="10"/>
      <c r="F420" s="58"/>
      <c r="G420" s="59"/>
      <c r="L420" s="58"/>
      <c r="M420" s="58"/>
      <c r="N420" s="59"/>
      <c r="O420" s="60"/>
      <c r="P420" s="10"/>
      <c r="Q420" s="61"/>
      <c r="R420" s="10"/>
      <c r="S420" s="62"/>
    </row>
    <row r="421" spans="2:19" x14ac:dyDescent="0.25">
      <c r="B421" s="10"/>
      <c r="C421" s="10"/>
      <c r="D421" s="10"/>
      <c r="E421" s="10"/>
      <c r="F421" s="58"/>
      <c r="G421" s="59"/>
      <c r="L421" s="58"/>
      <c r="M421" s="58"/>
      <c r="N421" s="59"/>
      <c r="O421" s="60"/>
      <c r="P421" s="10"/>
      <c r="Q421" s="61"/>
      <c r="R421" s="10"/>
      <c r="S421" s="62"/>
    </row>
    <row r="422" spans="2:19" x14ac:dyDescent="0.25">
      <c r="B422" s="10"/>
      <c r="C422" s="10"/>
      <c r="D422" s="10"/>
      <c r="E422" s="10"/>
      <c r="F422" s="58"/>
      <c r="G422" s="59"/>
      <c r="L422" s="58"/>
      <c r="M422" s="58"/>
      <c r="N422" s="59"/>
      <c r="O422" s="60"/>
      <c r="P422" s="10"/>
      <c r="Q422" s="61"/>
      <c r="R422" s="10"/>
      <c r="S422" s="62"/>
    </row>
    <row r="423" spans="2:19" x14ac:dyDescent="0.25">
      <c r="B423" s="10"/>
      <c r="C423" s="10"/>
      <c r="D423" s="10"/>
      <c r="E423" s="10"/>
      <c r="F423" s="58"/>
      <c r="G423" s="59"/>
      <c r="L423" s="58"/>
      <c r="M423" s="58"/>
      <c r="N423" s="59"/>
      <c r="O423" s="60"/>
      <c r="P423" s="10"/>
      <c r="Q423" s="61"/>
      <c r="R423" s="10"/>
      <c r="S423" s="62"/>
    </row>
    <row r="424" spans="2:19" x14ac:dyDescent="0.25">
      <c r="B424" s="58"/>
      <c r="C424" s="58"/>
      <c r="D424" s="58"/>
      <c r="E424" s="58"/>
      <c r="F424" s="58"/>
      <c r="G424" s="59"/>
      <c r="L424" s="58"/>
      <c r="M424" s="58"/>
      <c r="N424" s="59"/>
      <c r="O424" s="60"/>
      <c r="P424" s="10"/>
      <c r="Q424" s="61"/>
      <c r="R424" s="10"/>
      <c r="S424" s="62"/>
    </row>
    <row r="425" spans="2:19" x14ac:dyDescent="0.25">
      <c r="B425" s="10"/>
      <c r="C425" s="10"/>
      <c r="D425" s="10"/>
      <c r="E425" s="10"/>
      <c r="F425" s="58"/>
      <c r="G425" s="59"/>
      <c r="L425" s="58"/>
      <c r="M425" s="58"/>
      <c r="N425" s="59"/>
      <c r="O425" s="60"/>
      <c r="P425" s="10"/>
      <c r="Q425" s="61"/>
      <c r="R425" s="10"/>
      <c r="S425" s="62"/>
    </row>
    <row r="426" spans="2:19" x14ac:dyDescent="0.25">
      <c r="B426" s="10"/>
      <c r="C426" s="10"/>
      <c r="D426" s="10"/>
      <c r="E426" s="10"/>
      <c r="F426" s="58"/>
      <c r="G426" s="59"/>
      <c r="L426" s="58"/>
      <c r="M426" s="58"/>
      <c r="N426" s="59"/>
      <c r="O426" s="60"/>
      <c r="P426" s="10"/>
      <c r="Q426" s="61"/>
      <c r="R426" s="10"/>
      <c r="S426" s="62"/>
    </row>
    <row r="427" spans="2:19" x14ac:dyDescent="0.25">
      <c r="B427" s="10"/>
      <c r="C427" s="10"/>
      <c r="D427" s="10"/>
      <c r="E427" s="10"/>
      <c r="F427" s="58"/>
      <c r="G427" s="59"/>
      <c r="L427" s="58"/>
      <c r="M427" s="58"/>
      <c r="N427" s="59"/>
      <c r="O427" s="60"/>
      <c r="P427" s="10"/>
      <c r="Q427" s="61"/>
      <c r="R427" s="10"/>
      <c r="S427" s="62"/>
    </row>
    <row r="428" spans="2:19" x14ac:dyDescent="0.25">
      <c r="B428" s="10"/>
      <c r="C428" s="10"/>
      <c r="D428" s="10"/>
      <c r="E428" s="10"/>
      <c r="F428" s="58"/>
      <c r="G428" s="59"/>
      <c r="L428" s="58"/>
      <c r="M428" s="58"/>
      <c r="N428" s="59"/>
      <c r="O428" s="60"/>
      <c r="P428" s="10"/>
      <c r="Q428" s="61"/>
      <c r="R428" s="10"/>
      <c r="S428" s="62"/>
    </row>
    <row r="429" spans="2:19" x14ac:dyDescent="0.25">
      <c r="B429" s="10"/>
      <c r="C429" s="10"/>
      <c r="D429" s="10"/>
      <c r="E429" s="10"/>
      <c r="F429" s="58"/>
      <c r="G429" s="59"/>
      <c r="L429" s="58"/>
      <c r="M429" s="58"/>
      <c r="N429" s="59"/>
      <c r="O429" s="60"/>
      <c r="P429" s="10"/>
      <c r="Q429" s="61"/>
      <c r="R429" s="10"/>
      <c r="S429" s="62"/>
    </row>
    <row r="430" spans="2:19" x14ac:dyDescent="0.25">
      <c r="L430" s="10"/>
      <c r="M430" s="10"/>
      <c r="N430" s="10"/>
      <c r="O430" s="61"/>
      <c r="P430" s="61"/>
      <c r="Q430" s="61"/>
      <c r="R430" s="61"/>
      <c r="S430" s="10"/>
    </row>
    <row r="431" spans="2:19" x14ac:dyDescent="0.25">
      <c r="L431" s="10"/>
      <c r="M431" s="10"/>
      <c r="N431" s="10"/>
      <c r="O431" s="61"/>
      <c r="P431" s="10"/>
      <c r="Q431" s="10"/>
      <c r="R431" s="10"/>
      <c r="S431" s="10"/>
    </row>
    <row r="432" spans="2:19" x14ac:dyDescent="0.25">
      <c r="L432" s="10"/>
      <c r="M432" s="10"/>
      <c r="N432" s="10"/>
      <c r="O432" s="10"/>
      <c r="P432" s="10"/>
      <c r="Q432" s="62"/>
      <c r="R432" s="10"/>
      <c r="S432" s="10"/>
    </row>
    <row r="433" spans="12:19" x14ac:dyDescent="0.25">
      <c r="L433" s="10"/>
      <c r="M433" s="10"/>
      <c r="N433" s="10"/>
      <c r="O433" s="10"/>
      <c r="P433" s="10"/>
      <c r="Q433" s="10"/>
      <c r="R433" s="10"/>
      <c r="S433" s="10"/>
    </row>
    <row r="434" spans="12:19" x14ac:dyDescent="0.25">
      <c r="L434" s="10"/>
      <c r="M434" s="10"/>
      <c r="N434" s="10"/>
      <c r="O434" s="10"/>
      <c r="P434" s="10"/>
      <c r="Q434" s="61"/>
      <c r="R434" s="10"/>
      <c r="S434" s="10"/>
    </row>
    <row r="435" spans="12:19" x14ac:dyDescent="0.25">
      <c r="L435" s="10"/>
      <c r="M435" s="10"/>
      <c r="N435" s="10"/>
      <c r="O435" s="10"/>
      <c r="P435" s="10"/>
      <c r="Q435" s="10"/>
      <c r="R435" s="10"/>
      <c r="S435" s="10"/>
    </row>
    <row r="436" spans="12:19" x14ac:dyDescent="0.25">
      <c r="L436" s="10"/>
      <c r="M436" s="10"/>
      <c r="N436" s="10"/>
      <c r="O436" s="10"/>
      <c r="P436" s="10"/>
      <c r="Q436" s="10"/>
      <c r="R436" s="10"/>
      <c r="S436" s="10"/>
    </row>
    <row r="437" spans="12:19" x14ac:dyDescent="0.25">
      <c r="L437" s="10"/>
      <c r="M437" s="10"/>
      <c r="N437" s="10"/>
      <c r="O437" s="10"/>
      <c r="P437" s="10"/>
      <c r="Q437" s="10"/>
      <c r="R437" s="10"/>
      <c r="S437" s="10"/>
    </row>
    <row r="438" spans="12:19" x14ac:dyDescent="0.25">
      <c r="L438" s="10"/>
      <c r="M438" s="10"/>
      <c r="N438" s="10"/>
      <c r="O438" s="10"/>
      <c r="P438" s="10"/>
      <c r="Q438" s="62"/>
      <c r="R438" s="10"/>
      <c r="S438" s="10"/>
    </row>
    <row r="439" spans="12:19" x14ac:dyDescent="0.25">
      <c r="L439" s="10"/>
      <c r="M439" s="10"/>
      <c r="N439" s="10"/>
      <c r="O439" s="10"/>
      <c r="P439" s="10"/>
      <c r="Q439" s="62"/>
      <c r="R439" s="10"/>
      <c r="S439" s="10"/>
    </row>
    <row r="440" spans="12:19" x14ac:dyDescent="0.25">
      <c r="L440" s="10"/>
      <c r="M440" s="10"/>
      <c r="N440" s="10"/>
      <c r="O440" s="10"/>
      <c r="P440" s="10"/>
      <c r="Q440" s="10"/>
      <c r="R440" s="10"/>
      <c r="S440" s="10"/>
    </row>
    <row r="441" spans="12:19" x14ac:dyDescent="0.25">
      <c r="L441" s="10"/>
      <c r="M441" s="10"/>
      <c r="N441" s="10"/>
      <c r="O441" s="10"/>
      <c r="P441" s="10"/>
      <c r="Q441" s="10"/>
      <c r="R441" s="10"/>
      <c r="S441" s="10"/>
    </row>
    <row r="442" spans="12:19" x14ac:dyDescent="0.25">
      <c r="L442" s="10"/>
      <c r="M442" s="10"/>
      <c r="N442" s="10"/>
      <c r="O442" s="10"/>
      <c r="P442" s="10"/>
      <c r="Q442" s="62"/>
      <c r="R442" s="10"/>
      <c r="S442" s="10"/>
    </row>
    <row r="443" spans="12:19" x14ac:dyDescent="0.25">
      <c r="L443" s="10"/>
      <c r="M443" s="10"/>
      <c r="N443" s="10"/>
      <c r="O443" s="10"/>
      <c r="P443" s="10"/>
      <c r="Q443" s="10"/>
      <c r="R443" s="10"/>
      <c r="S443" s="10"/>
    </row>
    <row r="444" spans="12:19" x14ac:dyDescent="0.25">
      <c r="L444" s="10"/>
      <c r="M444" s="10"/>
      <c r="N444" s="10"/>
      <c r="O444" s="10"/>
      <c r="P444" s="10"/>
      <c r="Q444" s="10"/>
      <c r="R444" s="10"/>
      <c r="S444" s="10"/>
    </row>
    <row r="445" spans="12:19" x14ac:dyDescent="0.25">
      <c r="L445" s="10"/>
      <c r="M445" s="10"/>
      <c r="N445" s="10"/>
      <c r="O445" s="10"/>
      <c r="P445" s="10"/>
      <c r="Q445" s="10"/>
      <c r="R445" s="10"/>
      <c r="S445" s="10"/>
    </row>
  </sheetData>
  <mergeCells count="3">
    <mergeCell ref="B55:I55"/>
    <mergeCell ref="I41:I45"/>
    <mergeCell ref="I48:I49"/>
  </mergeCells>
  <pageMargins left="0.7" right="0.7" top="0.75" bottom="0.75" header="0.3" footer="0.3"/>
  <pageSetup paperSize="9" orientation="portrait" r:id="rId1"/>
  <ignoredErrors>
    <ignoredError sqref="F18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8"/>
  <sheetViews>
    <sheetView workbookViewId="0">
      <selection activeCell="C28" sqref="C28"/>
    </sheetView>
  </sheetViews>
  <sheetFormatPr baseColWidth="10" defaultRowHeight="15" x14ac:dyDescent="0.25"/>
  <cols>
    <col min="2" max="2" width="12.7109375" customWidth="1"/>
  </cols>
  <sheetData>
    <row r="1" spans="2:12" x14ac:dyDescent="0.25">
      <c r="F1" s="4"/>
    </row>
    <row r="3" spans="2:12" x14ac:dyDescent="0.25">
      <c r="B3" t="s">
        <v>8</v>
      </c>
      <c r="I3" t="s">
        <v>12</v>
      </c>
    </row>
    <row r="5" spans="2:12" x14ac:dyDescent="0.25">
      <c r="B5" s="151" t="s">
        <v>0</v>
      </c>
      <c r="C5" s="152"/>
      <c r="I5" t="s">
        <v>13</v>
      </c>
      <c r="J5">
        <v>6.06</v>
      </c>
      <c r="K5" t="s">
        <v>11</v>
      </c>
      <c r="L5" t="s">
        <v>31</v>
      </c>
    </row>
    <row r="6" spans="2:12" x14ac:dyDescent="0.25">
      <c r="B6" s="1" t="s">
        <v>1</v>
      </c>
      <c r="C6" s="23">
        <v>172</v>
      </c>
      <c r="I6" t="s">
        <v>14</v>
      </c>
      <c r="J6">
        <v>12.2</v>
      </c>
      <c r="K6" t="s">
        <v>11</v>
      </c>
      <c r="L6" t="s">
        <v>32</v>
      </c>
    </row>
    <row r="7" spans="2:12" x14ac:dyDescent="0.25">
      <c r="B7" s="1" t="s">
        <v>2</v>
      </c>
      <c r="C7" s="23">
        <v>27</v>
      </c>
      <c r="I7" t="s">
        <v>15</v>
      </c>
      <c r="J7">
        <v>2.44</v>
      </c>
      <c r="K7" t="s">
        <v>11</v>
      </c>
      <c r="L7" t="s">
        <v>33</v>
      </c>
    </row>
    <row r="8" spans="2:12" x14ac:dyDescent="0.25">
      <c r="B8" s="1" t="s">
        <v>43</v>
      </c>
      <c r="C8" s="23">
        <v>15</v>
      </c>
      <c r="I8" t="s">
        <v>16</v>
      </c>
      <c r="J8">
        <v>3</v>
      </c>
      <c r="K8" t="s">
        <v>11</v>
      </c>
      <c r="L8" t="s">
        <v>33</v>
      </c>
    </row>
    <row r="9" spans="2:12" x14ac:dyDescent="0.25">
      <c r="B9" s="1" t="s">
        <v>5</v>
      </c>
      <c r="C9" s="23">
        <v>17</v>
      </c>
      <c r="D9" s="52"/>
      <c r="I9" t="s">
        <v>55</v>
      </c>
      <c r="J9">
        <v>12.5</v>
      </c>
      <c r="K9" t="s">
        <v>29</v>
      </c>
    </row>
    <row r="10" spans="2:12" x14ac:dyDescent="0.25">
      <c r="B10" s="52" t="s">
        <v>280</v>
      </c>
      <c r="C10" s="148">
        <f>C14-C12</f>
        <v>8889.297474476225</v>
      </c>
      <c r="I10" t="s">
        <v>73</v>
      </c>
      <c r="J10">
        <v>24</v>
      </c>
      <c r="K10" t="s">
        <v>29</v>
      </c>
    </row>
    <row r="11" spans="2:12" x14ac:dyDescent="0.25">
      <c r="B11" s="8" t="s">
        <v>6</v>
      </c>
      <c r="C11" s="146">
        <f>GT!C13</f>
        <v>17983.265451506621</v>
      </c>
    </row>
    <row r="12" spans="2:12" x14ac:dyDescent="0.25">
      <c r="B12" s="8" t="s">
        <v>53</v>
      </c>
      <c r="C12" s="146">
        <f>C14-C13</f>
        <v>25312.566456152468</v>
      </c>
      <c r="D12" t="s">
        <v>29</v>
      </c>
    </row>
    <row r="13" spans="2:12" x14ac:dyDescent="0.25">
      <c r="B13" s="8" t="s">
        <v>76</v>
      </c>
      <c r="C13" s="146">
        <f>PR!C17</f>
        <v>8889.2974744762232</v>
      </c>
      <c r="D13" t="s">
        <v>29</v>
      </c>
    </row>
    <row r="14" spans="2:12" x14ac:dyDescent="0.25">
      <c r="B14" s="147" t="s">
        <v>200</v>
      </c>
      <c r="C14" s="146">
        <f>'Variables auxiliares'!M15</f>
        <v>34201.863930628693</v>
      </c>
      <c r="D14" t="s">
        <v>29</v>
      </c>
    </row>
    <row r="15" spans="2:12" x14ac:dyDescent="0.25">
      <c r="B15" s="149" t="s">
        <v>47</v>
      </c>
      <c r="C15" s="150">
        <f>C8-('Variables auxiliares'!R5/1000)</f>
        <v>10.777931056381625</v>
      </c>
      <c r="D15" t="s">
        <v>11</v>
      </c>
    </row>
    <row r="18" spans="1:5" x14ac:dyDescent="0.25">
      <c r="C18" s="24"/>
    </row>
    <row r="19" spans="1:5" x14ac:dyDescent="0.25">
      <c r="B19" s="5" t="s">
        <v>27</v>
      </c>
      <c r="C19">
        <v>1.0249999999999999</v>
      </c>
      <c r="D19" t="s">
        <v>28</v>
      </c>
    </row>
    <row r="20" spans="1:5" x14ac:dyDescent="0.25">
      <c r="A20" t="s">
        <v>156</v>
      </c>
      <c r="B20" s="5" t="s">
        <v>57</v>
      </c>
      <c r="C20" s="35">
        <f>0.22*C6+0.28*POWER(C8,1.56)-0.02*POWER(C6,0.806)*POWER(C8,1.1)</f>
        <v>32.055358427475937</v>
      </c>
      <c r="D20" t="s">
        <v>11</v>
      </c>
      <c r="E20" s="7"/>
    </row>
    <row r="21" spans="1:5" x14ac:dyDescent="0.25">
      <c r="B21" s="5" t="s">
        <v>58</v>
      </c>
      <c r="C21" s="6">
        <v>7.6</v>
      </c>
      <c r="D21" t="s">
        <v>11</v>
      </c>
    </row>
    <row r="22" spans="1:5" x14ac:dyDescent="0.25">
      <c r="B22" s="5"/>
    </row>
    <row r="23" spans="1:5" x14ac:dyDescent="0.25">
      <c r="B23" s="6" t="s">
        <v>7</v>
      </c>
      <c r="C23" s="6">
        <v>3</v>
      </c>
    </row>
    <row r="25" spans="1:5" x14ac:dyDescent="0.25">
      <c r="B25" t="s">
        <v>276</v>
      </c>
      <c r="C25" t="e">
        <f>0.373+0.023*(C7/#REF!)-0.043*(Datos!C6/100)</f>
        <v>#REF!</v>
      </c>
    </row>
    <row r="27" spans="1:5" x14ac:dyDescent="0.25">
      <c r="D27" t="s">
        <v>11</v>
      </c>
    </row>
    <row r="28" spans="1:5" x14ac:dyDescent="0.25">
      <c r="B28" t="s">
        <v>3</v>
      </c>
      <c r="C28" s="7">
        <f>C12/14.5</f>
        <v>1745.6942383553426</v>
      </c>
      <c r="D28" t="s">
        <v>4</v>
      </c>
    </row>
  </sheetData>
  <mergeCells count="1">
    <mergeCell ref="B5:C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12"/>
  <sheetViews>
    <sheetView workbookViewId="0">
      <selection activeCell="E13" sqref="E13"/>
    </sheetView>
  </sheetViews>
  <sheetFormatPr baseColWidth="10" defaultRowHeight="15" x14ac:dyDescent="0.25"/>
  <sheetData>
    <row r="2" spans="1:5" x14ac:dyDescent="0.25">
      <c r="A2" t="s">
        <v>209</v>
      </c>
    </row>
    <row r="3" spans="1:5" x14ac:dyDescent="0.25">
      <c r="B3" t="s">
        <v>231</v>
      </c>
      <c r="C3">
        <v>450</v>
      </c>
      <c r="D3" t="s">
        <v>228</v>
      </c>
      <c r="E3" t="s">
        <v>237</v>
      </c>
    </row>
    <row r="4" spans="1:5" x14ac:dyDescent="0.25">
      <c r="B4" t="s">
        <v>229</v>
      </c>
      <c r="C4">
        <v>50</v>
      </c>
      <c r="D4" t="s">
        <v>228</v>
      </c>
    </row>
    <row r="5" spans="1:5" x14ac:dyDescent="0.25">
      <c r="B5" t="s">
        <v>232</v>
      </c>
      <c r="C5">
        <v>40</v>
      </c>
      <c r="D5" t="s">
        <v>228</v>
      </c>
      <c r="E5" t="s">
        <v>230</v>
      </c>
    </row>
    <row r="6" spans="1:5" x14ac:dyDescent="0.25">
      <c r="B6" t="s">
        <v>233</v>
      </c>
      <c r="C6">
        <v>32000</v>
      </c>
      <c r="D6" t="s">
        <v>234</v>
      </c>
    </row>
    <row r="7" spans="1:5" x14ac:dyDescent="0.25">
      <c r="B7" t="s">
        <v>235</v>
      </c>
      <c r="C7">
        <v>60</v>
      </c>
      <c r="D7" t="s">
        <v>236</v>
      </c>
    </row>
    <row r="8" spans="1:5" x14ac:dyDescent="0.25">
      <c r="B8" t="s">
        <v>238</v>
      </c>
      <c r="C8">
        <v>430</v>
      </c>
      <c r="D8" t="s">
        <v>38</v>
      </c>
      <c r="E8" t="s">
        <v>239</v>
      </c>
    </row>
    <row r="9" spans="1:5" x14ac:dyDescent="0.25">
      <c r="B9" t="s">
        <v>240</v>
      </c>
      <c r="C9">
        <v>6</v>
      </c>
      <c r="D9" t="s">
        <v>241</v>
      </c>
    </row>
    <row r="10" spans="1:5" x14ac:dyDescent="0.25">
      <c r="B10" t="s">
        <v>208</v>
      </c>
      <c r="C10">
        <v>500</v>
      </c>
      <c r="D10" t="s">
        <v>242</v>
      </c>
    </row>
    <row r="11" spans="1:5" x14ac:dyDescent="0.25">
      <c r="B11" t="s">
        <v>243</v>
      </c>
      <c r="C11">
        <v>5</v>
      </c>
      <c r="D11" t="s">
        <v>244</v>
      </c>
      <c r="E11" t="s">
        <v>245</v>
      </c>
    </row>
    <row r="12" spans="1:5" x14ac:dyDescent="0.25">
      <c r="B12" t="s">
        <v>246</v>
      </c>
      <c r="D12" t="s">
        <v>247</v>
      </c>
      <c r="E12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T55"/>
  <sheetViews>
    <sheetView workbookViewId="0">
      <selection activeCell="M13" sqref="M13"/>
    </sheetView>
  </sheetViews>
  <sheetFormatPr baseColWidth="10" defaultRowHeight="15" x14ac:dyDescent="0.25"/>
  <cols>
    <col min="1" max="1" width="12.7109375" bestFit="1" customWidth="1"/>
    <col min="2" max="2" width="11.5703125" customWidth="1"/>
    <col min="5" max="5" width="34.28515625" customWidth="1"/>
    <col min="6" max="6" width="8.7109375" customWidth="1"/>
    <col min="8" max="8" width="11.85546875" bestFit="1" customWidth="1"/>
    <col min="11" max="11" width="26.28515625" customWidth="1"/>
    <col min="18" max="18" width="11.85546875" bestFit="1" customWidth="1"/>
  </cols>
  <sheetData>
    <row r="3" spans="1:20" x14ac:dyDescent="0.25">
      <c r="B3" s="3" t="s">
        <v>9</v>
      </c>
      <c r="L3" s="3" t="s">
        <v>34</v>
      </c>
      <c r="Q3" s="3" t="s">
        <v>36</v>
      </c>
    </row>
    <row r="5" spans="1:20" x14ac:dyDescent="0.25">
      <c r="B5" s="55" t="s">
        <v>128</v>
      </c>
      <c r="L5" t="s">
        <v>10</v>
      </c>
      <c r="M5">
        <f>IF(0.1*Datos!C7&gt;0.75,1.5,0.75)</f>
        <v>1.5</v>
      </c>
      <c r="N5" t="s">
        <v>11</v>
      </c>
      <c r="Q5" t="s">
        <v>35</v>
      </c>
      <c r="R5" s="4">
        <f>(R7+R8)*R9+R10-R11+R12</f>
        <v>4222.0689436183739</v>
      </c>
      <c r="S5" t="s">
        <v>38</v>
      </c>
      <c r="T5" s="4"/>
    </row>
    <row r="6" spans="1:20" x14ac:dyDescent="0.25">
      <c r="L6" t="s">
        <v>18</v>
      </c>
      <c r="M6" s="6">
        <f>(1/50)*Datos!C7</f>
        <v>0.54</v>
      </c>
      <c r="N6" t="s">
        <v>11</v>
      </c>
      <c r="Q6" t="s">
        <v>50</v>
      </c>
      <c r="R6" s="7">
        <f>(Datos!C8-Datos!C15)*1000</f>
        <v>4222.0689436183748</v>
      </c>
      <c r="S6" t="s">
        <v>38</v>
      </c>
    </row>
    <row r="7" spans="1:20" x14ac:dyDescent="0.25">
      <c r="A7" s="154" t="s">
        <v>147</v>
      </c>
      <c r="B7" s="2" t="s">
        <v>174</v>
      </c>
      <c r="C7" t="s">
        <v>112</v>
      </c>
      <c r="F7" s="110">
        <f>INT((Datos!C6-'Variables auxiliares'!M12-'Variables auxiliares'!M9-(C50*C52))/Datos!J5)</f>
        <v>22</v>
      </c>
      <c r="L7" t="s">
        <v>19</v>
      </c>
      <c r="M7" s="6">
        <v>0.7</v>
      </c>
      <c r="N7" t="s">
        <v>11</v>
      </c>
      <c r="Q7" t="s">
        <v>37</v>
      </c>
      <c r="R7" s="4">
        <f>EXP(-2.053+(28.61/Datos!C6)+1.936*LN(Datos!C6))</f>
        <v>3225.6395395702898</v>
      </c>
      <c r="S7" t="s">
        <v>38</v>
      </c>
    </row>
    <row r="8" spans="1:20" x14ac:dyDescent="0.25">
      <c r="A8" s="155"/>
      <c r="B8" s="2" t="s">
        <v>180</v>
      </c>
      <c r="C8" t="s">
        <v>186</v>
      </c>
      <c r="F8" s="110">
        <f>INT((Datos!C6-'Variables auxiliares'!M12-'Variables auxiliares'!M9-(C50*C52))/Datos!J6)</f>
        <v>11</v>
      </c>
      <c r="L8" t="s">
        <v>20</v>
      </c>
      <c r="M8" s="4">
        <f>3*((Datos!C7+Datos!C8+10)/100)</f>
        <v>1.56</v>
      </c>
      <c r="N8" t="s">
        <v>11</v>
      </c>
      <c r="Q8" t="s">
        <v>194</v>
      </c>
      <c r="R8" s="4">
        <f>IF(AND(Datos!C6&lt;100,('Variables auxiliares'!M9+'Variables auxiliares'!M10)&lt;0.35*Datos!C6),7.5*(100-Datos!C6)*(0.35-(('Variables auxiliares'!M9+'Variables auxiliares'!M10)/Datos!C6)),0)</f>
        <v>0</v>
      </c>
      <c r="S8" t="s">
        <v>38</v>
      </c>
    </row>
    <row r="9" spans="1:20" x14ac:dyDescent="0.25">
      <c r="A9" s="155"/>
      <c r="B9" s="48" t="s">
        <v>177</v>
      </c>
      <c r="C9" t="s">
        <v>113</v>
      </c>
      <c r="F9" s="110">
        <f>INT((Datos!C6-'Variables auxiliares'!M9-'Variables auxiliares'!M12)/Datos!J5)</f>
        <v>22</v>
      </c>
      <c r="L9" t="s">
        <v>21</v>
      </c>
      <c r="M9" s="4">
        <f>M11+1</f>
        <v>9.6</v>
      </c>
      <c r="N9" t="s">
        <v>11</v>
      </c>
      <c r="Q9" t="s">
        <v>195</v>
      </c>
      <c r="R9">
        <v>1</v>
      </c>
      <c r="S9" t="s">
        <v>38</v>
      </c>
    </row>
    <row r="10" spans="1:20" x14ac:dyDescent="0.25">
      <c r="A10" s="156"/>
      <c r="B10" s="48" t="s">
        <v>179</v>
      </c>
      <c r="C10" t="s">
        <v>187</v>
      </c>
      <c r="F10" s="110">
        <f>INT((Datos!C6-'Variables auxiliares'!M12-'Variables auxiliares'!M9)/Datos!J6)</f>
        <v>11</v>
      </c>
      <c r="L10" t="s">
        <v>22</v>
      </c>
      <c r="M10" s="4">
        <f>-0.0036*POWER(Datos!C6,2)+1.0264*Datos!C6-52.392</f>
        <v>17.646399999999993</v>
      </c>
      <c r="N10" t="s">
        <v>11</v>
      </c>
      <c r="O10" s="4"/>
      <c r="Q10" t="s">
        <v>196</v>
      </c>
      <c r="R10" s="4">
        <f>IF(Datos!C8&gt;(Datos!C6/15),(Datos!C8-(Datos!C6/15))*'Variables auxiliares'!R13,0)</f>
        <v>883.33333333333326</v>
      </c>
      <c r="S10" t="s">
        <v>38</v>
      </c>
    </row>
    <row r="11" spans="1:20" x14ac:dyDescent="0.25">
      <c r="H11" t="s">
        <v>149</v>
      </c>
      <c r="L11" t="s">
        <v>23</v>
      </c>
      <c r="M11" s="4">
        <f>(5/100)*Datos!C6</f>
        <v>8.6</v>
      </c>
      <c r="N11" t="s">
        <v>11</v>
      </c>
      <c r="Q11" t="s">
        <v>197</v>
      </c>
      <c r="R11" s="4">
        <f>R14*(R15/100)</f>
        <v>169.2738897875746</v>
      </c>
      <c r="S11" t="s">
        <v>38</v>
      </c>
    </row>
    <row r="12" spans="1:20" x14ac:dyDescent="0.25">
      <c r="B12" s="2" t="s">
        <v>182</v>
      </c>
      <c r="C12" t="s">
        <v>119</v>
      </c>
      <c r="F12">
        <f>INT((Datos!C7-2*'Variables auxiliares'!M5-(C50*C51))/(Datos!J7+0.1))</f>
        <v>8</v>
      </c>
      <c r="H12" s="111">
        <f>INT(F17/(F7*F15))</f>
        <v>6</v>
      </c>
      <c r="L12" t="s">
        <v>216</v>
      </c>
      <c r="M12" s="4">
        <f>0.102*POWER(Datos!C6,0.94)+0.273*POWER('Variables auxiliares'!M13,0.375)</f>
        <v>23.521500923212972</v>
      </c>
      <c r="N12" t="s">
        <v>11</v>
      </c>
      <c r="O12" s="4"/>
      <c r="Q12" t="s">
        <v>198</v>
      </c>
      <c r="R12" s="4">
        <f>(1-(50/100))*(4.168*Datos!C6+125)*(0.75-(('Variables auxiliares'!M9+'Variables auxiliares'!M10)/(2*Datos!C6)))</f>
        <v>282.36996050232563</v>
      </c>
      <c r="S12" t="s">
        <v>38</v>
      </c>
    </row>
    <row r="13" spans="1:20" x14ac:dyDescent="0.25">
      <c r="B13" s="48" t="s">
        <v>183</v>
      </c>
      <c r="C13" t="s">
        <v>118</v>
      </c>
      <c r="F13">
        <f>INT((Datos!C7-2*'Variables auxiliares'!M5)/Datos!J7)</f>
        <v>9</v>
      </c>
      <c r="G13" s="145">
        <f>INT(0.0036*POWER(Datos!C7,2)+(0.2268*Datos!C7)+0.1297)</f>
        <v>8</v>
      </c>
      <c r="H13" s="111">
        <f>INT(F19/(F15*F9))</f>
        <v>6</v>
      </c>
      <c r="L13" t="s">
        <v>24</v>
      </c>
      <c r="M13" s="4">
        <f>0.0114*POWER(Datos!C9,3)*POWER('Variables auxiliares'!M15,0.55)</f>
        <v>17457.377033650795</v>
      </c>
      <c r="N13" t="s">
        <v>54</v>
      </c>
      <c r="O13">
        <f>(0.0114*POWER(Datos!C9,3)*POWER('Variables auxiliares'!M15,0.55))*0.75</f>
        <v>13093.032775238096</v>
      </c>
      <c r="P13" t="s">
        <v>199</v>
      </c>
      <c r="Q13" t="s">
        <v>39</v>
      </c>
      <c r="R13" s="4">
        <f>IF(Datos!C6&lt;120,Datos!C6/0.48,250)</f>
        <v>250</v>
      </c>
    </row>
    <row r="14" spans="1:20" x14ac:dyDescent="0.25">
      <c r="B14" s="53"/>
      <c r="C14" s="54"/>
      <c r="D14" s="54"/>
      <c r="E14" s="54"/>
      <c r="F14" s="54"/>
      <c r="L14" s="5" t="s">
        <v>49</v>
      </c>
      <c r="M14">
        <f>-1.3975*M16+1.4339</f>
        <v>1.1362372864474124</v>
      </c>
      <c r="Q14" t="s">
        <v>40</v>
      </c>
      <c r="R14" s="4">
        <f>8.36*Datos!C6+149</f>
        <v>1586.9199999999998</v>
      </c>
    </row>
    <row r="15" spans="1:20" x14ac:dyDescent="0.25">
      <c r="B15" s="2" t="s">
        <v>17</v>
      </c>
      <c r="C15" t="s">
        <v>44</v>
      </c>
      <c r="F15" s="110">
        <f>INT((Datos!C8+'Variables auxiliares'!M6+'Variables auxiliares'!M7-'Variables auxiliares'!M8)/Datos!J8)</f>
        <v>4</v>
      </c>
      <c r="G15" s="145">
        <f>INT(0.0005*POWER(Datos!C8,2)+(0.3772*Datos!C8) -0.3442)</f>
        <v>5</v>
      </c>
      <c r="L15" s="5" t="s">
        <v>25</v>
      </c>
      <c r="M15" s="4">
        <f>Datos!C6*Datos!C7*Datos!C15*M19*Datos!C19</f>
        <v>34201.863930628693</v>
      </c>
      <c r="N15" t="s">
        <v>29</v>
      </c>
      <c r="Q15" t="s">
        <v>41</v>
      </c>
      <c r="R15" s="4">
        <f>0.26+58.9*((M9+M10)/Datos!C6)+42.9*POWER((M9+M10)/Datos!C6,2)</f>
        <v>10.666819359991344</v>
      </c>
    </row>
    <row r="16" spans="1:20" x14ac:dyDescent="0.25">
      <c r="F16" t="s">
        <v>163</v>
      </c>
      <c r="G16" t="s">
        <v>164</v>
      </c>
      <c r="L16" s="5" t="s">
        <v>30</v>
      </c>
      <c r="M16" s="4">
        <f>(Datos!C9*0.5144)/SQRT(9.8*Datos!C6)</f>
        <v>0.212996574992907</v>
      </c>
      <c r="Q16" t="s">
        <v>78</v>
      </c>
      <c r="R16" s="4">
        <f>Datos!C8-('Variables auxiliares'!R5/1000)</f>
        <v>10.777931056381625</v>
      </c>
      <c r="S16" t="s">
        <v>130</v>
      </c>
    </row>
    <row r="17" spans="2:14" x14ac:dyDescent="0.25">
      <c r="B17" s="49" t="s">
        <v>120</v>
      </c>
      <c r="C17" t="s">
        <v>121</v>
      </c>
      <c r="F17">
        <f>INT(F7*F12*F15*(1.06*M20*0.5+0.4))</f>
        <v>547</v>
      </c>
      <c r="G17" s="110">
        <f>F7*F15*H12</f>
        <v>528</v>
      </c>
      <c r="H17" s="109"/>
      <c r="L17" s="5" t="s">
        <v>51</v>
      </c>
      <c r="M17" s="4">
        <f>8.0606*POWER(M16,2)-5.6199*M16+1.517</f>
        <v>0.68567014884913213</v>
      </c>
    </row>
    <row r="18" spans="2:14" x14ac:dyDescent="0.25">
      <c r="B18" s="49" t="s">
        <v>122</v>
      </c>
      <c r="C18" t="s">
        <v>123</v>
      </c>
      <c r="F18">
        <f>INT(F8*F12*F15*(1.06*M20*0.5+0.4))</f>
        <v>273</v>
      </c>
      <c r="G18" s="110">
        <f>F8*F15*H12</f>
        <v>264</v>
      </c>
      <c r="H18" s="109"/>
      <c r="L18" s="5" t="s">
        <v>52</v>
      </c>
      <c r="M18" s="4">
        <f>1-0.0622*POWER(M16,0.792)</f>
        <v>0.98172482687905838</v>
      </c>
    </row>
    <row r="19" spans="2:14" x14ac:dyDescent="0.25">
      <c r="B19" s="49" t="s">
        <v>124</v>
      </c>
      <c r="C19" t="s">
        <v>126</v>
      </c>
      <c r="F19">
        <f>INT(F9*F13*F15*(1.06*M20*0.5+0.4))</f>
        <v>615</v>
      </c>
      <c r="G19" s="110">
        <f>F9*F15*H13</f>
        <v>528</v>
      </c>
      <c r="H19" s="145">
        <f>INT(1*POWER(10,-5)*POWER(Datos!C6,3.4929))</f>
        <v>643</v>
      </c>
      <c r="I19" s="109" t="s">
        <v>165</v>
      </c>
      <c r="L19" s="5" t="s">
        <v>26</v>
      </c>
      <c r="M19" s="4">
        <f>(0.14/M16)*(((Datos!C6/Datos!C7)+20)/26)</f>
        <v>0.66665063510542633</v>
      </c>
    </row>
    <row r="20" spans="2:14" x14ac:dyDescent="0.25">
      <c r="B20" s="49" t="s">
        <v>125</v>
      </c>
      <c r="C20" t="s">
        <v>127</v>
      </c>
      <c r="F20">
        <f>INT(F10*F13*F15*(1.06*M20*0.5+0.4))</f>
        <v>307</v>
      </c>
      <c r="G20" s="110">
        <f>F10*H13*F15</f>
        <v>264</v>
      </c>
      <c r="H20" s="109"/>
      <c r="L20" s="5" t="s">
        <v>48</v>
      </c>
      <c r="M20" s="4">
        <f>M19+0.35*((Datos!C8-Datos!C15)/Datos!C15)*(1-'Variables auxiliares'!M19)</f>
        <v>0.71235499132526248</v>
      </c>
    </row>
    <row r="21" spans="2:14" x14ac:dyDescent="0.25">
      <c r="L21" s="5" t="s">
        <v>84</v>
      </c>
      <c r="M21" s="4">
        <f>(1+(2*M19/SQRT(M18)))/3</f>
        <v>0.78188466579396376</v>
      </c>
    </row>
    <row r="22" spans="2:14" x14ac:dyDescent="0.25">
      <c r="B22" s="55" t="s">
        <v>129</v>
      </c>
      <c r="L22" s="5" t="s">
        <v>61</v>
      </c>
      <c r="M22" s="12">
        <f xml:space="preserve"> Datos!C8-'Variables auxiliares'!M8</f>
        <v>13.44</v>
      </c>
      <c r="N22" t="s">
        <v>11</v>
      </c>
    </row>
    <row r="23" spans="2:14" x14ac:dyDescent="0.25">
      <c r="L23" s="5" t="s">
        <v>75</v>
      </c>
      <c r="M23" s="4">
        <f>Datos!C6-('Variables auxiliares'!M11+'Variables auxiliares'!M12+'Variables auxiliares'!M10)</f>
        <v>122.23209907678704</v>
      </c>
      <c r="N23" t="s">
        <v>11</v>
      </c>
    </row>
    <row r="24" spans="2:14" x14ac:dyDescent="0.25">
      <c r="B24" s="2" t="s">
        <v>175</v>
      </c>
      <c r="C24" t="s">
        <v>114</v>
      </c>
      <c r="F24" s="110">
        <f>F7+INT((M12-M10)/Datos!J5)+INT('Variables auxiliares'!M9/Datos!J5)</f>
        <v>23</v>
      </c>
      <c r="L24" s="5" t="s">
        <v>77</v>
      </c>
      <c r="M24" s="7">
        <v>5</v>
      </c>
    </row>
    <row r="25" spans="2:14" x14ac:dyDescent="0.25">
      <c r="B25" s="2" t="s">
        <v>176</v>
      </c>
      <c r="C25" t="s">
        <v>115</v>
      </c>
      <c r="F25" s="110">
        <f>F8+INT((M12-M10)/Datos!J6)+INT('Variables auxiliares'!M9/Datos!J6)</f>
        <v>11</v>
      </c>
      <c r="L25" s="5" t="s">
        <v>79</v>
      </c>
      <c r="M25">
        <v>2.1</v>
      </c>
      <c r="N25" t="s">
        <v>11</v>
      </c>
    </row>
    <row r="26" spans="2:14" x14ac:dyDescent="0.25">
      <c r="B26" s="48" t="s">
        <v>181</v>
      </c>
      <c r="C26" t="s">
        <v>116</v>
      </c>
      <c r="F26" s="110">
        <f>F9+INT((M12-M10)/Datos!J5)+INT('Variables auxiliares'!M9/Datos!J5)</f>
        <v>23</v>
      </c>
      <c r="L26" s="5" t="s">
        <v>80</v>
      </c>
      <c r="M26">
        <v>4</v>
      </c>
    </row>
    <row r="27" spans="2:14" x14ac:dyDescent="0.25">
      <c r="B27" s="48" t="s">
        <v>178</v>
      </c>
      <c r="C27" t="s">
        <v>117</v>
      </c>
      <c r="F27" s="110">
        <f>F10+INT((M12-M10)/Datos!J6)+INT('Variables auxiliares'!M9/Datos!J6)</f>
        <v>11</v>
      </c>
      <c r="G27" s="36"/>
      <c r="L27" s="5" t="s">
        <v>85</v>
      </c>
      <c r="M27" s="4">
        <f>-2.55+3.37*POWER(M19,-4.67)-17.667*POWER(M16,5.36)-0.29*POWER(M19,-1.3)*POWER(M16,0.32)</f>
        <v>19.534545311151021</v>
      </c>
    </row>
    <row r="28" spans="2:14" x14ac:dyDescent="0.25">
      <c r="B28" s="54"/>
      <c r="C28" s="54"/>
      <c r="D28" s="54"/>
      <c r="E28" s="54"/>
      <c r="F28" s="54"/>
      <c r="G28" s="36"/>
      <c r="L28" s="5" t="s">
        <v>218</v>
      </c>
      <c r="M28" s="4">
        <f>Datos!C6-'Variables auxiliares'!M11-'Variables auxiliares'!M23-'Variables auxiliares'!M12</f>
        <v>17.646399999999996</v>
      </c>
      <c r="N28" t="s">
        <v>11</v>
      </c>
    </row>
    <row r="29" spans="2:14" x14ac:dyDescent="0.25">
      <c r="B29" s="51" t="s">
        <v>184</v>
      </c>
      <c r="C29" s="54" t="s">
        <v>188</v>
      </c>
      <c r="F29" s="110">
        <f>INT((Datos!C7-('Variables auxiliares'!C50*'Variables auxiliares'!C51))/Datos!J7)</f>
        <v>9</v>
      </c>
      <c r="G29" s="36"/>
      <c r="L29" s="5"/>
      <c r="M29" s="4"/>
    </row>
    <row r="30" spans="2:14" x14ac:dyDescent="0.25">
      <c r="B30" s="51" t="s">
        <v>185</v>
      </c>
      <c r="C30" s="54" t="s">
        <v>189</v>
      </c>
      <c r="F30" s="110">
        <f>INT(Datos!C7/Datos!J7)</f>
        <v>11</v>
      </c>
      <c r="G30" s="145">
        <f>INT(0.0014*POWER(Datos!C7,2)+(0.3936*Datos!C7)-0.8183)</f>
        <v>10</v>
      </c>
    </row>
    <row r="31" spans="2:14" x14ac:dyDescent="0.25">
      <c r="H31" t="s">
        <v>152</v>
      </c>
      <c r="L31" t="s">
        <v>153</v>
      </c>
    </row>
    <row r="32" spans="2:14" x14ac:dyDescent="0.25">
      <c r="B32" s="51" t="s">
        <v>146</v>
      </c>
      <c r="C32" s="128">
        <f>'slots con grua'!H62</f>
        <v>10</v>
      </c>
      <c r="D32" t="s">
        <v>154</v>
      </c>
      <c r="H32" t="s">
        <v>192</v>
      </c>
      <c r="I32">
        <f>COUNT('slots con grua'!B58,'slots con grua'!B78,'slots con grua'!B98,'slots con grua'!B122,'slots con grua'!B146,'slots con grua'!B170)</f>
        <v>6</v>
      </c>
      <c r="J32" t="s">
        <v>190</v>
      </c>
      <c r="L32" t="str">
        <f>H32</f>
        <v>BT1</v>
      </c>
      <c r="M32">
        <f>F24-I32</f>
        <v>17</v>
      </c>
      <c r="N32" t="s">
        <v>190</v>
      </c>
    </row>
    <row r="33" spans="1:19" x14ac:dyDescent="0.25">
      <c r="C33" s="128">
        <f>'slots con grua'!H199</f>
        <v>5</v>
      </c>
      <c r="D33" t="s">
        <v>151</v>
      </c>
      <c r="H33" t="s">
        <v>193</v>
      </c>
      <c r="I33">
        <f>COUNT('slots sin grua'!B58,'slots sin grua'!B88,'slots sin grua'!B118,'slots sin grua'!B152,'slots sin grua'!B186,'slots sin grua'!B220)</f>
        <v>6</v>
      </c>
      <c r="J33" t="s">
        <v>191</v>
      </c>
      <c r="L33" t="str">
        <f>H33</f>
        <v>BT2</v>
      </c>
      <c r="M33">
        <f>F26-I33</f>
        <v>17</v>
      </c>
      <c r="N33" t="s">
        <v>191</v>
      </c>
    </row>
    <row r="35" spans="1:19" x14ac:dyDescent="0.25">
      <c r="B35" s="51" t="s">
        <v>45</v>
      </c>
      <c r="C35" t="s">
        <v>157</v>
      </c>
      <c r="F35" s="7">
        <f>(I32*F29*C32)+(C33*F29*M32)</f>
        <v>1305</v>
      </c>
      <c r="G35" s="7"/>
    </row>
    <row r="36" spans="1:19" x14ac:dyDescent="0.25">
      <c r="B36" s="51" t="s">
        <v>46</v>
      </c>
      <c r="C36" t="s">
        <v>158</v>
      </c>
      <c r="F36">
        <f>(C32*I33*G30)+(M33*C33*G30)</f>
        <v>1450</v>
      </c>
      <c r="L36" t="s">
        <v>249</v>
      </c>
    </row>
    <row r="37" spans="1:19" ht="15.75" thickBot="1" x14ac:dyDescent="0.3">
      <c r="B37" s="135"/>
    </row>
    <row r="38" spans="1:19" ht="15.75" thickBot="1" x14ac:dyDescent="0.3">
      <c r="B38" s="135" t="s">
        <v>160</v>
      </c>
      <c r="C38" t="s">
        <v>159</v>
      </c>
      <c r="F38" s="144">
        <f>G17+F35</f>
        <v>1833</v>
      </c>
      <c r="G38" s="7"/>
      <c r="L38" t="s">
        <v>250</v>
      </c>
      <c r="M38" t="s">
        <v>251</v>
      </c>
    </row>
    <row r="39" spans="1:19" x14ac:dyDescent="0.25">
      <c r="B39" s="143" t="s">
        <v>161</v>
      </c>
      <c r="C39" t="s">
        <v>162</v>
      </c>
      <c r="F39" s="110">
        <f>F36+G19</f>
        <v>1978</v>
      </c>
      <c r="G39" s="7">
        <f>F36+H19</f>
        <v>2093</v>
      </c>
      <c r="L39" t="s">
        <v>251</v>
      </c>
      <c r="M39">
        <f>-0.065*M41*POWER(Datos!C6,2)*Datos!C7*('Variables auxiliares'!M20+0.7)</f>
        <v>-998921.84861524426</v>
      </c>
      <c r="N39" t="s">
        <v>255</v>
      </c>
      <c r="O39">
        <f>M39*0.1</f>
        <v>-99892.184861524438</v>
      </c>
      <c r="P39" t="s">
        <v>266</v>
      </c>
      <c r="Q39" t="s">
        <v>253</v>
      </c>
    </row>
    <row r="40" spans="1:19" x14ac:dyDescent="0.25">
      <c r="B40" s="56" t="s">
        <v>132</v>
      </c>
      <c r="C40" s="4">
        <f>ATAN((Datos!C20+(Datos!C8-'Variables auxiliares'!R16))/(2*Datos!C6+(Datos!C6-'Variables auxiliares'!M10)))</f>
        <v>7.2666379334123496E-2</v>
      </c>
      <c r="D40" t="s">
        <v>145</v>
      </c>
      <c r="E40" s="12">
        <f>C40*180/PI()</f>
        <v>4.1634768483419418</v>
      </c>
      <c r="F40" t="s">
        <v>133</v>
      </c>
      <c r="L40" t="s">
        <v>251</v>
      </c>
      <c r="M40">
        <f>M41*POWER(Datos!C6,2)*Datos!C7*(0.1225-0.015*'Variables auxiliares'!M20)</f>
        <v>1216670.8214220821</v>
      </c>
      <c r="N40" t="s">
        <v>255</v>
      </c>
      <c r="O40">
        <f>M40*0.1</f>
        <v>121667.08214220822</v>
      </c>
      <c r="P40" t="s">
        <v>266</v>
      </c>
      <c r="Q40" t="s">
        <v>254</v>
      </c>
    </row>
    <row r="41" spans="1:19" x14ac:dyDescent="0.25">
      <c r="L41" t="s">
        <v>252</v>
      </c>
      <c r="M41">
        <f>0.0792*Datos!C6</f>
        <v>13.622400000000001</v>
      </c>
    </row>
    <row r="43" spans="1:19" x14ac:dyDescent="0.25">
      <c r="B43" t="s">
        <v>56</v>
      </c>
      <c r="C43">
        <f>INT(Datos!C12/Datos!J9)</f>
        <v>2025</v>
      </c>
      <c r="D43" t="s">
        <v>173</v>
      </c>
    </row>
    <row r="44" spans="1:19" x14ac:dyDescent="0.25">
      <c r="L44" t="s">
        <v>256</v>
      </c>
    </row>
    <row r="46" spans="1:19" x14ac:dyDescent="0.25">
      <c r="B46" t="s">
        <v>64</v>
      </c>
      <c r="D46" s="4">
        <f>'Variables auxiliares'!M12</f>
        <v>23.521500923212972</v>
      </c>
      <c r="E46" t="s">
        <v>11</v>
      </c>
      <c r="M46" t="s">
        <v>260</v>
      </c>
      <c r="N46" t="s">
        <v>261</v>
      </c>
      <c r="O46" t="s">
        <v>262</v>
      </c>
      <c r="P46" t="s">
        <v>263</v>
      </c>
      <c r="Q46" t="s">
        <v>264</v>
      </c>
    </row>
    <row r="47" spans="1:19" x14ac:dyDescent="0.25">
      <c r="B47" t="s">
        <v>74</v>
      </c>
      <c r="D47" s="4">
        <f>'Variables auxiliares'!M10</f>
        <v>17.646399999999993</v>
      </c>
      <c r="E47" t="s">
        <v>11</v>
      </c>
    </row>
    <row r="48" spans="1:19" x14ac:dyDescent="0.25">
      <c r="A48" s="37"/>
      <c r="D48" s="4"/>
      <c r="L48" t="s">
        <v>257</v>
      </c>
      <c r="M48">
        <f>M50*M54</f>
        <v>0</v>
      </c>
      <c r="N48">
        <f>N50*N54</f>
        <v>-29038.425831838496</v>
      </c>
      <c r="O48">
        <f>O50*O54</f>
        <v>-23230.740665470799</v>
      </c>
      <c r="P48">
        <f>P50*P54</f>
        <v>-29038.425831838496</v>
      </c>
      <c r="Q48">
        <f>Q50*Q54</f>
        <v>0</v>
      </c>
      <c r="R48" t="s">
        <v>265</v>
      </c>
      <c r="S48" t="s">
        <v>253</v>
      </c>
    </row>
    <row r="49" spans="1:19" x14ac:dyDescent="0.25">
      <c r="A49" s="153"/>
      <c r="B49" s="3" t="s">
        <v>108</v>
      </c>
      <c r="D49" s="4"/>
      <c r="L49" t="s">
        <v>257</v>
      </c>
      <c r="M49">
        <f>M54*M52</f>
        <v>0</v>
      </c>
      <c r="N49" s="4">
        <f t="shared" ref="N49:Q49" si="0">N54*N52</f>
        <v>35368.337832037272</v>
      </c>
      <c r="O49" s="4">
        <f t="shared" si="0"/>
        <v>28294.670265629818</v>
      </c>
      <c r="P49" s="4">
        <f t="shared" si="0"/>
        <v>35368.337832037272</v>
      </c>
      <c r="Q49">
        <f t="shared" si="0"/>
        <v>0</v>
      </c>
      <c r="R49" t="s">
        <v>265</v>
      </c>
      <c r="S49" t="s">
        <v>254</v>
      </c>
    </row>
    <row r="50" spans="1:19" x14ac:dyDescent="0.25">
      <c r="A50" s="153"/>
      <c r="B50" t="s">
        <v>109</v>
      </c>
      <c r="C50">
        <v>2</v>
      </c>
      <c r="L50" t="s">
        <v>258</v>
      </c>
      <c r="M50">
        <f>(5*$M$39)/Datos!$C$6</f>
        <v>-29038.425831838496</v>
      </c>
      <c r="N50">
        <f>(5*$M$39)/Datos!$C$6</f>
        <v>-29038.425831838496</v>
      </c>
      <c r="O50">
        <f>(5*$M$39)/Datos!$C$6</f>
        <v>-29038.425831838496</v>
      </c>
      <c r="P50">
        <f>(5*$M$39)/Datos!$C$6</f>
        <v>-29038.425831838496</v>
      </c>
      <c r="Q50">
        <f>(5*$M$39)/Datos!$C$6</f>
        <v>-29038.425831838496</v>
      </c>
      <c r="R50" t="s">
        <v>265</v>
      </c>
      <c r="S50" t="s">
        <v>253</v>
      </c>
    </row>
    <row r="51" spans="1:19" x14ac:dyDescent="0.25">
      <c r="A51" s="153"/>
      <c r="B51" t="s">
        <v>110</v>
      </c>
      <c r="C51">
        <v>1.5</v>
      </c>
      <c r="D51" s="7" t="s">
        <v>11</v>
      </c>
      <c r="L51" t="s">
        <v>258</v>
      </c>
      <c r="M51">
        <f>M50*0.1</f>
        <v>-2903.8425831838499</v>
      </c>
      <c r="N51">
        <f t="shared" ref="N51:Q51" si="1">N50*0.1</f>
        <v>-2903.8425831838499</v>
      </c>
      <c r="O51">
        <f t="shared" si="1"/>
        <v>-2903.8425831838499</v>
      </c>
      <c r="P51">
        <f t="shared" si="1"/>
        <v>-2903.8425831838499</v>
      </c>
      <c r="Q51">
        <f t="shared" si="1"/>
        <v>-2903.8425831838499</v>
      </c>
      <c r="R51" t="s">
        <v>267</v>
      </c>
    </row>
    <row r="52" spans="1:19" x14ac:dyDescent="0.25">
      <c r="A52" s="153"/>
      <c r="B52" t="s">
        <v>111</v>
      </c>
      <c r="C52">
        <v>1.5</v>
      </c>
      <c r="D52" s="7" t="s">
        <v>11</v>
      </c>
      <c r="E52" s="7"/>
      <c r="L52" t="s">
        <v>258</v>
      </c>
      <c r="M52" s="4">
        <f>(5*$M$40)/Datos!$C$6</f>
        <v>35368.337832037272</v>
      </c>
      <c r="N52" s="4">
        <f>(5*$M$40)/Datos!$C$6</f>
        <v>35368.337832037272</v>
      </c>
      <c r="O52" s="4">
        <f>(5*$M$40)/Datos!$C$6</f>
        <v>35368.337832037272</v>
      </c>
      <c r="P52" s="4">
        <f>(5*$M$40)/Datos!$C$6</f>
        <v>35368.337832037272</v>
      </c>
      <c r="Q52" s="4">
        <f>(5*$M$40)/Datos!$C$6</f>
        <v>35368.337832037272</v>
      </c>
      <c r="R52" t="s">
        <v>265</v>
      </c>
      <c r="S52" t="s">
        <v>254</v>
      </c>
    </row>
    <row r="53" spans="1:19" x14ac:dyDescent="0.25">
      <c r="A53" s="153"/>
      <c r="B53" s="24"/>
      <c r="C53" s="34"/>
      <c r="L53" t="s">
        <v>258</v>
      </c>
      <c r="M53" s="4">
        <f>M52*0.1</f>
        <v>3536.8337832037273</v>
      </c>
      <c r="N53" s="4">
        <f t="shared" ref="N53:Q53" si="2">N52*0.1</f>
        <v>3536.8337832037273</v>
      </c>
      <c r="O53" s="4">
        <f t="shared" si="2"/>
        <v>3536.8337832037273</v>
      </c>
      <c r="P53" s="4">
        <f t="shared" si="2"/>
        <v>3536.8337832037273</v>
      </c>
      <c r="Q53" s="4">
        <f t="shared" si="2"/>
        <v>3536.8337832037273</v>
      </c>
      <c r="R53" t="s">
        <v>267</v>
      </c>
    </row>
    <row r="54" spans="1:19" x14ac:dyDescent="0.25">
      <c r="A54" s="153"/>
      <c r="B54" s="48" t="s">
        <v>131</v>
      </c>
      <c r="C54" s="46" t="s">
        <v>42</v>
      </c>
      <c r="D54" s="46"/>
      <c r="F54" s="4">
        <f>Datos!C8-('Variables auxiliares'!R5)/1000</f>
        <v>10.777931056381625</v>
      </c>
      <c r="G54" t="s">
        <v>11</v>
      </c>
      <c r="L54" t="s">
        <v>259</v>
      </c>
      <c r="M54">
        <v>0</v>
      </c>
      <c r="N54">
        <v>1</v>
      </c>
      <c r="O54">
        <v>0.8</v>
      </c>
      <c r="P54">
        <v>1</v>
      </c>
      <c r="Q54">
        <v>0</v>
      </c>
    </row>
    <row r="55" spans="1:19" x14ac:dyDescent="0.25">
      <c r="B55" s="24"/>
      <c r="C55" s="34"/>
      <c r="D55" s="7"/>
    </row>
  </sheetData>
  <mergeCells count="4">
    <mergeCell ref="A53:A54"/>
    <mergeCell ref="A51:A52"/>
    <mergeCell ref="A49:A50"/>
    <mergeCell ref="A7:A10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D13"/>
  <sheetViews>
    <sheetView workbookViewId="0">
      <selection activeCell="C11" sqref="C11"/>
    </sheetView>
  </sheetViews>
  <sheetFormatPr baseColWidth="10" defaultRowHeight="15" x14ac:dyDescent="0.25"/>
  <sheetData>
    <row r="2" spans="2:4" x14ac:dyDescent="0.25">
      <c r="B2" t="s">
        <v>220</v>
      </c>
      <c r="C2" s="4">
        <f>9.1*Datos!C7*'Variables auxiliares'!M10</f>
        <v>4335.7204799999981</v>
      </c>
      <c r="D2" t="s">
        <v>217</v>
      </c>
    </row>
    <row r="3" spans="2:4" x14ac:dyDescent="0.25">
      <c r="B3" t="s">
        <v>221</v>
      </c>
      <c r="C3" s="4">
        <f>2*'Variables auxiliares'!M11*Datos!C7</f>
        <v>464.4</v>
      </c>
      <c r="D3" t="s">
        <v>217</v>
      </c>
    </row>
    <row r="4" spans="2:4" x14ac:dyDescent="0.25">
      <c r="B4" t="s">
        <v>222</v>
      </c>
      <c r="C4" s="4">
        <v>1000</v>
      </c>
      <c r="D4" t="s">
        <v>217</v>
      </c>
    </row>
    <row r="5" spans="2:4" x14ac:dyDescent="0.25">
      <c r="B5" t="s">
        <v>223</v>
      </c>
      <c r="C5" s="4">
        <v>350</v>
      </c>
      <c r="D5" t="s">
        <v>217</v>
      </c>
    </row>
    <row r="6" spans="2:4" x14ac:dyDescent="0.25">
      <c r="B6" t="s">
        <v>224</v>
      </c>
      <c r="C6" s="4">
        <f>0.85*(Datos!C6-'Variables auxiliares'!M10)*Datos!C7</f>
        <v>3542.4151199999997</v>
      </c>
      <c r="D6" t="s">
        <v>217</v>
      </c>
    </row>
    <row r="7" spans="2:4" x14ac:dyDescent="0.25">
      <c r="B7" t="s">
        <v>225</v>
      </c>
      <c r="C7" s="4">
        <f>0.012*Datos!C6*POWER(Datos!C7,2)</f>
        <v>1504.6559999999999</v>
      </c>
      <c r="D7" t="s">
        <v>217</v>
      </c>
    </row>
    <row r="9" spans="2:4" x14ac:dyDescent="0.25">
      <c r="B9" t="s">
        <v>226</v>
      </c>
      <c r="C9" s="4">
        <f>SUM(C2:C7)</f>
        <v>11197.191599999998</v>
      </c>
      <c r="D9" t="s">
        <v>217</v>
      </c>
    </row>
    <row r="11" spans="2:4" x14ac:dyDescent="0.25">
      <c r="B11" t="s">
        <v>227</v>
      </c>
      <c r="C11" s="4">
        <f>Datos!C6*Datos!C7*Datos!C8*'Variables auxiliares'!M20</f>
        <v>49622.648695717784</v>
      </c>
      <c r="D11" t="s">
        <v>217</v>
      </c>
    </row>
    <row r="13" spans="2:4" x14ac:dyDescent="0.25">
      <c r="B13" t="s">
        <v>6</v>
      </c>
      <c r="C13" s="4">
        <f>(0.2+0.02*LOG((C9+C11)))*(C9+C11)</f>
        <v>17983.265451506621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17"/>
  <sheetViews>
    <sheetView workbookViewId="0">
      <selection activeCell="F35" sqref="F35"/>
    </sheetView>
  </sheetViews>
  <sheetFormatPr baseColWidth="10" defaultRowHeight="15" x14ac:dyDescent="0.25"/>
  <sheetData>
    <row r="2" spans="1:6" x14ac:dyDescent="0.25">
      <c r="A2" t="s">
        <v>209</v>
      </c>
    </row>
    <row r="3" spans="1:6" x14ac:dyDescent="0.25">
      <c r="B3" t="s">
        <v>205</v>
      </c>
      <c r="C3">
        <v>7500</v>
      </c>
      <c r="D3" t="s">
        <v>207</v>
      </c>
      <c r="E3">
        <f>C3*1.34</f>
        <v>10050</v>
      </c>
      <c r="F3" t="s">
        <v>54</v>
      </c>
    </row>
    <row r="4" spans="1:6" x14ac:dyDescent="0.25">
      <c r="B4" t="s">
        <v>206</v>
      </c>
      <c r="C4">
        <v>500</v>
      </c>
      <c r="D4" t="s">
        <v>208</v>
      </c>
    </row>
    <row r="6" spans="1:6" x14ac:dyDescent="0.25">
      <c r="A6" t="s">
        <v>210</v>
      </c>
    </row>
    <row r="8" spans="1:6" x14ac:dyDescent="0.25">
      <c r="B8" t="s">
        <v>201</v>
      </c>
      <c r="C8" s="4">
        <f>0.01665*POWER(Datos!C6,1.5)*Datos!C7*POWER(Datos!C8,0.5)*(1+'Variables auxiliares'!M19)</f>
        <v>6545.7719998637067</v>
      </c>
      <c r="D8" t="s">
        <v>29</v>
      </c>
    </row>
    <row r="9" spans="1:6" x14ac:dyDescent="0.25">
      <c r="B9" t="s">
        <v>202</v>
      </c>
      <c r="C9">
        <f>0.33*Datos!C6*Datos!C7</f>
        <v>1532.5200000000002</v>
      </c>
      <c r="D9" t="s">
        <v>29</v>
      </c>
    </row>
    <row r="10" spans="1:6" x14ac:dyDescent="0.25">
      <c r="B10" t="s">
        <v>203</v>
      </c>
      <c r="C10" s="4">
        <f>C11+C12+C13+C15</f>
        <v>811.00547461251574</v>
      </c>
      <c r="D10" t="s">
        <v>29</v>
      </c>
      <c r="E10" t="s">
        <v>204</v>
      </c>
    </row>
    <row r="11" spans="1:6" x14ac:dyDescent="0.25">
      <c r="B11" t="s">
        <v>211</v>
      </c>
      <c r="C11" s="4">
        <f>6+6.9*POWER((E3/C4),0.96)</f>
        <v>129.00345372775456</v>
      </c>
      <c r="D11" t="s">
        <v>29</v>
      </c>
      <c r="E11" t="s">
        <v>212</v>
      </c>
    </row>
    <row r="12" spans="1:6" x14ac:dyDescent="0.25">
      <c r="B12" t="s">
        <v>213</v>
      </c>
      <c r="C12" s="4">
        <f>0.63*POWER(E3,0.7)</f>
        <v>398.89334677571276</v>
      </c>
      <c r="D12" t="s">
        <v>29</v>
      </c>
    </row>
    <row r="13" spans="1:6" x14ac:dyDescent="0.25">
      <c r="B13" t="s">
        <v>214</v>
      </c>
      <c r="C13" s="4">
        <f>0.03*C14</f>
        <v>145.09970898904845</v>
      </c>
      <c r="D13" t="s">
        <v>29</v>
      </c>
    </row>
    <row r="14" spans="1:6" x14ac:dyDescent="0.25">
      <c r="B14" t="s">
        <v>215</v>
      </c>
      <c r="C14" s="4">
        <f>0.85*'Variables auxiliares'!M12*Datos!C7*(Datos!C8-'Variables auxiliares'!M8)*'Variables auxiliares'!M19</f>
        <v>4836.6569663016153</v>
      </c>
      <c r="D14" t="s">
        <v>217</v>
      </c>
    </row>
    <row r="15" spans="1:6" x14ac:dyDescent="0.25">
      <c r="B15" t="s">
        <v>219</v>
      </c>
      <c r="C15" s="4">
        <f>'Variables auxiliares'!M28*(5+0.0164*Datos!C6)</f>
        <v>138.00896511999997</v>
      </c>
      <c r="D15" t="s">
        <v>29</v>
      </c>
    </row>
    <row r="17" spans="2:4" x14ac:dyDescent="0.25">
      <c r="B17" t="s">
        <v>76</v>
      </c>
      <c r="C17" s="4">
        <f>C8+C9+C10</f>
        <v>8889.2974744762232</v>
      </c>
      <c r="D17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4:G27"/>
  <sheetViews>
    <sheetView workbookViewId="0">
      <selection activeCell="B29" sqref="B29"/>
    </sheetView>
  </sheetViews>
  <sheetFormatPr baseColWidth="10" defaultRowHeight="15" x14ac:dyDescent="0.25"/>
  <cols>
    <col min="2" max="2" width="15" customWidth="1"/>
    <col min="3" max="3" width="12.7109375" bestFit="1" customWidth="1"/>
    <col min="4" max="4" width="18" customWidth="1"/>
    <col min="5" max="5" width="22.5703125" bestFit="1" customWidth="1"/>
  </cols>
  <sheetData>
    <row r="4" spans="2:7" x14ac:dyDescent="0.25">
      <c r="B4" t="s">
        <v>86</v>
      </c>
      <c r="C4" t="s">
        <v>87</v>
      </c>
      <c r="D4" t="s">
        <v>88</v>
      </c>
      <c r="E4" t="s">
        <v>97</v>
      </c>
      <c r="F4" t="s">
        <v>98</v>
      </c>
      <c r="G4" t="s">
        <v>99</v>
      </c>
    </row>
    <row r="5" spans="2:7" x14ac:dyDescent="0.25">
      <c r="B5" t="s">
        <v>89</v>
      </c>
      <c r="C5">
        <v>95.8</v>
      </c>
      <c r="D5">
        <v>3.5</v>
      </c>
      <c r="E5">
        <v>40</v>
      </c>
      <c r="F5">
        <v>19</v>
      </c>
      <c r="G5">
        <v>2</v>
      </c>
    </row>
    <row r="6" spans="2:7" x14ac:dyDescent="0.25">
      <c r="B6" t="s">
        <v>90</v>
      </c>
      <c r="C6">
        <v>111.85</v>
      </c>
      <c r="D6">
        <v>5.9</v>
      </c>
      <c r="E6">
        <v>40</v>
      </c>
      <c r="F6">
        <v>25</v>
      </c>
      <c r="G6">
        <v>2</v>
      </c>
    </row>
    <row r="7" spans="2:7" x14ac:dyDescent="0.25">
      <c r="B7" t="s">
        <v>91</v>
      </c>
      <c r="C7">
        <v>123.04</v>
      </c>
      <c r="D7">
        <v>7.18</v>
      </c>
      <c r="E7">
        <v>40</v>
      </c>
      <c r="F7">
        <v>24</v>
      </c>
      <c r="G7">
        <v>1</v>
      </c>
    </row>
    <row r="8" spans="2:7" x14ac:dyDescent="0.25">
      <c r="B8" t="s">
        <v>92</v>
      </c>
      <c r="C8">
        <v>139.38</v>
      </c>
      <c r="D8">
        <v>5.36</v>
      </c>
      <c r="E8">
        <v>40</v>
      </c>
      <c r="F8">
        <v>26</v>
      </c>
      <c r="G8">
        <v>2</v>
      </c>
    </row>
    <row r="9" spans="2:7" x14ac:dyDescent="0.25">
      <c r="B9" t="s">
        <v>93</v>
      </c>
      <c r="C9">
        <v>121.32</v>
      </c>
      <c r="D9">
        <v>2.63</v>
      </c>
      <c r="E9">
        <v>40</v>
      </c>
      <c r="F9">
        <v>28.5</v>
      </c>
      <c r="G9">
        <v>1</v>
      </c>
    </row>
    <row r="10" spans="2:7" x14ac:dyDescent="0.25">
      <c r="B10" t="s">
        <v>94</v>
      </c>
      <c r="C10">
        <v>95.8</v>
      </c>
      <c r="D10">
        <v>3.5</v>
      </c>
      <c r="E10">
        <v>40</v>
      </c>
      <c r="F10">
        <v>19</v>
      </c>
      <c r="G10">
        <v>2</v>
      </c>
    </row>
    <row r="11" spans="2:7" x14ac:dyDescent="0.25">
      <c r="B11" t="s">
        <v>96</v>
      </c>
      <c r="C11">
        <v>107</v>
      </c>
      <c r="D11">
        <v>1.95</v>
      </c>
      <c r="E11">
        <v>40</v>
      </c>
      <c r="F11">
        <v>25</v>
      </c>
      <c r="G11">
        <v>2</v>
      </c>
    </row>
    <row r="13" spans="2:7" x14ac:dyDescent="0.25">
      <c r="B13" t="s">
        <v>91</v>
      </c>
      <c r="C13">
        <v>124.04</v>
      </c>
      <c r="D13">
        <v>7.18</v>
      </c>
      <c r="E13">
        <v>32</v>
      </c>
      <c r="F13">
        <v>28</v>
      </c>
      <c r="G13">
        <v>1</v>
      </c>
    </row>
    <row r="14" spans="2:7" x14ac:dyDescent="0.25">
      <c r="B14" t="s">
        <v>93</v>
      </c>
      <c r="C14">
        <v>121.32</v>
      </c>
      <c r="D14">
        <v>2.63</v>
      </c>
      <c r="E14">
        <v>60</v>
      </c>
      <c r="F14">
        <v>16</v>
      </c>
      <c r="G14">
        <v>1</v>
      </c>
    </row>
    <row r="15" spans="2:7" x14ac:dyDescent="0.25">
      <c r="B15" t="s">
        <v>95</v>
      </c>
      <c r="C15">
        <v>112</v>
      </c>
      <c r="D15">
        <v>4.12</v>
      </c>
      <c r="E15">
        <v>200</v>
      </c>
      <c r="F15">
        <v>16</v>
      </c>
      <c r="G15">
        <v>2</v>
      </c>
    </row>
    <row r="19" spans="2:3" x14ac:dyDescent="0.25">
      <c r="B19" t="s">
        <v>100</v>
      </c>
    </row>
    <row r="21" spans="2:3" x14ac:dyDescent="0.25">
      <c r="B21" t="s">
        <v>101</v>
      </c>
      <c r="C21" t="s">
        <v>102</v>
      </c>
    </row>
    <row r="22" spans="2:3" x14ac:dyDescent="0.25">
      <c r="B22">
        <v>100</v>
      </c>
      <c r="C22" s="4">
        <f>6.367*LN(B22)-25.784</f>
        <v>3.5371185741861808</v>
      </c>
    </row>
    <row r="23" spans="2:3" x14ac:dyDescent="0.25">
      <c r="B23">
        <v>85</v>
      </c>
      <c r="C23" s="4">
        <f>6.367*LN(B23)-25.784</f>
        <v>2.5023605500738491</v>
      </c>
    </row>
    <row r="26" spans="2:3" x14ac:dyDescent="0.25">
      <c r="B26" t="s">
        <v>268</v>
      </c>
    </row>
    <row r="27" spans="2:3" x14ac:dyDescent="0.25">
      <c r="B27">
        <v>40</v>
      </c>
      <c r="C27" t="s">
        <v>269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13"/>
  <sheetViews>
    <sheetView workbookViewId="0">
      <selection activeCell="D14" sqref="D14"/>
    </sheetView>
  </sheetViews>
  <sheetFormatPr baseColWidth="10" defaultRowHeight="15" x14ac:dyDescent="0.25"/>
  <cols>
    <col min="2" max="2" width="4.85546875" customWidth="1"/>
  </cols>
  <sheetData>
    <row r="4" spans="1:4" x14ac:dyDescent="0.25">
      <c r="B4" t="s">
        <v>1</v>
      </c>
      <c r="C4" t="s">
        <v>103</v>
      </c>
    </row>
    <row r="5" spans="1:4" x14ac:dyDescent="0.25">
      <c r="A5" s="45" t="s">
        <v>106</v>
      </c>
      <c r="B5" s="45">
        <v>30</v>
      </c>
      <c r="C5">
        <v>1.8</v>
      </c>
    </row>
    <row r="6" spans="1:4" x14ac:dyDescent="0.25">
      <c r="B6">
        <v>75</v>
      </c>
      <c r="C6">
        <v>1.8</v>
      </c>
    </row>
    <row r="7" spans="1:4" x14ac:dyDescent="0.25">
      <c r="A7" s="45" t="s">
        <v>105</v>
      </c>
      <c r="B7" s="45">
        <v>125</v>
      </c>
      <c r="C7">
        <v>2.2999999999999998</v>
      </c>
    </row>
    <row r="9" spans="1:4" x14ac:dyDescent="0.25">
      <c r="A9" s="157" t="s">
        <v>104</v>
      </c>
      <c r="B9" s="157"/>
      <c r="C9" s="157"/>
    </row>
    <row r="11" spans="1:4" x14ac:dyDescent="0.25">
      <c r="B11" t="s">
        <v>101</v>
      </c>
      <c r="C11" t="s">
        <v>107</v>
      </c>
    </row>
    <row r="12" spans="1:4" x14ac:dyDescent="0.25">
      <c r="B12">
        <v>100</v>
      </c>
      <c r="C12">
        <f>((B12-$B$6)*($C$7-$C$6)/($B$7-$B$6))+$C$6</f>
        <v>2.0499999999999998</v>
      </c>
      <c r="D12" t="s">
        <v>11</v>
      </c>
    </row>
    <row r="13" spans="1:4" x14ac:dyDescent="0.25">
      <c r="B13">
        <v>85</v>
      </c>
      <c r="C13">
        <f>((B13-$B$6)*($C$7-$C$6)/($B$7-$B$6))+$C$6</f>
        <v>1.9</v>
      </c>
      <c r="D13" t="s">
        <v>11</v>
      </c>
    </row>
  </sheetData>
  <mergeCells count="1"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U349"/>
  <sheetViews>
    <sheetView topLeftCell="A40" zoomScale="70" zoomScaleNormal="70" workbookViewId="0">
      <selection activeCell="C98" sqref="C98"/>
    </sheetView>
  </sheetViews>
  <sheetFormatPr baseColWidth="10" defaultRowHeight="15" x14ac:dyDescent="0.25"/>
  <cols>
    <col min="3" max="3" width="6.85546875" customWidth="1"/>
    <col min="6" max="6" width="7.7109375" style="48" customWidth="1"/>
    <col min="7" max="7" width="11.5703125" style="48"/>
    <col min="9" max="9" width="3.7109375" customWidth="1"/>
    <col min="10" max="10" width="12.28515625" customWidth="1"/>
    <col min="14" max="14" width="4.28515625" customWidth="1"/>
    <col min="15" max="15" width="11.28515625" customWidth="1"/>
  </cols>
  <sheetData>
    <row r="2" spans="6:7" x14ac:dyDescent="0.25">
      <c r="F2" s="51"/>
      <c r="G2" s="51"/>
    </row>
    <row r="20" spans="2:18" x14ac:dyDescent="0.25">
      <c r="E20" s="10"/>
      <c r="F20" s="58"/>
      <c r="G20" s="58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2:18" x14ac:dyDescent="0.25">
      <c r="C21" s="4"/>
      <c r="J21" s="14"/>
    </row>
    <row r="22" spans="2:18" x14ac:dyDescent="0.25">
      <c r="B22" t="s">
        <v>61</v>
      </c>
      <c r="C22" s="4">
        <f>'Variables auxiliares'!M22</f>
        <v>13.44</v>
      </c>
      <c r="D22" t="s">
        <v>11</v>
      </c>
      <c r="J22" s="14"/>
      <c r="K22" t="s">
        <v>52</v>
      </c>
      <c r="L22" s="10"/>
    </row>
    <row r="23" spans="2:18" x14ac:dyDescent="0.25">
      <c r="B23" t="s">
        <v>52</v>
      </c>
      <c r="C23" s="7">
        <f>Datos!C6/2</f>
        <v>86</v>
      </c>
      <c r="D23" t="s">
        <v>11</v>
      </c>
      <c r="J23" s="14"/>
      <c r="K23" s="10"/>
      <c r="L23" s="10"/>
    </row>
    <row r="24" spans="2:18" x14ac:dyDescent="0.25">
      <c r="J24" s="14"/>
      <c r="K24" s="10"/>
      <c r="L24" s="10"/>
    </row>
    <row r="25" spans="2:18" x14ac:dyDescent="0.25">
      <c r="J25" s="14"/>
      <c r="K25" s="10"/>
      <c r="L25" s="10"/>
      <c r="R25" t="s">
        <v>66</v>
      </c>
    </row>
    <row r="26" spans="2:18" ht="15" customHeight="1" x14ac:dyDescent="0.25">
      <c r="C26" s="10"/>
      <c r="E26" s="10">
        <f>F62</f>
        <v>90</v>
      </c>
      <c r="F26" s="8"/>
      <c r="G26" s="8"/>
      <c r="H26" s="11"/>
      <c r="I26" s="160" t="s">
        <v>155</v>
      </c>
      <c r="J26" s="8"/>
      <c r="K26" s="8"/>
      <c r="L26" s="10"/>
      <c r="M26" s="10"/>
      <c r="N26" s="10"/>
      <c r="O26" s="10"/>
      <c r="Q26" s="16"/>
    </row>
    <row r="27" spans="2:18" ht="13.9" customHeight="1" x14ac:dyDescent="0.25">
      <c r="C27" s="10"/>
      <c r="E27" s="10">
        <f>F61</f>
        <v>88</v>
      </c>
      <c r="F27" s="8"/>
      <c r="G27" s="8"/>
      <c r="H27" s="11"/>
      <c r="I27" s="161"/>
      <c r="J27" s="8"/>
      <c r="K27" s="8"/>
      <c r="L27" s="8"/>
      <c r="M27" s="8"/>
      <c r="N27" s="160" t="s">
        <v>155</v>
      </c>
      <c r="O27" s="8"/>
      <c r="P27" s="8"/>
      <c r="Q27" s="113"/>
      <c r="R27" s="158" t="s">
        <v>59</v>
      </c>
    </row>
    <row r="28" spans="2:18" x14ac:dyDescent="0.25">
      <c r="C28" s="10"/>
      <c r="E28" s="10">
        <f>F60</f>
        <v>86</v>
      </c>
      <c r="F28" s="8"/>
      <c r="G28" s="8"/>
      <c r="H28" s="11"/>
      <c r="I28" s="161"/>
      <c r="J28" s="8"/>
      <c r="K28" s="8"/>
      <c r="L28" s="8"/>
      <c r="M28" s="8"/>
      <c r="N28" s="161"/>
      <c r="O28" s="8"/>
      <c r="P28" s="8"/>
      <c r="Q28" s="113"/>
      <c r="R28" s="158"/>
    </row>
    <row r="29" spans="2:18" ht="14.45" customHeight="1" x14ac:dyDescent="0.25">
      <c r="C29" s="10"/>
      <c r="E29" s="10">
        <f>F59</f>
        <v>84</v>
      </c>
      <c r="F29" s="8"/>
      <c r="G29" s="8"/>
      <c r="H29" s="11"/>
      <c r="I29" s="161"/>
      <c r="J29" s="8"/>
      <c r="K29" s="8"/>
      <c r="L29" s="8"/>
      <c r="M29" s="8"/>
      <c r="N29" s="161"/>
      <c r="O29" s="8"/>
      <c r="P29" s="8"/>
      <c r="Q29" s="113"/>
      <c r="R29" s="158"/>
    </row>
    <row r="30" spans="2:18" x14ac:dyDescent="0.25">
      <c r="C30" s="10"/>
      <c r="E30" s="10">
        <f>F58</f>
        <v>82</v>
      </c>
      <c r="F30" s="8"/>
      <c r="G30" s="8"/>
      <c r="H30" s="11"/>
      <c r="I30" s="162"/>
      <c r="J30" s="8"/>
      <c r="K30" s="8"/>
      <c r="L30" s="8"/>
      <c r="M30" s="8"/>
      <c r="N30" s="162"/>
      <c r="O30" s="8"/>
      <c r="P30" s="8"/>
      <c r="Q30" s="113"/>
      <c r="R30" s="158"/>
    </row>
    <row r="31" spans="2:18" x14ac:dyDescent="0.25">
      <c r="F31"/>
      <c r="G31" s="10"/>
      <c r="H31" s="10"/>
      <c r="I31" s="117"/>
      <c r="J31" s="10"/>
      <c r="K31" s="10"/>
      <c r="L31" s="10"/>
      <c r="M31" s="10"/>
      <c r="N31" s="117"/>
      <c r="O31" s="10"/>
      <c r="Q31" s="16"/>
    </row>
    <row r="32" spans="2:18" ht="13.9" customHeight="1" x14ac:dyDescent="0.25">
      <c r="E32">
        <f>H48</f>
        <v>2</v>
      </c>
      <c r="F32" s="10"/>
      <c r="G32" s="9"/>
      <c r="H32" s="11"/>
      <c r="I32" s="163"/>
      <c r="J32" s="8"/>
      <c r="K32" s="8"/>
      <c r="L32" s="8"/>
      <c r="M32" s="8"/>
      <c r="N32" s="163"/>
      <c r="O32" s="8"/>
      <c r="P32" s="8"/>
      <c r="Q32" s="114"/>
      <c r="R32" s="94" t="s">
        <v>60</v>
      </c>
    </row>
    <row r="33" spans="1:19" ht="14.45" customHeight="1" x14ac:dyDescent="0.25">
      <c r="B33" s="10"/>
      <c r="C33" s="10"/>
      <c r="E33" s="10">
        <f>H49</f>
        <v>4</v>
      </c>
      <c r="F33" s="10"/>
      <c r="G33" s="9"/>
      <c r="H33" s="11"/>
      <c r="I33" s="164"/>
      <c r="J33" s="8"/>
      <c r="K33" s="8"/>
      <c r="L33" s="8"/>
      <c r="M33" s="8"/>
      <c r="N33" s="164"/>
      <c r="O33" s="8"/>
      <c r="P33" s="8"/>
      <c r="Q33" s="113"/>
      <c r="R33" s="94"/>
    </row>
    <row r="34" spans="1:19" x14ac:dyDescent="0.25">
      <c r="A34" s="47"/>
      <c r="B34" s="10"/>
      <c r="C34" s="10"/>
      <c r="E34" s="10"/>
      <c r="F34" s="10"/>
      <c r="G34" s="10"/>
      <c r="H34" s="10"/>
      <c r="I34" s="10"/>
      <c r="J34" s="10"/>
    </row>
    <row r="35" spans="1:19" x14ac:dyDescent="0.25">
      <c r="C35" s="18"/>
      <c r="E35" s="18"/>
      <c r="F35" s="87">
        <f>B58</f>
        <v>19</v>
      </c>
      <c r="G35" s="17">
        <f>B78</f>
        <v>17</v>
      </c>
      <c r="H35" s="88">
        <f>B98</f>
        <v>15</v>
      </c>
      <c r="J35" s="88">
        <f>B122</f>
        <v>13</v>
      </c>
      <c r="K35" s="18">
        <f>B146</f>
        <v>11</v>
      </c>
      <c r="L35" s="18">
        <f>B170</f>
        <v>9</v>
      </c>
      <c r="M35" s="17">
        <f>B194</f>
        <v>7</v>
      </c>
      <c r="O35" s="88">
        <f>B214</f>
        <v>5</v>
      </c>
      <c r="P35">
        <f>B234</f>
        <v>3</v>
      </c>
      <c r="Q35">
        <f>B254</f>
        <v>1</v>
      </c>
      <c r="S35" s="48" t="s">
        <v>62</v>
      </c>
    </row>
    <row r="36" spans="1:19" x14ac:dyDescent="0.25">
      <c r="E36" s="96"/>
      <c r="F36" s="95"/>
      <c r="G36" s="97">
        <f>G35-1</f>
        <v>16</v>
      </c>
      <c r="H36" s="97"/>
      <c r="I36" s="98"/>
      <c r="J36" s="105">
        <f>H35-1</f>
        <v>14</v>
      </c>
      <c r="K36" s="98"/>
      <c r="L36" s="93"/>
      <c r="M36" s="93"/>
      <c r="N36" s="93"/>
      <c r="O36" s="93"/>
      <c r="S36" s="48" t="s">
        <v>63</v>
      </c>
    </row>
    <row r="37" spans="1:19" x14ac:dyDescent="0.25">
      <c r="J37" s="10"/>
      <c r="K37" s="10"/>
      <c r="L37" s="10"/>
    </row>
    <row r="38" spans="1:19" x14ac:dyDescent="0.25">
      <c r="J38" s="10"/>
      <c r="K38" s="10"/>
      <c r="L38" s="10"/>
    </row>
    <row r="39" spans="1:19" x14ac:dyDescent="0.25">
      <c r="B39" t="s">
        <v>67</v>
      </c>
      <c r="C39">
        <f>D73</f>
        <v>4</v>
      </c>
      <c r="D39" s="19">
        <f>D68</f>
        <v>2</v>
      </c>
      <c r="E39">
        <f>D58</f>
        <v>1</v>
      </c>
      <c r="G39" s="48">
        <f>D63</f>
        <v>3</v>
      </c>
      <c r="H39" s="48"/>
      <c r="J39" s="10"/>
    </row>
    <row r="40" spans="1:19" ht="14.45" customHeight="1" x14ac:dyDescent="0.25">
      <c r="C40" s="85"/>
      <c r="D40" s="21"/>
      <c r="E40" s="85"/>
      <c r="G40" s="86"/>
      <c r="H40" s="33"/>
    </row>
    <row r="41" spans="1:19" ht="16.899999999999999" customHeight="1" x14ac:dyDescent="0.25">
      <c r="B41" s="8"/>
      <c r="C41" s="129"/>
      <c r="D41" s="64"/>
      <c r="E41" s="13"/>
      <c r="F41" s="131"/>
      <c r="G41" s="28"/>
      <c r="H41" s="33">
        <f>F82</f>
        <v>90</v>
      </c>
      <c r="I41" s="130" t="s">
        <v>59</v>
      </c>
    </row>
    <row r="42" spans="1:19" x14ac:dyDescent="0.25">
      <c r="B42" s="8"/>
      <c r="C42" s="129"/>
      <c r="D42" s="20"/>
      <c r="E42" s="11"/>
      <c r="F42" s="131"/>
      <c r="G42" s="1"/>
      <c r="H42" s="33">
        <f>F81</f>
        <v>88</v>
      </c>
      <c r="I42" s="130"/>
    </row>
    <row r="43" spans="1:19" x14ac:dyDescent="0.25">
      <c r="B43" s="8"/>
      <c r="C43" s="129" t="s">
        <v>155</v>
      </c>
      <c r="D43" s="20"/>
      <c r="E43" s="11"/>
      <c r="F43" s="131" t="s">
        <v>155</v>
      </c>
      <c r="G43" s="1"/>
      <c r="H43" s="33">
        <f>F80</f>
        <v>86</v>
      </c>
      <c r="I43" s="130"/>
    </row>
    <row r="44" spans="1:19" x14ac:dyDescent="0.25">
      <c r="B44" s="8"/>
      <c r="C44" s="129"/>
      <c r="D44" s="20"/>
      <c r="E44" s="11"/>
      <c r="F44" s="131"/>
      <c r="G44" s="1"/>
      <c r="H44" s="33">
        <f>F79</f>
        <v>84</v>
      </c>
      <c r="I44" s="130"/>
    </row>
    <row r="45" spans="1:19" x14ac:dyDescent="0.25">
      <c r="B45" s="8"/>
      <c r="C45" s="129"/>
      <c r="D45" s="20"/>
      <c r="E45" s="11"/>
      <c r="F45" s="131"/>
      <c r="G45" s="1"/>
      <c r="H45" s="33">
        <f>F78</f>
        <v>82</v>
      </c>
      <c r="I45" s="130"/>
    </row>
    <row r="46" spans="1:19" x14ac:dyDescent="0.25">
      <c r="D46" s="19"/>
      <c r="H46" s="33"/>
      <c r="L46" s="10"/>
    </row>
    <row r="47" spans="1:19" x14ac:dyDescent="0.25">
      <c r="D47" s="19"/>
      <c r="H47" s="33"/>
      <c r="L47" s="10"/>
    </row>
    <row r="48" spans="1:19" x14ac:dyDescent="0.25">
      <c r="C48" s="10"/>
      <c r="D48" s="20"/>
      <c r="E48" s="65"/>
      <c r="G48" s="58"/>
      <c r="H48" s="33">
        <f>F98</f>
        <v>2</v>
      </c>
      <c r="I48" s="130" t="s">
        <v>60</v>
      </c>
    </row>
    <row r="49" spans="1:21" x14ac:dyDescent="0.25">
      <c r="B49" s="10"/>
      <c r="C49" s="10"/>
      <c r="D49" s="64"/>
      <c r="E49" s="13"/>
      <c r="H49" s="33">
        <f>F99</f>
        <v>4</v>
      </c>
      <c r="I49" s="130"/>
    </row>
    <row r="50" spans="1:21" x14ac:dyDescent="0.25">
      <c r="C50" s="10"/>
      <c r="D50" s="19"/>
    </row>
    <row r="51" spans="1:21" x14ac:dyDescent="0.25">
      <c r="D51" s="19"/>
    </row>
    <row r="52" spans="1:21" x14ac:dyDescent="0.25">
      <c r="E52" t="s">
        <v>65</v>
      </c>
    </row>
    <row r="54" spans="1:21" x14ac:dyDescent="0.25">
      <c r="T54" s="4"/>
    </row>
    <row r="55" spans="1:21" x14ac:dyDescent="0.25">
      <c r="B55" s="159" t="s">
        <v>134</v>
      </c>
      <c r="C55" s="159"/>
      <c r="D55" s="159"/>
      <c r="E55" s="159"/>
      <c r="F55" s="159"/>
      <c r="G55" s="159"/>
      <c r="H55" s="159"/>
      <c r="I55" s="159"/>
      <c r="J55" s="159"/>
      <c r="T55" s="4"/>
    </row>
    <row r="56" spans="1:21" x14ac:dyDescent="0.25">
      <c r="A56" t="s">
        <v>68</v>
      </c>
    </row>
    <row r="57" spans="1:21" x14ac:dyDescent="0.25">
      <c r="B57" s="1" t="s">
        <v>69</v>
      </c>
      <c r="C57" s="1" t="s">
        <v>70</v>
      </c>
      <c r="D57" s="1" t="s">
        <v>67</v>
      </c>
      <c r="E57" s="1" t="s">
        <v>71</v>
      </c>
      <c r="F57" s="1" t="s">
        <v>66</v>
      </c>
      <c r="G57" s="26" t="s">
        <v>72</v>
      </c>
      <c r="H57" s="1" t="s">
        <v>144</v>
      </c>
      <c r="I57" s="40"/>
      <c r="J57" s="44" t="s">
        <v>81</v>
      </c>
      <c r="L57" s="10" t="s">
        <v>135</v>
      </c>
      <c r="M57" s="10"/>
      <c r="N57" s="10"/>
      <c r="O57" s="10"/>
      <c r="P57" s="10"/>
      <c r="Q57" s="58"/>
      <c r="R57" s="10"/>
      <c r="S57" s="60"/>
      <c r="T57" s="60"/>
      <c r="U57" s="60"/>
    </row>
    <row r="58" spans="1:21" x14ac:dyDescent="0.25">
      <c r="B58" s="57">
        <f>J67*2-1</f>
        <v>19</v>
      </c>
      <c r="C58" s="29">
        <f>IF(INT(('Variables auxiliares'!M12-'Variables auxiliares'!M10)/Datos!J5)&gt;0,'Variables auxiliares'!M10+(Datos!J5/2),INT('Variables auxiliares'!M12+(Datos!J5/2)))</f>
        <v>26</v>
      </c>
      <c r="D58" s="30">
        <f>2*J71-1</f>
        <v>1</v>
      </c>
      <c r="E58" s="67">
        <f>Datos!J7/2</f>
        <v>1.22</v>
      </c>
      <c r="F58" s="71">
        <f>80+2*J79</f>
        <v>82</v>
      </c>
      <c r="G58" s="77">
        <f>Datos!C$8+'Variables auxiliares'!M6+'Variables auxiliares'!M7+(Datos!J$8/2)</f>
        <v>17.739999999999998</v>
      </c>
      <c r="J58">
        <v>1</v>
      </c>
      <c r="L58" s="10"/>
      <c r="M58" s="10"/>
      <c r="N58" s="10"/>
      <c r="O58" s="10"/>
      <c r="P58" s="10"/>
      <c r="Q58" s="58"/>
      <c r="R58" s="10"/>
      <c r="S58" s="61"/>
      <c r="T58" s="10"/>
      <c r="U58" s="62"/>
    </row>
    <row r="59" spans="1:21" x14ac:dyDescent="0.25">
      <c r="E59" s="6"/>
      <c r="F59" s="71">
        <f>80+2*J80</f>
        <v>84</v>
      </c>
      <c r="G59" s="72">
        <f>G$58+J79*Datos!J$8</f>
        <v>20.74</v>
      </c>
      <c r="H59" s="41"/>
      <c r="I59" s="10"/>
      <c r="J59">
        <v>2</v>
      </c>
      <c r="L59" s="58" t="s">
        <v>136</v>
      </c>
      <c r="M59" s="58" t="str">
        <f>IF(MOD('Variables auxiliares'!F12,2)&gt;0,0,"NO")</f>
        <v>NO</v>
      </c>
      <c r="N59" s="58"/>
      <c r="O59" s="10"/>
      <c r="P59" s="10"/>
      <c r="Q59" s="58"/>
      <c r="R59" s="10"/>
      <c r="S59" s="61"/>
      <c r="T59" s="10"/>
      <c r="U59" s="62"/>
    </row>
    <row r="60" spans="1:21" x14ac:dyDescent="0.25">
      <c r="E60" s="50" t="s">
        <v>141</v>
      </c>
      <c r="F60" s="71">
        <f>80+2*J81</f>
        <v>86</v>
      </c>
      <c r="G60" s="72">
        <f>G$58+J80*Datos!J$8</f>
        <v>23.74</v>
      </c>
      <c r="H60" s="41"/>
      <c r="I60" s="10"/>
      <c r="J60">
        <v>3</v>
      </c>
      <c r="M60" s="59"/>
      <c r="N60" s="59"/>
      <c r="O60" s="58"/>
      <c r="P60" s="59"/>
      <c r="Q60" s="58"/>
      <c r="R60" s="10"/>
      <c r="S60" s="61"/>
      <c r="T60" s="10"/>
      <c r="U60" s="62"/>
    </row>
    <row r="61" spans="1:21" x14ac:dyDescent="0.25">
      <c r="E61" s="6"/>
      <c r="F61" s="71">
        <f>80+2*J82</f>
        <v>88</v>
      </c>
      <c r="G61" s="72">
        <f>G$58+J81*Datos!J$8</f>
        <v>26.74</v>
      </c>
      <c r="H61" s="41"/>
      <c r="I61" s="10"/>
      <c r="J61">
        <v>4</v>
      </c>
      <c r="M61" s="59"/>
      <c r="N61" s="59"/>
      <c r="O61" s="58"/>
      <c r="P61" s="59"/>
      <c r="Q61" s="58"/>
      <c r="R61" s="10"/>
      <c r="S61" s="61"/>
      <c r="T61" s="10"/>
      <c r="U61" s="62"/>
    </row>
    <row r="62" spans="1:21" x14ac:dyDescent="0.25">
      <c r="E62" s="6"/>
      <c r="F62" s="71">
        <f>80+2*J83</f>
        <v>90</v>
      </c>
      <c r="G62" s="72">
        <f>G$58+J82*Datos!J$8</f>
        <v>29.74</v>
      </c>
      <c r="H62" s="27">
        <f>INT(((3*Datos!C$6-'slots con grua'!C58)*TAN('Variables auxiliares'!C$40)-Datos!C$8+'Variables auxiliares'!F$54)/Datos!J$8)</f>
        <v>10</v>
      </c>
      <c r="I62" s="76"/>
      <c r="J62">
        <v>5</v>
      </c>
      <c r="M62" s="59"/>
      <c r="N62" s="59"/>
      <c r="O62" s="58"/>
      <c r="P62" s="59"/>
      <c r="Q62" s="58"/>
      <c r="R62" s="10"/>
      <c r="S62" s="61"/>
      <c r="T62" s="10"/>
      <c r="U62" s="62"/>
    </row>
    <row r="63" spans="1:21" x14ac:dyDescent="0.25">
      <c r="B63" s="27">
        <f>B58</f>
        <v>19</v>
      </c>
      <c r="C63" s="25">
        <f>C58</f>
        <v>26</v>
      </c>
      <c r="D63" s="1">
        <f>2*J72-1</f>
        <v>3</v>
      </c>
      <c r="E63" s="68">
        <f>E58+J71*Datos!J7</f>
        <v>3.66</v>
      </c>
      <c r="F63" s="74">
        <f t="shared" ref="F63:G67" si="0">F58</f>
        <v>82</v>
      </c>
      <c r="G63" s="72">
        <f t="shared" si="0"/>
        <v>17.739999999999998</v>
      </c>
      <c r="H63" s="42"/>
      <c r="I63" s="115"/>
      <c r="J63">
        <v>6</v>
      </c>
      <c r="L63" t="s">
        <v>148</v>
      </c>
      <c r="M63" s="59"/>
      <c r="N63" s="59"/>
      <c r="O63" s="58"/>
      <c r="P63" s="59"/>
      <c r="Q63" s="58"/>
      <c r="R63" s="10"/>
      <c r="S63" s="61"/>
      <c r="T63" s="10"/>
      <c r="U63" s="62"/>
    </row>
    <row r="64" spans="1:21" x14ac:dyDescent="0.25">
      <c r="E64" s="6"/>
      <c r="F64" s="74">
        <f t="shared" si="0"/>
        <v>84</v>
      </c>
      <c r="G64" s="72">
        <f t="shared" si="0"/>
        <v>20.74</v>
      </c>
      <c r="H64" s="41"/>
      <c r="I64" s="10"/>
      <c r="J64">
        <v>7</v>
      </c>
      <c r="M64" s="59"/>
      <c r="N64" s="59"/>
      <c r="O64" s="58"/>
      <c r="P64" s="59"/>
      <c r="Q64" s="58"/>
      <c r="R64" s="10"/>
      <c r="S64" s="61"/>
      <c r="T64" s="10"/>
      <c r="U64" s="62"/>
    </row>
    <row r="65" spans="2:21" x14ac:dyDescent="0.25">
      <c r="E65" s="6"/>
      <c r="F65" s="74">
        <f t="shared" si="0"/>
        <v>86</v>
      </c>
      <c r="G65" s="72">
        <f t="shared" si="0"/>
        <v>23.74</v>
      </c>
      <c r="H65" s="41"/>
      <c r="I65" s="10"/>
      <c r="J65">
        <v>8</v>
      </c>
      <c r="K65" t="s">
        <v>150</v>
      </c>
      <c r="M65" s="59"/>
      <c r="N65" s="59"/>
      <c r="O65" s="58"/>
      <c r="P65" s="59"/>
      <c r="Q65" s="58"/>
      <c r="R65" s="10"/>
      <c r="S65" s="61"/>
      <c r="T65" s="10"/>
      <c r="U65" s="62"/>
    </row>
    <row r="66" spans="2:21" x14ac:dyDescent="0.25">
      <c r="E66" s="6"/>
      <c r="F66" s="74">
        <f t="shared" si="0"/>
        <v>88</v>
      </c>
      <c r="G66" s="72">
        <f t="shared" si="0"/>
        <v>26.74</v>
      </c>
      <c r="H66" s="41"/>
      <c r="I66" s="10"/>
      <c r="J66">
        <v>9</v>
      </c>
      <c r="M66" s="59"/>
      <c r="N66" s="59"/>
      <c r="O66" s="58"/>
      <c r="P66" s="59"/>
      <c r="Q66" s="58"/>
      <c r="R66" s="10"/>
      <c r="S66" s="61"/>
      <c r="T66" s="10"/>
      <c r="U66" s="62"/>
    </row>
    <row r="67" spans="2:21" x14ac:dyDescent="0.25">
      <c r="E67" s="6"/>
      <c r="F67" s="74">
        <f t="shared" si="0"/>
        <v>90</v>
      </c>
      <c r="G67" s="72">
        <f t="shared" si="0"/>
        <v>29.74</v>
      </c>
      <c r="H67" s="27">
        <f>H62</f>
        <v>10</v>
      </c>
      <c r="I67" s="10"/>
      <c r="J67">
        <v>10</v>
      </c>
      <c r="K67" t="s">
        <v>137</v>
      </c>
      <c r="M67" s="59"/>
      <c r="N67" s="59"/>
      <c r="O67" s="58"/>
      <c r="P67" s="59"/>
      <c r="Q67" s="58"/>
      <c r="R67" s="10"/>
      <c r="S67" s="61"/>
      <c r="T67" s="10"/>
      <c r="U67" s="62"/>
    </row>
    <row r="68" spans="2:21" x14ac:dyDescent="0.25">
      <c r="B68" s="27">
        <f>B63</f>
        <v>19</v>
      </c>
      <c r="C68" s="25">
        <f>C63</f>
        <v>26</v>
      </c>
      <c r="D68" s="1">
        <f>2*J71</f>
        <v>2</v>
      </c>
      <c r="E68" s="1">
        <f>-Datos!J7/2</f>
        <v>-1.22</v>
      </c>
      <c r="F68" s="1">
        <f t="shared" ref="F68:G72" si="1">F58</f>
        <v>82</v>
      </c>
      <c r="G68" s="1">
        <f t="shared" si="1"/>
        <v>17.739999999999998</v>
      </c>
      <c r="H68" s="40"/>
      <c r="I68" s="10"/>
      <c r="M68" s="59"/>
      <c r="N68" s="59"/>
      <c r="O68" s="58"/>
      <c r="P68" s="59"/>
      <c r="Q68" s="58"/>
      <c r="R68" s="10"/>
      <c r="S68" s="61"/>
      <c r="T68" s="10"/>
      <c r="U68" s="62"/>
    </row>
    <row r="69" spans="2:21" x14ac:dyDescent="0.25">
      <c r="E69" s="6"/>
      <c r="F69" s="1">
        <f t="shared" si="1"/>
        <v>84</v>
      </c>
      <c r="G69" s="1">
        <f t="shared" si="1"/>
        <v>20.74</v>
      </c>
      <c r="H69" s="40"/>
      <c r="I69" s="10"/>
      <c r="M69" s="59"/>
      <c r="N69" s="59"/>
      <c r="O69" s="58"/>
      <c r="P69" s="59"/>
      <c r="Q69" s="58"/>
      <c r="R69" s="10"/>
      <c r="S69" s="61"/>
      <c r="T69" s="10"/>
      <c r="U69" s="62"/>
    </row>
    <row r="70" spans="2:21" x14ac:dyDescent="0.25">
      <c r="F70" s="1">
        <f t="shared" si="1"/>
        <v>86</v>
      </c>
      <c r="G70" s="1">
        <f t="shared" si="1"/>
        <v>23.74</v>
      </c>
      <c r="H70" s="40"/>
      <c r="I70" s="10"/>
      <c r="J70" s="51" t="s">
        <v>82</v>
      </c>
      <c r="M70" s="59"/>
      <c r="N70" s="59"/>
      <c r="O70" s="58"/>
      <c r="P70" s="59"/>
      <c r="Q70" s="58"/>
      <c r="R70" s="10"/>
      <c r="S70" s="61"/>
      <c r="T70" s="10"/>
      <c r="U70" s="62"/>
    </row>
    <row r="71" spans="2:21" x14ac:dyDescent="0.25">
      <c r="E71" t="s">
        <v>142</v>
      </c>
      <c r="F71" s="1">
        <f t="shared" si="1"/>
        <v>88</v>
      </c>
      <c r="G71" s="1">
        <f t="shared" si="1"/>
        <v>26.74</v>
      </c>
      <c r="H71" s="40"/>
      <c r="I71" s="10"/>
      <c r="J71">
        <v>1</v>
      </c>
      <c r="M71" s="59"/>
      <c r="N71" s="59"/>
      <c r="O71" s="58"/>
      <c r="P71" s="59"/>
      <c r="Q71" s="58"/>
      <c r="R71" s="10"/>
      <c r="S71" s="61"/>
      <c r="T71" s="10"/>
      <c r="U71" s="62"/>
    </row>
    <row r="72" spans="2:21" x14ac:dyDescent="0.25">
      <c r="F72" s="1">
        <f t="shared" si="1"/>
        <v>90</v>
      </c>
      <c r="G72" s="1">
        <f t="shared" si="1"/>
        <v>29.74</v>
      </c>
      <c r="H72" s="27">
        <f>H67</f>
        <v>10</v>
      </c>
      <c r="I72" s="10"/>
      <c r="J72">
        <v>2</v>
      </c>
      <c r="K72" t="s">
        <v>138</v>
      </c>
      <c r="M72" s="59"/>
      <c r="N72" s="59"/>
      <c r="O72" s="58"/>
      <c r="P72" s="59"/>
      <c r="Q72" s="58"/>
      <c r="R72" s="10"/>
      <c r="S72" s="61"/>
      <c r="T72" s="10"/>
      <c r="U72" s="62"/>
    </row>
    <row r="73" spans="2:21" x14ac:dyDescent="0.25">
      <c r="B73" s="27">
        <f>B68</f>
        <v>19</v>
      </c>
      <c r="C73" s="25">
        <f>C68</f>
        <v>26</v>
      </c>
      <c r="D73" s="1">
        <f>2*J72</f>
        <v>4</v>
      </c>
      <c r="E73" s="1">
        <f>E68-J71*Datos!J7</f>
        <v>-3.66</v>
      </c>
      <c r="F73" s="1">
        <f t="shared" ref="F73:G77" si="2">F58</f>
        <v>82</v>
      </c>
      <c r="G73" s="1">
        <f t="shared" si="2"/>
        <v>17.739999999999998</v>
      </c>
      <c r="H73" s="40"/>
      <c r="I73" s="10"/>
      <c r="M73" s="59"/>
      <c r="N73" s="59"/>
      <c r="O73" s="58"/>
      <c r="P73" s="59"/>
      <c r="Q73" s="58"/>
      <c r="R73" s="10"/>
      <c r="S73" s="61"/>
      <c r="T73" s="10"/>
      <c r="U73" s="62"/>
    </row>
    <row r="74" spans="2:21" x14ac:dyDescent="0.25">
      <c r="F74" s="1">
        <f t="shared" si="2"/>
        <v>84</v>
      </c>
      <c r="G74" s="1">
        <f t="shared" si="2"/>
        <v>20.74</v>
      </c>
      <c r="H74" s="40"/>
      <c r="I74" s="10"/>
      <c r="M74" s="59"/>
      <c r="N74" s="59"/>
      <c r="O74" s="58"/>
      <c r="P74" s="59"/>
      <c r="Q74" s="58"/>
      <c r="R74" s="10"/>
      <c r="S74" s="61"/>
      <c r="T74" s="10"/>
      <c r="U74" s="62"/>
    </row>
    <row r="75" spans="2:21" x14ac:dyDescent="0.25">
      <c r="F75" s="1">
        <f t="shared" si="2"/>
        <v>86</v>
      </c>
      <c r="G75" s="1">
        <f t="shared" si="2"/>
        <v>23.74</v>
      </c>
      <c r="H75" s="40"/>
      <c r="I75" s="10"/>
      <c r="J75" s="51" t="s">
        <v>83</v>
      </c>
      <c r="M75" s="59"/>
      <c r="N75" s="59"/>
      <c r="O75" s="58"/>
      <c r="P75" s="59"/>
      <c r="Q75" s="58"/>
      <c r="R75" s="10"/>
      <c r="S75" s="61"/>
      <c r="T75" s="10"/>
      <c r="U75" s="62"/>
    </row>
    <row r="76" spans="2:21" x14ac:dyDescent="0.25">
      <c r="F76" s="1">
        <f t="shared" si="2"/>
        <v>88</v>
      </c>
      <c r="G76" s="1">
        <f t="shared" si="2"/>
        <v>26.74</v>
      </c>
      <c r="H76" s="40"/>
      <c r="I76" s="10"/>
      <c r="J76">
        <v>1</v>
      </c>
      <c r="K76" t="s">
        <v>139</v>
      </c>
      <c r="M76" s="59"/>
      <c r="N76" s="59"/>
      <c r="O76" s="58"/>
      <c r="P76" s="59"/>
      <c r="Q76" s="58"/>
      <c r="R76" s="10"/>
      <c r="S76" s="61"/>
      <c r="T76" s="10"/>
      <c r="U76" s="62"/>
    </row>
    <row r="77" spans="2:21" ht="15.75" thickBot="1" x14ac:dyDescent="0.3">
      <c r="B77" s="79"/>
      <c r="C77" s="79"/>
      <c r="D77" s="79"/>
      <c r="E77" s="79"/>
      <c r="F77" s="80">
        <f t="shared" si="2"/>
        <v>90</v>
      </c>
      <c r="G77" s="80">
        <f t="shared" si="2"/>
        <v>29.74</v>
      </c>
      <c r="H77" s="27">
        <f>H72</f>
        <v>10</v>
      </c>
      <c r="I77" s="10"/>
      <c r="J77">
        <v>2</v>
      </c>
      <c r="K77" t="s">
        <v>140</v>
      </c>
      <c r="M77" s="59"/>
      <c r="N77" s="59"/>
      <c r="O77" s="58"/>
      <c r="P77" s="59"/>
      <c r="Q77" s="58"/>
      <c r="R77" s="10"/>
      <c r="S77" s="61"/>
      <c r="T77" s="10"/>
      <c r="U77" s="62"/>
    </row>
    <row r="78" spans="2:21" x14ac:dyDescent="0.25">
      <c r="B78" s="28">
        <f>J66*2-1</f>
        <v>17</v>
      </c>
      <c r="C78" s="29">
        <f>C63+('Variables auxiliares'!F24-J66)*Datos!J5</f>
        <v>110.83999999999999</v>
      </c>
      <c r="D78" s="30">
        <f>D58</f>
        <v>1</v>
      </c>
      <c r="E78" s="67">
        <f>E58</f>
        <v>1.22</v>
      </c>
      <c r="F78" s="68">
        <f t="shared" ref="F78:G82" si="3">F63</f>
        <v>82</v>
      </c>
      <c r="G78" s="77">
        <f t="shared" si="3"/>
        <v>17.739999999999998</v>
      </c>
      <c r="M78" s="59"/>
      <c r="N78" s="59"/>
      <c r="O78" s="58"/>
      <c r="P78" s="59"/>
      <c r="Q78" s="58"/>
      <c r="R78" s="10"/>
      <c r="S78" s="61"/>
      <c r="T78" s="10"/>
      <c r="U78" s="62"/>
    </row>
    <row r="79" spans="2:21" x14ac:dyDescent="0.25">
      <c r="F79" s="74">
        <f t="shared" si="3"/>
        <v>84</v>
      </c>
      <c r="G79" s="69">
        <f t="shared" si="3"/>
        <v>20.74</v>
      </c>
      <c r="H79" s="41"/>
      <c r="I79" s="10"/>
      <c r="J79">
        <v>1</v>
      </c>
      <c r="K79" t="s">
        <v>143</v>
      </c>
      <c r="M79" s="59"/>
      <c r="N79" s="59"/>
      <c r="O79" s="58"/>
      <c r="P79" s="59"/>
      <c r="Q79" s="58"/>
      <c r="R79" s="10"/>
      <c r="S79" s="61"/>
      <c r="T79" s="10"/>
      <c r="U79" s="62"/>
    </row>
    <row r="80" spans="2:21" x14ac:dyDescent="0.25">
      <c r="F80" s="74">
        <f t="shared" si="3"/>
        <v>86</v>
      </c>
      <c r="G80" s="77">
        <f t="shared" si="3"/>
        <v>23.74</v>
      </c>
      <c r="J80">
        <v>2</v>
      </c>
      <c r="M80" s="59"/>
      <c r="N80" s="59"/>
      <c r="O80" s="58"/>
      <c r="P80" s="59"/>
      <c r="Q80" s="58"/>
      <c r="R80" s="10"/>
      <c r="S80" s="61"/>
      <c r="T80" s="10"/>
      <c r="U80" s="62"/>
    </row>
    <row r="81" spans="2:21" x14ac:dyDescent="0.25">
      <c r="E81" t="s">
        <v>141</v>
      </c>
      <c r="F81" s="74">
        <f t="shared" si="3"/>
        <v>88</v>
      </c>
      <c r="G81" s="72">
        <f t="shared" si="3"/>
        <v>26.74</v>
      </c>
      <c r="H81" s="41"/>
      <c r="I81" s="10"/>
      <c r="J81">
        <v>3</v>
      </c>
      <c r="M81" s="59"/>
      <c r="N81" s="59"/>
      <c r="O81" s="58"/>
      <c r="P81" s="59"/>
      <c r="Q81" s="58"/>
      <c r="R81" s="10"/>
      <c r="S81" s="61"/>
      <c r="T81" s="10"/>
      <c r="U81" s="62"/>
    </row>
    <row r="82" spans="2:21" x14ac:dyDescent="0.25">
      <c r="F82" s="74">
        <f t="shared" si="3"/>
        <v>90</v>
      </c>
      <c r="G82" s="72">
        <f t="shared" si="3"/>
        <v>29.74</v>
      </c>
      <c r="H82" s="27">
        <f>INT(((3*Datos!C$6-'slots con grua'!C78)*TAN('Variables auxiliares'!C$40)-Datos!C$8+'Variables auxiliares'!F$54)/Datos!J$8)</f>
        <v>8</v>
      </c>
      <c r="J82">
        <v>4</v>
      </c>
      <c r="M82" s="63"/>
      <c r="N82" s="63"/>
      <c r="O82" s="60"/>
      <c r="P82" s="59"/>
      <c r="Q82" s="58"/>
      <c r="R82" s="10"/>
      <c r="S82" s="61"/>
      <c r="T82" s="10"/>
      <c r="U82" s="62"/>
    </row>
    <row r="83" spans="2:21" x14ac:dyDescent="0.25">
      <c r="B83" s="1">
        <f>B78</f>
        <v>17</v>
      </c>
      <c r="C83" s="25">
        <f>C78</f>
        <v>110.83999999999999</v>
      </c>
      <c r="D83" s="1">
        <f>D63</f>
        <v>3</v>
      </c>
      <c r="E83" s="68">
        <f>E63</f>
        <v>3.66</v>
      </c>
      <c r="F83" s="74">
        <f t="shared" ref="F83:G87" si="4">F78</f>
        <v>82</v>
      </c>
      <c r="G83" s="72">
        <f t="shared" si="4"/>
        <v>17.739999999999998</v>
      </c>
      <c r="H83" s="41"/>
      <c r="I83" s="10"/>
      <c r="J83">
        <v>5</v>
      </c>
      <c r="K83" t="s">
        <v>144</v>
      </c>
      <c r="M83" s="63"/>
      <c r="N83" s="63"/>
      <c r="O83" s="60"/>
      <c r="P83" s="59"/>
      <c r="Q83" s="58"/>
      <c r="R83" s="10"/>
      <c r="S83" s="61"/>
      <c r="T83" s="10"/>
      <c r="U83" s="62"/>
    </row>
    <row r="84" spans="2:21" x14ac:dyDescent="0.25">
      <c r="B84" s="48"/>
      <c r="C84" s="22"/>
      <c r="E84" s="6"/>
      <c r="F84" s="74">
        <f t="shared" si="4"/>
        <v>84</v>
      </c>
      <c r="G84" s="72">
        <f t="shared" si="4"/>
        <v>20.74</v>
      </c>
      <c r="H84" s="41"/>
      <c r="I84" s="76"/>
      <c r="M84" s="63"/>
      <c r="N84" s="63"/>
      <c r="O84" s="60"/>
      <c r="P84" s="59"/>
      <c r="Q84" s="58"/>
      <c r="R84" s="10"/>
      <c r="S84" s="61"/>
      <c r="T84" s="10"/>
      <c r="U84" s="62"/>
    </row>
    <row r="85" spans="2:21" x14ac:dyDescent="0.25">
      <c r="B85" s="48"/>
      <c r="C85" s="22"/>
      <c r="E85" s="6"/>
      <c r="F85" s="74">
        <f t="shared" si="4"/>
        <v>86</v>
      </c>
      <c r="G85" s="72">
        <f t="shared" si="4"/>
        <v>23.74</v>
      </c>
      <c r="H85" s="41"/>
      <c r="I85" s="10"/>
      <c r="M85" s="63"/>
      <c r="N85" s="63"/>
      <c r="O85" s="60"/>
      <c r="P85" s="59"/>
      <c r="Q85" s="58"/>
      <c r="R85" s="10"/>
      <c r="S85" s="61"/>
      <c r="T85" s="10"/>
      <c r="U85" s="62"/>
    </row>
    <row r="86" spans="2:21" x14ac:dyDescent="0.25">
      <c r="B86" s="48"/>
      <c r="C86" s="22"/>
      <c r="E86" s="6"/>
      <c r="F86" s="74">
        <f t="shared" si="4"/>
        <v>88</v>
      </c>
      <c r="G86" s="72">
        <f t="shared" si="4"/>
        <v>26.74</v>
      </c>
      <c r="H86" s="41"/>
      <c r="I86" s="10"/>
      <c r="M86" s="63"/>
      <c r="N86" s="63"/>
      <c r="O86" s="60"/>
      <c r="P86" s="59"/>
      <c r="Q86" s="58"/>
      <c r="R86" s="10"/>
      <c r="S86" s="61"/>
      <c r="T86" s="10"/>
      <c r="U86" s="62"/>
    </row>
    <row r="87" spans="2:21" x14ac:dyDescent="0.25">
      <c r="B87" s="48"/>
      <c r="C87" s="22"/>
      <c r="E87" s="6"/>
      <c r="F87" s="75">
        <f t="shared" si="4"/>
        <v>90</v>
      </c>
      <c r="G87" s="73">
        <f t="shared" si="4"/>
        <v>29.74</v>
      </c>
      <c r="H87" s="27">
        <f>H82</f>
        <v>8</v>
      </c>
      <c r="I87" s="10"/>
      <c r="M87" s="63"/>
      <c r="N87" s="63"/>
      <c r="O87" s="60"/>
      <c r="P87" s="59"/>
      <c r="Q87" s="58"/>
      <c r="R87" s="10"/>
      <c r="S87" s="61"/>
      <c r="T87" s="10"/>
      <c r="U87" s="62"/>
    </row>
    <row r="88" spans="2:21" x14ac:dyDescent="0.25">
      <c r="B88" s="1">
        <f>B78</f>
        <v>17</v>
      </c>
      <c r="C88" s="25">
        <f>C78</f>
        <v>110.83999999999999</v>
      </c>
      <c r="D88" s="1">
        <f>D68</f>
        <v>2</v>
      </c>
      <c r="E88" s="1">
        <f>-E78</f>
        <v>-1.22</v>
      </c>
      <c r="F88" s="1">
        <f t="shared" ref="F88:G97" si="5">F78</f>
        <v>82</v>
      </c>
      <c r="G88" s="25">
        <f t="shared" si="5"/>
        <v>17.739999999999998</v>
      </c>
      <c r="I88" s="10"/>
      <c r="M88" s="63"/>
      <c r="N88" s="63"/>
      <c r="O88" s="60"/>
      <c r="P88" s="59"/>
      <c r="Q88" s="58"/>
      <c r="R88" s="10"/>
      <c r="S88" s="61"/>
      <c r="T88" s="10"/>
      <c r="U88" s="62"/>
    </row>
    <row r="89" spans="2:21" x14ac:dyDescent="0.25">
      <c r="F89" s="1">
        <f t="shared" si="5"/>
        <v>84</v>
      </c>
      <c r="G89" s="25">
        <f t="shared" si="5"/>
        <v>20.74</v>
      </c>
      <c r="I89" s="76"/>
      <c r="M89" s="63"/>
      <c r="N89" s="63"/>
      <c r="O89" s="60"/>
      <c r="P89" s="59"/>
      <c r="Q89" s="58"/>
      <c r="R89" s="10"/>
      <c r="S89" s="61"/>
      <c r="T89" s="10"/>
      <c r="U89" s="62"/>
    </row>
    <row r="90" spans="2:21" x14ac:dyDescent="0.25">
      <c r="F90" s="1">
        <f t="shared" si="5"/>
        <v>86</v>
      </c>
      <c r="G90" s="25">
        <f t="shared" si="5"/>
        <v>23.74</v>
      </c>
      <c r="M90" s="63"/>
      <c r="N90" s="63"/>
      <c r="O90" s="60"/>
      <c r="P90" s="59"/>
      <c r="Q90" s="58"/>
      <c r="R90" s="10"/>
      <c r="S90" s="61"/>
      <c r="T90" s="10"/>
      <c r="U90" s="62"/>
    </row>
    <row r="91" spans="2:21" x14ac:dyDescent="0.25">
      <c r="E91" t="s">
        <v>142</v>
      </c>
      <c r="F91" s="1">
        <f t="shared" si="5"/>
        <v>88</v>
      </c>
      <c r="G91" s="25">
        <f t="shared" si="5"/>
        <v>26.74</v>
      </c>
      <c r="M91" s="63"/>
      <c r="N91" s="63"/>
      <c r="O91" s="60"/>
      <c r="P91" s="59"/>
      <c r="Q91" s="60"/>
      <c r="R91" s="10"/>
      <c r="S91" s="61"/>
      <c r="T91" s="10"/>
      <c r="U91" s="62"/>
    </row>
    <row r="92" spans="2:21" x14ac:dyDescent="0.25">
      <c r="F92" s="31">
        <f t="shared" si="5"/>
        <v>90</v>
      </c>
      <c r="G92" s="32">
        <f t="shared" si="5"/>
        <v>29.74</v>
      </c>
      <c r="H92" s="27">
        <f>H87</f>
        <v>8</v>
      </c>
      <c r="M92" s="63"/>
      <c r="N92" s="63"/>
      <c r="O92" s="60"/>
      <c r="P92" s="59"/>
      <c r="Q92" s="60"/>
      <c r="R92" s="10"/>
      <c r="S92" s="61"/>
      <c r="T92" s="10"/>
      <c r="U92" s="62"/>
    </row>
    <row r="93" spans="2:21" x14ac:dyDescent="0.25">
      <c r="B93" s="1">
        <f>B88</f>
        <v>17</v>
      </c>
      <c r="C93" s="25">
        <f>C88</f>
        <v>110.83999999999999</v>
      </c>
      <c r="D93" s="1">
        <f>D73</f>
        <v>4</v>
      </c>
      <c r="E93" s="1">
        <f>-E83</f>
        <v>-3.66</v>
      </c>
      <c r="F93" s="39">
        <f t="shared" si="5"/>
        <v>82</v>
      </c>
      <c r="G93" s="39">
        <f t="shared" si="5"/>
        <v>17.739999999999998</v>
      </c>
      <c r="M93" s="63"/>
      <c r="N93" s="63"/>
      <c r="O93" s="60"/>
      <c r="P93" s="59"/>
      <c r="Q93" s="60"/>
      <c r="R93" s="10"/>
      <c r="S93" s="61"/>
      <c r="T93" s="10"/>
      <c r="U93" s="62"/>
    </row>
    <row r="94" spans="2:21" x14ac:dyDescent="0.25">
      <c r="F94" s="39">
        <f t="shared" si="5"/>
        <v>84</v>
      </c>
      <c r="G94" s="39">
        <f t="shared" si="5"/>
        <v>20.74</v>
      </c>
      <c r="M94" s="63"/>
      <c r="N94" s="63"/>
      <c r="O94" s="60"/>
      <c r="P94" s="59"/>
      <c r="Q94" s="60"/>
      <c r="R94" s="10"/>
      <c r="S94" s="61"/>
      <c r="T94" s="10"/>
      <c r="U94" s="62"/>
    </row>
    <row r="95" spans="2:21" x14ac:dyDescent="0.25">
      <c r="F95" s="39">
        <f t="shared" si="5"/>
        <v>86</v>
      </c>
      <c r="G95" s="39">
        <f t="shared" si="5"/>
        <v>23.74</v>
      </c>
      <c r="M95" s="63"/>
      <c r="N95" s="63"/>
      <c r="O95" s="60"/>
      <c r="P95" s="59"/>
      <c r="Q95" s="60"/>
      <c r="R95" s="10"/>
      <c r="S95" s="61"/>
      <c r="T95" s="10"/>
      <c r="U95" s="62"/>
    </row>
    <row r="96" spans="2:21" x14ac:dyDescent="0.25">
      <c r="F96" s="39">
        <f t="shared" si="5"/>
        <v>88</v>
      </c>
      <c r="G96" s="39">
        <f t="shared" si="5"/>
        <v>26.74</v>
      </c>
      <c r="I96" s="76"/>
      <c r="M96" s="63"/>
      <c r="N96" s="63"/>
      <c r="O96" s="60"/>
      <c r="P96" s="59"/>
      <c r="Q96" s="60"/>
      <c r="R96" s="10"/>
      <c r="S96" s="61"/>
      <c r="T96" s="10"/>
      <c r="U96" s="62"/>
    </row>
    <row r="97" spans="2:21" ht="15.75" thickBot="1" x14ac:dyDescent="0.3">
      <c r="B97" s="79"/>
      <c r="C97" s="79"/>
      <c r="D97" s="79"/>
      <c r="E97" s="79"/>
      <c r="F97" s="82">
        <f t="shared" si="5"/>
        <v>90</v>
      </c>
      <c r="G97" s="82">
        <f t="shared" si="5"/>
        <v>29.74</v>
      </c>
      <c r="H97" s="83">
        <f>H92</f>
        <v>8</v>
      </c>
      <c r="M97" s="63"/>
      <c r="N97" s="63"/>
      <c r="O97" s="60"/>
      <c r="P97" s="59"/>
      <c r="Q97" s="60"/>
      <c r="R97" s="10"/>
      <c r="S97" s="61"/>
      <c r="T97" s="10"/>
      <c r="U97" s="62"/>
    </row>
    <row r="98" spans="2:21" x14ac:dyDescent="0.25">
      <c r="B98" s="1">
        <f>J65*2-1</f>
        <v>15</v>
      </c>
      <c r="C98" s="25">
        <f>IF('Variables auxiliares'!F7='slots con grua'!J65,('Variables auxiliares'!M12+(Datos!J5/2)),('slots con grua'!C58+('Variables auxiliares'!F24-'slots con grua'!J65)*Datos!J5))</f>
        <v>116.89999999999999</v>
      </c>
      <c r="D98" s="1">
        <f>D58</f>
        <v>1</v>
      </c>
      <c r="E98" s="68">
        <f>E58</f>
        <v>1.22</v>
      </c>
      <c r="F98" s="1">
        <f>J76*2</f>
        <v>2</v>
      </c>
      <c r="G98" s="38">
        <f>'Variables auxiliares'!M8+(Datos!J8/2)</f>
        <v>3.06</v>
      </c>
      <c r="M98" s="63"/>
      <c r="N98" s="63"/>
      <c r="O98" s="60"/>
      <c r="P98" s="59"/>
      <c r="Q98" s="60"/>
      <c r="R98" s="10"/>
      <c r="S98" s="61"/>
      <c r="T98" s="10"/>
      <c r="U98" s="62"/>
    </row>
    <row r="99" spans="2:21" x14ac:dyDescent="0.25">
      <c r="E99" s="6"/>
      <c r="F99" s="1">
        <f>J77*2</f>
        <v>4</v>
      </c>
      <c r="G99" s="32">
        <f>G98+Datos!J8</f>
        <v>6.0600000000000005</v>
      </c>
      <c r="H99" s="41"/>
      <c r="M99" s="63"/>
      <c r="N99" s="63"/>
      <c r="O99" s="60"/>
      <c r="P99" s="59"/>
      <c r="Q99" s="60"/>
      <c r="R99" s="10"/>
      <c r="S99" s="61"/>
      <c r="T99" s="10"/>
      <c r="U99" s="62"/>
    </row>
    <row r="100" spans="2:21" x14ac:dyDescent="0.25">
      <c r="E100" s="6"/>
      <c r="F100" s="68">
        <f t="shared" ref="F100:G104" si="6">F83</f>
        <v>82</v>
      </c>
      <c r="G100" s="77">
        <f t="shared" si="6"/>
        <v>17.739999999999998</v>
      </c>
      <c r="M100" s="63"/>
      <c r="N100" s="63"/>
      <c r="O100" s="60"/>
      <c r="P100" s="59"/>
      <c r="Q100" s="60"/>
      <c r="R100" s="10"/>
      <c r="S100" s="61"/>
      <c r="T100" s="10"/>
      <c r="U100" s="62"/>
    </row>
    <row r="101" spans="2:21" x14ac:dyDescent="0.25">
      <c r="E101" s="6"/>
      <c r="F101" s="74">
        <f t="shared" si="6"/>
        <v>84</v>
      </c>
      <c r="G101" s="69">
        <f t="shared" si="6"/>
        <v>20.74</v>
      </c>
      <c r="H101" s="41"/>
      <c r="I101" s="76"/>
      <c r="M101" s="63"/>
      <c r="N101" s="63"/>
      <c r="O101" s="60"/>
      <c r="P101" s="59"/>
      <c r="Q101" s="60"/>
      <c r="R101" s="10"/>
      <c r="S101" s="61"/>
      <c r="T101" s="10"/>
      <c r="U101" s="62"/>
    </row>
    <row r="102" spans="2:21" x14ac:dyDescent="0.25">
      <c r="E102" s="50" t="s">
        <v>141</v>
      </c>
      <c r="F102" s="74">
        <f t="shared" si="6"/>
        <v>86</v>
      </c>
      <c r="G102" s="72">
        <f t="shared" si="6"/>
        <v>23.74</v>
      </c>
      <c r="H102" s="41"/>
      <c r="M102" s="63"/>
      <c r="N102" s="63"/>
      <c r="O102" s="60"/>
      <c r="P102" s="59"/>
      <c r="Q102" s="60"/>
      <c r="R102" s="10"/>
      <c r="S102" s="61"/>
      <c r="T102" s="10"/>
      <c r="U102" s="62"/>
    </row>
    <row r="103" spans="2:21" x14ac:dyDescent="0.25">
      <c r="F103" s="74">
        <f t="shared" si="6"/>
        <v>88</v>
      </c>
      <c r="G103" s="72">
        <f t="shared" si="6"/>
        <v>26.74</v>
      </c>
      <c r="H103" s="41"/>
      <c r="I103" s="10"/>
      <c r="M103" s="63"/>
      <c r="N103" s="63"/>
      <c r="O103" s="60"/>
      <c r="P103" s="59"/>
      <c r="Q103" s="60"/>
      <c r="R103" s="10"/>
      <c r="S103" s="61"/>
      <c r="T103" s="10"/>
      <c r="U103" s="62"/>
    </row>
    <row r="104" spans="2:21" x14ac:dyDescent="0.25">
      <c r="F104" s="74">
        <f t="shared" si="6"/>
        <v>90</v>
      </c>
      <c r="G104" s="77">
        <f t="shared" si="6"/>
        <v>29.74</v>
      </c>
      <c r="H104" s="27">
        <f>INT(((3*Datos!C$6-'slots con grua'!C98)*TAN('Variables auxiliares'!C$40)-Datos!C$8+'Variables auxiliares'!F$54)/Datos!J$8)</f>
        <v>8</v>
      </c>
      <c r="M104" s="63"/>
      <c r="N104" s="63"/>
      <c r="O104" s="60"/>
      <c r="P104" s="59"/>
      <c r="Q104" s="60"/>
      <c r="R104" s="10"/>
      <c r="S104" s="61"/>
      <c r="T104" s="10"/>
      <c r="U104" s="62"/>
    </row>
    <row r="105" spans="2:21" x14ac:dyDescent="0.25">
      <c r="B105" s="27">
        <f>B98</f>
        <v>15</v>
      </c>
      <c r="C105" s="25">
        <f>C98</f>
        <v>116.89999999999999</v>
      </c>
      <c r="D105" s="1">
        <f>D63</f>
        <v>3</v>
      </c>
      <c r="E105" s="74">
        <f>E63</f>
        <v>3.66</v>
      </c>
      <c r="F105" s="74">
        <f t="shared" ref="F105:G109" si="7">F100</f>
        <v>82</v>
      </c>
      <c r="G105" s="72">
        <f t="shared" si="7"/>
        <v>17.739999999999998</v>
      </c>
      <c r="H105" s="41"/>
      <c r="I105" s="10"/>
      <c r="M105" s="63"/>
      <c r="N105" s="63"/>
      <c r="O105" s="60"/>
      <c r="P105" s="59"/>
      <c r="Q105" s="60"/>
      <c r="R105" s="10"/>
      <c r="S105" s="61"/>
      <c r="T105" s="10"/>
      <c r="U105" s="62"/>
    </row>
    <row r="106" spans="2:21" x14ac:dyDescent="0.25">
      <c r="E106" s="6"/>
      <c r="F106" s="74">
        <f t="shared" si="7"/>
        <v>84</v>
      </c>
      <c r="G106" s="72">
        <f t="shared" si="7"/>
        <v>20.74</v>
      </c>
      <c r="H106" s="41"/>
      <c r="I106" s="10"/>
      <c r="M106" s="63"/>
      <c r="N106" s="63"/>
      <c r="O106" s="60"/>
      <c r="P106" s="59"/>
      <c r="Q106" s="60"/>
      <c r="R106" s="10"/>
      <c r="S106" s="61"/>
      <c r="T106" s="10"/>
      <c r="U106" s="62"/>
    </row>
    <row r="107" spans="2:21" x14ac:dyDescent="0.25">
      <c r="E107" s="6"/>
      <c r="F107" s="74">
        <f t="shared" si="7"/>
        <v>86</v>
      </c>
      <c r="G107" s="72">
        <f t="shared" si="7"/>
        <v>23.74</v>
      </c>
      <c r="H107" s="41"/>
      <c r="I107" s="10"/>
      <c r="M107" s="63"/>
      <c r="N107" s="63"/>
      <c r="O107" s="60"/>
      <c r="P107" s="59"/>
      <c r="Q107" s="60"/>
      <c r="R107" s="10"/>
      <c r="S107" s="61"/>
      <c r="T107" s="10"/>
      <c r="U107" s="62"/>
    </row>
    <row r="108" spans="2:21" x14ac:dyDescent="0.25">
      <c r="E108" s="6"/>
      <c r="F108" s="74">
        <f t="shared" si="7"/>
        <v>88</v>
      </c>
      <c r="G108" s="73">
        <f t="shared" si="7"/>
        <v>26.74</v>
      </c>
      <c r="H108" s="41"/>
      <c r="I108" s="76"/>
      <c r="M108" s="63"/>
      <c r="N108" s="63"/>
      <c r="O108" s="60"/>
      <c r="P108" s="59"/>
      <c r="Q108" s="60"/>
      <c r="R108" s="10"/>
      <c r="S108" s="61"/>
      <c r="T108" s="10"/>
      <c r="U108" s="62"/>
    </row>
    <row r="109" spans="2:21" x14ac:dyDescent="0.25">
      <c r="E109" s="6"/>
      <c r="F109" s="75">
        <f t="shared" si="7"/>
        <v>90</v>
      </c>
      <c r="G109" s="77">
        <f t="shared" si="7"/>
        <v>29.74</v>
      </c>
      <c r="H109" s="27">
        <f>H104</f>
        <v>8</v>
      </c>
      <c r="I109" s="10"/>
      <c r="M109" s="63"/>
      <c r="N109" s="63"/>
      <c r="O109" s="60"/>
      <c r="P109" s="59"/>
      <c r="Q109" s="60"/>
      <c r="R109" s="10"/>
      <c r="S109" s="61"/>
      <c r="T109" s="10"/>
      <c r="U109" s="62"/>
    </row>
    <row r="110" spans="2:21" x14ac:dyDescent="0.25">
      <c r="B110" s="1">
        <f>B98</f>
        <v>15</v>
      </c>
      <c r="C110" s="25">
        <f>C98</f>
        <v>116.89999999999999</v>
      </c>
      <c r="D110" s="1">
        <f>D68</f>
        <v>2</v>
      </c>
      <c r="E110" s="1">
        <f>-E98</f>
        <v>-1.22</v>
      </c>
      <c r="F110" s="1">
        <f>J76*2</f>
        <v>2</v>
      </c>
      <c r="G110" s="77">
        <f t="shared" ref="G110:G121" si="8">G98</f>
        <v>3.06</v>
      </c>
      <c r="H110" s="76"/>
      <c r="I110" s="10"/>
      <c r="M110" s="63"/>
      <c r="N110" s="63"/>
      <c r="O110" s="60"/>
      <c r="P110" s="59"/>
      <c r="Q110" s="60"/>
      <c r="R110" s="10"/>
      <c r="S110" s="61"/>
      <c r="T110" s="10"/>
      <c r="U110" s="62"/>
    </row>
    <row r="111" spans="2:21" x14ac:dyDescent="0.25">
      <c r="F111" s="74">
        <f t="shared" ref="F111:F121" si="9">F99</f>
        <v>4</v>
      </c>
      <c r="G111" s="77">
        <f t="shared" si="8"/>
        <v>6.0600000000000005</v>
      </c>
      <c r="H111" s="76"/>
      <c r="I111" s="10"/>
      <c r="M111" s="63"/>
      <c r="N111" s="63"/>
      <c r="O111" s="58"/>
      <c r="P111" s="59"/>
      <c r="Q111" s="60"/>
      <c r="R111" s="10"/>
      <c r="S111" s="61"/>
      <c r="T111" s="10"/>
      <c r="U111" s="62"/>
    </row>
    <row r="112" spans="2:21" x14ac:dyDescent="0.25">
      <c r="E112" s="6"/>
      <c r="F112" s="74">
        <f t="shared" si="9"/>
        <v>82</v>
      </c>
      <c r="G112" s="74">
        <f t="shared" si="8"/>
        <v>17.739999999999998</v>
      </c>
      <c r="H112" s="76"/>
      <c r="I112" s="10"/>
      <c r="M112" s="63"/>
      <c r="N112" s="63"/>
      <c r="O112" s="58"/>
      <c r="P112" s="59"/>
      <c r="Q112" s="60"/>
      <c r="R112" s="10"/>
      <c r="S112" s="61"/>
      <c r="T112" s="10"/>
      <c r="U112" s="62"/>
    </row>
    <row r="113" spans="2:21" x14ac:dyDescent="0.25">
      <c r="E113" s="6"/>
      <c r="F113" s="74">
        <f t="shared" si="9"/>
        <v>84</v>
      </c>
      <c r="G113" s="74">
        <f t="shared" si="8"/>
        <v>20.74</v>
      </c>
      <c r="H113" s="76"/>
      <c r="I113" s="76"/>
      <c r="M113" s="63"/>
      <c r="N113" s="63"/>
      <c r="O113" s="58"/>
      <c r="P113" s="59"/>
      <c r="Q113" s="60"/>
      <c r="R113" s="10"/>
      <c r="S113" s="61"/>
      <c r="T113" s="10"/>
      <c r="U113" s="62"/>
    </row>
    <row r="114" spans="2:21" x14ac:dyDescent="0.25">
      <c r="E114" s="50" t="s">
        <v>142</v>
      </c>
      <c r="F114" s="74">
        <f t="shared" si="9"/>
        <v>86</v>
      </c>
      <c r="G114" s="74">
        <f t="shared" si="8"/>
        <v>23.74</v>
      </c>
      <c r="H114" s="76"/>
      <c r="I114" s="76"/>
      <c r="M114" s="63"/>
      <c r="N114" s="63"/>
      <c r="O114" s="58"/>
      <c r="P114" s="59"/>
      <c r="Q114" s="60"/>
      <c r="R114" s="10"/>
      <c r="S114" s="61"/>
      <c r="T114" s="10"/>
      <c r="U114" s="62"/>
    </row>
    <row r="115" spans="2:21" x14ac:dyDescent="0.25">
      <c r="E115" s="6"/>
      <c r="F115" s="74">
        <f t="shared" si="9"/>
        <v>88</v>
      </c>
      <c r="G115" s="74">
        <f t="shared" si="8"/>
        <v>26.74</v>
      </c>
      <c r="I115" s="76"/>
      <c r="M115" s="63"/>
      <c r="N115" s="63"/>
      <c r="O115" s="58"/>
      <c r="P115" s="59"/>
      <c r="Q115" s="60"/>
      <c r="R115" s="10"/>
      <c r="S115" s="61"/>
      <c r="T115" s="10"/>
      <c r="U115" s="62"/>
    </row>
    <row r="116" spans="2:21" x14ac:dyDescent="0.25">
      <c r="F116" s="75">
        <f t="shared" si="9"/>
        <v>90</v>
      </c>
      <c r="G116" s="75">
        <f t="shared" si="8"/>
        <v>29.74</v>
      </c>
      <c r="H116" s="27">
        <f>H109</f>
        <v>8</v>
      </c>
      <c r="I116" s="76"/>
      <c r="M116" s="63"/>
      <c r="N116" s="63"/>
      <c r="O116" s="58"/>
      <c r="P116" s="59"/>
      <c r="Q116" s="60"/>
      <c r="R116" s="10"/>
      <c r="S116" s="61"/>
      <c r="T116" s="10"/>
      <c r="U116" s="62"/>
    </row>
    <row r="117" spans="2:21" x14ac:dyDescent="0.25">
      <c r="B117" s="27">
        <f>B105</f>
        <v>15</v>
      </c>
      <c r="C117" s="25">
        <f>C105</f>
        <v>116.89999999999999</v>
      </c>
      <c r="D117" s="27">
        <f>D73</f>
        <v>4</v>
      </c>
      <c r="E117" s="25">
        <f>-E105</f>
        <v>-3.66</v>
      </c>
      <c r="F117" s="27">
        <f t="shared" si="9"/>
        <v>82</v>
      </c>
      <c r="G117" s="25">
        <f t="shared" si="8"/>
        <v>17.739999999999998</v>
      </c>
      <c r="H117" s="70"/>
      <c r="I117" s="76"/>
      <c r="M117" s="63"/>
      <c r="N117" s="63"/>
      <c r="O117" s="58"/>
      <c r="P117" s="59"/>
      <c r="Q117" s="60"/>
      <c r="R117" s="10"/>
      <c r="S117" s="61"/>
      <c r="T117" s="10"/>
      <c r="U117" s="62"/>
    </row>
    <row r="118" spans="2:21" x14ac:dyDescent="0.25">
      <c r="F118" s="27">
        <f t="shared" si="9"/>
        <v>84</v>
      </c>
      <c r="G118" s="25">
        <f t="shared" si="8"/>
        <v>20.74</v>
      </c>
      <c r="H118" s="70"/>
      <c r="I118" s="76"/>
      <c r="M118" s="63"/>
      <c r="N118" s="63"/>
      <c r="O118" s="58"/>
      <c r="P118" s="59"/>
      <c r="Q118" s="60"/>
      <c r="R118" s="10"/>
      <c r="S118" s="61"/>
      <c r="T118" s="10"/>
      <c r="U118" s="62"/>
    </row>
    <row r="119" spans="2:21" x14ac:dyDescent="0.25">
      <c r="F119" s="27">
        <f t="shared" si="9"/>
        <v>86</v>
      </c>
      <c r="G119" s="25">
        <f t="shared" si="8"/>
        <v>23.74</v>
      </c>
      <c r="H119" s="70"/>
      <c r="M119" s="63"/>
      <c r="N119" s="63"/>
      <c r="O119" s="58"/>
      <c r="P119" s="59"/>
      <c r="Q119" s="60"/>
      <c r="R119" s="10"/>
      <c r="S119" s="61"/>
      <c r="T119" s="10"/>
      <c r="U119" s="62"/>
    </row>
    <row r="120" spans="2:21" x14ac:dyDescent="0.25">
      <c r="F120" s="27">
        <f t="shared" si="9"/>
        <v>88</v>
      </c>
      <c r="G120" s="25">
        <f t="shared" si="8"/>
        <v>26.74</v>
      </c>
      <c r="H120" s="70"/>
      <c r="I120" s="76"/>
      <c r="M120" s="63"/>
      <c r="N120" s="63"/>
      <c r="O120" s="58"/>
      <c r="P120" s="59"/>
      <c r="Q120" s="60"/>
      <c r="R120" s="10"/>
      <c r="S120" s="61"/>
      <c r="T120" s="10"/>
      <c r="U120" s="62"/>
    </row>
    <row r="121" spans="2:21" ht="15.75" thickBot="1" x14ac:dyDescent="0.3">
      <c r="B121" s="79"/>
      <c r="C121" s="79"/>
      <c r="D121" s="79"/>
      <c r="E121" s="79"/>
      <c r="F121" s="118">
        <f t="shared" si="9"/>
        <v>90</v>
      </c>
      <c r="G121" s="84">
        <f t="shared" si="8"/>
        <v>29.74</v>
      </c>
      <c r="H121" s="27">
        <f>H116</f>
        <v>8</v>
      </c>
      <c r="I121" s="76"/>
      <c r="M121" s="63"/>
      <c r="N121" s="63"/>
      <c r="O121" s="58"/>
      <c r="P121" s="59"/>
      <c r="Q121" s="60"/>
      <c r="R121" s="10"/>
      <c r="S121" s="61"/>
      <c r="T121" s="10"/>
      <c r="U121" s="62"/>
    </row>
    <row r="122" spans="2:21" x14ac:dyDescent="0.25">
      <c r="B122" s="27">
        <f>J64*2-1</f>
        <v>13</v>
      </c>
      <c r="C122" s="25">
        <f>C98+('Variables auxiliares'!F24-2-J64)*Datos!J$5</f>
        <v>201.73999999999998</v>
      </c>
      <c r="D122" s="1">
        <f>D58</f>
        <v>1</v>
      </c>
      <c r="E122" s="68">
        <f>E78</f>
        <v>1.22</v>
      </c>
      <c r="F122" s="1">
        <f>2*J76</f>
        <v>2</v>
      </c>
      <c r="G122" s="78">
        <f>G98</f>
        <v>3.06</v>
      </c>
      <c r="H122" s="41"/>
      <c r="I122" s="76"/>
      <c r="M122" s="63"/>
      <c r="N122" s="63"/>
      <c r="O122" s="58"/>
      <c r="P122" s="59"/>
      <c r="Q122" s="60"/>
      <c r="R122" s="10"/>
      <c r="S122" s="61"/>
      <c r="T122" s="10"/>
      <c r="U122" s="62"/>
    </row>
    <row r="123" spans="2:21" x14ac:dyDescent="0.25">
      <c r="F123" s="74">
        <f>F99</f>
        <v>4</v>
      </c>
      <c r="G123" s="77">
        <f>G99</f>
        <v>6.0600000000000005</v>
      </c>
      <c r="H123" s="41"/>
      <c r="I123" s="76"/>
      <c r="M123" s="63"/>
      <c r="N123" s="63"/>
      <c r="O123" s="58"/>
      <c r="P123" s="59"/>
      <c r="Q123" s="60"/>
      <c r="R123" s="10"/>
      <c r="S123" s="61"/>
      <c r="T123" s="10"/>
      <c r="U123" s="62"/>
    </row>
    <row r="124" spans="2:21" x14ac:dyDescent="0.25">
      <c r="F124" s="74">
        <f t="shared" ref="F124:G128" si="10">F105</f>
        <v>82</v>
      </c>
      <c r="G124" s="72">
        <f t="shared" si="10"/>
        <v>17.739999999999998</v>
      </c>
      <c r="H124" s="41"/>
      <c r="I124" s="76"/>
      <c r="M124" s="63"/>
      <c r="N124" s="63"/>
      <c r="O124" s="58"/>
      <c r="P124" s="59"/>
      <c r="Q124" s="60"/>
      <c r="R124" s="10"/>
      <c r="S124" s="61"/>
      <c r="T124" s="10"/>
      <c r="U124" s="62"/>
    </row>
    <row r="125" spans="2:21" x14ac:dyDescent="0.25">
      <c r="E125" t="s">
        <v>141</v>
      </c>
      <c r="F125" s="74">
        <f t="shared" si="10"/>
        <v>84</v>
      </c>
      <c r="G125" s="72">
        <f t="shared" si="10"/>
        <v>20.74</v>
      </c>
      <c r="H125" s="41"/>
      <c r="I125" s="76"/>
      <c r="M125" s="63"/>
      <c r="N125" s="63"/>
      <c r="O125" s="58"/>
      <c r="P125" s="59"/>
      <c r="Q125" s="60"/>
      <c r="R125" s="10"/>
      <c r="S125" s="61"/>
      <c r="T125" s="10"/>
      <c r="U125" s="62"/>
    </row>
    <row r="126" spans="2:21" x14ac:dyDescent="0.25">
      <c r="F126" s="74">
        <f t="shared" si="10"/>
        <v>86</v>
      </c>
      <c r="G126" s="72">
        <f t="shared" si="10"/>
        <v>23.74</v>
      </c>
      <c r="H126" s="41"/>
      <c r="I126" s="10"/>
      <c r="M126" s="63"/>
      <c r="N126" s="63"/>
      <c r="O126" s="58"/>
      <c r="P126" s="59"/>
      <c r="Q126" s="60"/>
      <c r="R126" s="10"/>
      <c r="S126" s="61"/>
      <c r="T126" s="10"/>
      <c r="U126" s="62"/>
    </row>
    <row r="127" spans="2:21" x14ac:dyDescent="0.25">
      <c r="F127" s="74">
        <f t="shared" si="10"/>
        <v>88</v>
      </c>
      <c r="G127" s="73">
        <f t="shared" si="10"/>
        <v>26.74</v>
      </c>
      <c r="H127" s="41"/>
      <c r="I127" s="10"/>
      <c r="M127" s="63"/>
      <c r="N127" s="63"/>
      <c r="O127" s="58"/>
      <c r="P127" s="59"/>
      <c r="Q127" s="60"/>
      <c r="R127" s="10"/>
      <c r="S127" s="61"/>
      <c r="T127" s="10"/>
      <c r="U127" s="62"/>
    </row>
    <row r="128" spans="2:21" x14ac:dyDescent="0.25">
      <c r="F128" s="74">
        <f t="shared" si="10"/>
        <v>90</v>
      </c>
      <c r="G128" s="77">
        <f t="shared" si="10"/>
        <v>29.74</v>
      </c>
      <c r="H128" s="27">
        <f>INT(((3*Datos!C$6-'slots con grua'!C122)*TAN('Variables auxiliares'!C$40)-Datos!C$8+'Variables auxiliares'!F$54)/Datos!J$8)</f>
        <v>6</v>
      </c>
      <c r="I128" s="10"/>
      <c r="M128" s="63"/>
      <c r="N128" s="63"/>
      <c r="O128" s="58"/>
      <c r="P128" s="59"/>
      <c r="Q128" s="60"/>
      <c r="R128" s="10"/>
      <c r="S128" s="61"/>
      <c r="T128" s="10"/>
      <c r="U128" s="62"/>
    </row>
    <row r="129" spans="2:21" x14ac:dyDescent="0.25">
      <c r="B129" s="27">
        <f>B122</f>
        <v>13</v>
      </c>
      <c r="C129" s="25">
        <f>C122</f>
        <v>201.73999999999998</v>
      </c>
      <c r="D129" s="1">
        <f>D63</f>
        <v>3</v>
      </c>
      <c r="E129" s="74">
        <f>E83</f>
        <v>3.66</v>
      </c>
      <c r="F129" s="74">
        <f t="shared" ref="F129:G133" si="11">F124</f>
        <v>82</v>
      </c>
      <c r="G129" s="69">
        <f t="shared" si="11"/>
        <v>17.739999999999998</v>
      </c>
      <c r="H129" s="41"/>
      <c r="I129" s="10"/>
      <c r="M129" s="63"/>
      <c r="N129" s="63"/>
      <c r="O129" s="58"/>
      <c r="P129" s="59"/>
      <c r="Q129" s="60"/>
      <c r="R129" s="10"/>
      <c r="S129" s="61"/>
      <c r="T129" s="10"/>
      <c r="U129" s="62"/>
    </row>
    <row r="130" spans="2:21" x14ac:dyDescent="0.25">
      <c r="E130" s="50"/>
      <c r="F130" s="74">
        <f t="shared" si="11"/>
        <v>84</v>
      </c>
      <c r="G130" s="72">
        <f t="shared" si="11"/>
        <v>20.74</v>
      </c>
      <c r="H130" s="41"/>
      <c r="I130" s="10"/>
      <c r="M130" s="63"/>
      <c r="N130" s="63"/>
      <c r="O130" s="58"/>
      <c r="P130" s="59"/>
      <c r="Q130" s="60"/>
      <c r="R130" s="10"/>
      <c r="S130" s="61"/>
      <c r="T130" s="10"/>
      <c r="U130" s="62"/>
    </row>
    <row r="131" spans="2:21" x14ac:dyDescent="0.25">
      <c r="E131" s="50"/>
      <c r="F131" s="74">
        <f t="shared" si="11"/>
        <v>86</v>
      </c>
      <c r="G131" s="72">
        <f t="shared" si="11"/>
        <v>23.74</v>
      </c>
      <c r="H131" s="41"/>
      <c r="I131" s="10"/>
      <c r="M131" s="63"/>
      <c r="N131" s="63"/>
      <c r="O131" s="58"/>
      <c r="P131" s="59"/>
      <c r="Q131" s="60"/>
      <c r="R131" s="10"/>
      <c r="S131" s="61"/>
      <c r="T131" s="10"/>
      <c r="U131" s="62"/>
    </row>
    <row r="132" spans="2:21" x14ac:dyDescent="0.25">
      <c r="F132" s="74">
        <f t="shared" si="11"/>
        <v>88</v>
      </c>
      <c r="G132" s="73">
        <f t="shared" si="11"/>
        <v>26.74</v>
      </c>
      <c r="H132" s="41"/>
      <c r="I132" s="76"/>
      <c r="M132" s="63"/>
      <c r="N132" s="63"/>
      <c r="O132" s="58"/>
      <c r="P132" s="59"/>
      <c r="Q132" s="60"/>
      <c r="R132" s="10"/>
      <c r="S132" s="61"/>
      <c r="T132" s="10"/>
      <c r="U132" s="62"/>
    </row>
    <row r="133" spans="2:21" x14ac:dyDescent="0.25">
      <c r="E133" s="50"/>
      <c r="F133" s="74">
        <f t="shared" si="11"/>
        <v>90</v>
      </c>
      <c r="G133" s="81">
        <f t="shared" si="11"/>
        <v>29.74</v>
      </c>
      <c r="H133" s="27">
        <f>H128</f>
        <v>6</v>
      </c>
      <c r="I133" s="10"/>
      <c r="M133" s="63"/>
      <c r="N133" s="63"/>
      <c r="O133" s="58"/>
      <c r="P133" s="59"/>
      <c r="Q133" s="60"/>
      <c r="R133" s="10"/>
      <c r="S133" s="61"/>
      <c r="T133" s="10"/>
      <c r="U133" s="62"/>
    </row>
    <row r="134" spans="2:21" x14ac:dyDescent="0.25">
      <c r="B134" s="27">
        <f>B122</f>
        <v>13</v>
      </c>
      <c r="C134" s="25">
        <f>C122</f>
        <v>201.73999999999998</v>
      </c>
      <c r="D134" s="27">
        <f>D68</f>
        <v>2</v>
      </c>
      <c r="E134" s="25">
        <f>-E122</f>
        <v>-1.22</v>
      </c>
      <c r="F134" s="1">
        <f>2*J71</f>
        <v>2</v>
      </c>
      <c r="G134" s="25">
        <f t="shared" ref="G134:G145" si="12">G122</f>
        <v>3.06</v>
      </c>
      <c r="I134" s="10"/>
      <c r="M134" s="63"/>
      <c r="N134" s="63"/>
      <c r="O134" s="58"/>
      <c r="P134" s="59"/>
      <c r="Q134" s="60"/>
      <c r="R134" s="10"/>
      <c r="S134" s="61"/>
      <c r="T134" s="10"/>
      <c r="U134" s="62"/>
    </row>
    <row r="135" spans="2:21" x14ac:dyDescent="0.25">
      <c r="F135" s="1">
        <f t="shared" ref="F135:F145" si="13">F123</f>
        <v>4</v>
      </c>
      <c r="G135" s="25">
        <f t="shared" si="12"/>
        <v>6.0600000000000005</v>
      </c>
      <c r="I135" s="10"/>
      <c r="M135" s="63"/>
      <c r="N135" s="63"/>
      <c r="O135" s="58"/>
      <c r="P135" s="59"/>
      <c r="Q135" s="60"/>
      <c r="R135" s="10"/>
      <c r="S135" s="61"/>
      <c r="T135" s="10"/>
      <c r="U135" s="62"/>
    </row>
    <row r="136" spans="2:21" x14ac:dyDescent="0.25">
      <c r="F136" s="1">
        <f t="shared" si="13"/>
        <v>82</v>
      </c>
      <c r="G136" s="1">
        <f t="shared" si="12"/>
        <v>17.739999999999998</v>
      </c>
      <c r="I136" s="10"/>
      <c r="M136" s="63"/>
      <c r="N136" s="63"/>
      <c r="O136" s="58"/>
      <c r="P136" s="59"/>
      <c r="Q136" s="60"/>
      <c r="R136" s="10"/>
      <c r="S136" s="61"/>
      <c r="T136" s="10"/>
      <c r="U136" s="62"/>
    </row>
    <row r="137" spans="2:21" x14ac:dyDescent="0.25">
      <c r="F137" s="1">
        <f t="shared" si="13"/>
        <v>84</v>
      </c>
      <c r="G137" s="1">
        <f t="shared" si="12"/>
        <v>20.74</v>
      </c>
      <c r="I137" s="76"/>
      <c r="M137" s="63"/>
      <c r="N137" s="63"/>
      <c r="O137" s="58"/>
      <c r="P137" s="59"/>
      <c r="Q137" s="60"/>
      <c r="R137" s="10"/>
      <c r="S137" s="61"/>
      <c r="T137" s="10"/>
      <c r="U137" s="62"/>
    </row>
    <row r="138" spans="2:21" x14ac:dyDescent="0.25">
      <c r="E138" t="s">
        <v>142</v>
      </c>
      <c r="F138" s="1">
        <f t="shared" si="13"/>
        <v>86</v>
      </c>
      <c r="G138" s="1">
        <f t="shared" si="12"/>
        <v>23.74</v>
      </c>
      <c r="M138" s="63"/>
      <c r="N138" s="63"/>
      <c r="O138" s="58"/>
      <c r="P138" s="59"/>
      <c r="Q138" s="60"/>
      <c r="R138" s="10"/>
      <c r="S138" s="61"/>
      <c r="T138" s="10"/>
      <c r="U138" s="62"/>
    </row>
    <row r="139" spans="2:21" x14ac:dyDescent="0.25">
      <c r="F139" s="1">
        <f t="shared" si="13"/>
        <v>88</v>
      </c>
      <c r="G139" s="1">
        <f t="shared" si="12"/>
        <v>26.74</v>
      </c>
      <c r="M139" s="63"/>
      <c r="N139" s="63"/>
      <c r="O139" s="58"/>
      <c r="P139" s="59"/>
      <c r="Q139" s="60"/>
      <c r="R139" s="10"/>
      <c r="S139" s="61"/>
      <c r="T139" s="10"/>
      <c r="U139" s="62"/>
    </row>
    <row r="140" spans="2:21" x14ac:dyDescent="0.25">
      <c r="F140" s="1">
        <f t="shared" si="13"/>
        <v>90</v>
      </c>
      <c r="G140" s="1">
        <f t="shared" si="12"/>
        <v>29.74</v>
      </c>
      <c r="H140" s="27">
        <f>H133</f>
        <v>6</v>
      </c>
      <c r="M140" s="63"/>
      <c r="N140" s="63"/>
      <c r="O140" s="58"/>
      <c r="P140" s="59"/>
      <c r="Q140" s="60"/>
      <c r="R140" s="10"/>
      <c r="S140" s="61"/>
      <c r="T140" s="10"/>
      <c r="U140" s="62"/>
    </row>
    <row r="141" spans="2:21" x14ac:dyDescent="0.25">
      <c r="B141" s="27">
        <f>B129</f>
        <v>13</v>
      </c>
      <c r="C141" s="25">
        <f>C129</f>
        <v>201.73999999999998</v>
      </c>
      <c r="D141" s="27">
        <f>D73</f>
        <v>4</v>
      </c>
      <c r="E141" s="25">
        <f>-E129</f>
        <v>-3.66</v>
      </c>
      <c r="F141" s="1">
        <f t="shared" si="13"/>
        <v>82</v>
      </c>
      <c r="G141" s="1">
        <f t="shared" si="12"/>
        <v>17.739999999999998</v>
      </c>
      <c r="M141" s="63"/>
      <c r="N141" s="63"/>
      <c r="O141" s="58"/>
      <c r="P141" s="59"/>
      <c r="Q141" s="60"/>
      <c r="R141" s="10"/>
      <c r="S141" s="61"/>
      <c r="T141" s="10"/>
      <c r="U141" s="62"/>
    </row>
    <row r="142" spans="2:21" x14ac:dyDescent="0.25">
      <c r="B142" s="66"/>
      <c r="C142" s="22"/>
      <c r="D142" s="66"/>
      <c r="E142" s="22"/>
      <c r="F142" s="1">
        <f t="shared" si="13"/>
        <v>84</v>
      </c>
      <c r="G142" s="1">
        <f t="shared" si="12"/>
        <v>20.74</v>
      </c>
      <c r="M142" s="63"/>
      <c r="N142" s="63"/>
      <c r="O142" s="58"/>
      <c r="P142" s="59"/>
      <c r="Q142" s="60"/>
      <c r="R142" s="10"/>
      <c r="S142" s="61"/>
      <c r="T142" s="10"/>
      <c r="U142" s="62"/>
    </row>
    <row r="143" spans="2:21" x14ac:dyDescent="0.25">
      <c r="B143" s="66"/>
      <c r="C143" s="22"/>
      <c r="D143" s="66"/>
      <c r="E143" s="22"/>
      <c r="F143" s="1">
        <f t="shared" si="13"/>
        <v>86</v>
      </c>
      <c r="G143" s="1">
        <f t="shared" si="12"/>
        <v>23.74</v>
      </c>
      <c r="M143" s="63"/>
      <c r="N143" s="63"/>
      <c r="O143" s="58"/>
      <c r="P143" s="59"/>
      <c r="Q143" s="60"/>
      <c r="R143" s="10"/>
      <c r="S143" s="61"/>
      <c r="T143" s="10"/>
      <c r="U143" s="62"/>
    </row>
    <row r="144" spans="2:21" x14ac:dyDescent="0.25">
      <c r="F144" s="1">
        <f t="shared" si="13"/>
        <v>88</v>
      </c>
      <c r="G144" s="1">
        <f t="shared" si="12"/>
        <v>26.74</v>
      </c>
      <c r="I144" s="76"/>
      <c r="M144" s="63"/>
      <c r="N144" s="63"/>
      <c r="O144" s="58"/>
      <c r="P144" s="59"/>
      <c r="Q144" s="60"/>
      <c r="R144" s="10"/>
      <c r="S144" s="61"/>
      <c r="T144" s="10"/>
      <c r="U144" s="62"/>
    </row>
    <row r="145" spans="2:21" ht="15.75" thickBot="1" x14ac:dyDescent="0.3">
      <c r="B145" s="79"/>
      <c r="C145" s="79"/>
      <c r="D145" s="79"/>
      <c r="E145" s="79"/>
      <c r="F145" s="80">
        <f t="shared" si="13"/>
        <v>90</v>
      </c>
      <c r="G145" s="80">
        <f t="shared" si="12"/>
        <v>29.74</v>
      </c>
      <c r="H145" s="27">
        <f>H140</f>
        <v>6</v>
      </c>
      <c r="M145" s="63"/>
      <c r="N145" s="63"/>
      <c r="O145" s="58"/>
      <c r="P145" s="59"/>
      <c r="Q145" s="60"/>
      <c r="R145" s="10"/>
      <c r="S145" s="61"/>
      <c r="T145" s="10"/>
      <c r="U145" s="62"/>
    </row>
    <row r="146" spans="2:21" x14ac:dyDescent="0.25">
      <c r="B146" s="1">
        <f>2*J63-1</f>
        <v>11</v>
      </c>
      <c r="C146" s="25">
        <f>C98+('Variables auxiliares'!F$24-2-J63)*Datos!J$5</f>
        <v>207.79999999999998</v>
      </c>
      <c r="D146" s="1">
        <f>D58</f>
        <v>1</v>
      </c>
      <c r="E146" s="68">
        <f>E98</f>
        <v>1.22</v>
      </c>
      <c r="F146" s="1">
        <f>2*J71</f>
        <v>2</v>
      </c>
      <c r="G146" s="77">
        <f>G122</f>
        <v>3.06</v>
      </c>
      <c r="H146" s="41"/>
      <c r="M146" s="63"/>
      <c r="N146" s="63"/>
      <c r="O146" s="58"/>
      <c r="P146" s="59"/>
      <c r="Q146" s="60"/>
      <c r="R146" s="10"/>
      <c r="S146" s="61"/>
      <c r="T146" s="10"/>
      <c r="U146" s="62"/>
    </row>
    <row r="147" spans="2:21" x14ac:dyDescent="0.25">
      <c r="E147" s="50"/>
      <c r="F147" s="74">
        <f>F123</f>
        <v>4</v>
      </c>
      <c r="G147" s="77">
        <f>G123</f>
        <v>6.0600000000000005</v>
      </c>
      <c r="H147" s="41"/>
      <c r="M147" s="63"/>
      <c r="N147" s="63"/>
      <c r="O147" s="58"/>
      <c r="P147" s="59"/>
      <c r="Q147" s="60"/>
      <c r="R147" s="10"/>
      <c r="S147" s="61"/>
      <c r="T147" s="10"/>
      <c r="U147" s="62"/>
    </row>
    <row r="148" spans="2:21" x14ac:dyDescent="0.25">
      <c r="E148" s="50"/>
      <c r="F148" s="74">
        <f>F129</f>
        <v>82</v>
      </c>
      <c r="G148" s="72">
        <f>G100</f>
        <v>17.739999999999998</v>
      </c>
      <c r="H148" s="41"/>
      <c r="M148" s="63"/>
      <c r="N148" s="63"/>
      <c r="O148" s="58"/>
      <c r="P148" s="59"/>
      <c r="Q148" s="60"/>
      <c r="R148" s="10"/>
      <c r="S148" s="61"/>
      <c r="T148" s="10"/>
      <c r="U148" s="62"/>
    </row>
    <row r="149" spans="2:21" x14ac:dyDescent="0.25">
      <c r="E149" s="50" t="s">
        <v>141</v>
      </c>
      <c r="F149" s="74">
        <f>F130</f>
        <v>84</v>
      </c>
      <c r="G149" s="72">
        <f>G101</f>
        <v>20.74</v>
      </c>
      <c r="H149" s="41"/>
      <c r="I149" s="76"/>
      <c r="M149" s="63"/>
      <c r="N149" s="63"/>
      <c r="O149" s="58"/>
      <c r="P149" s="59"/>
      <c r="Q149" s="60"/>
      <c r="R149" s="10"/>
      <c r="S149" s="61"/>
      <c r="T149" s="10"/>
      <c r="U149" s="62"/>
    </row>
    <row r="150" spans="2:21" x14ac:dyDescent="0.25">
      <c r="E150" s="50"/>
      <c r="F150" s="74">
        <f>F131</f>
        <v>86</v>
      </c>
      <c r="G150" s="72">
        <f>G102</f>
        <v>23.74</v>
      </c>
      <c r="H150" s="41"/>
      <c r="I150" s="10"/>
      <c r="M150" s="63"/>
      <c r="N150" s="63"/>
      <c r="O150" s="58"/>
      <c r="P150" s="59"/>
      <c r="Q150" s="60"/>
      <c r="R150" s="10"/>
      <c r="S150" s="61"/>
      <c r="T150" s="10"/>
      <c r="U150" s="62"/>
    </row>
    <row r="151" spans="2:21" x14ac:dyDescent="0.25">
      <c r="E151" s="50"/>
      <c r="F151" s="74">
        <f>F132</f>
        <v>88</v>
      </c>
      <c r="G151" s="72">
        <f>G103</f>
        <v>26.74</v>
      </c>
      <c r="H151" s="41"/>
      <c r="I151" s="10"/>
      <c r="M151" s="63"/>
      <c r="N151" s="63"/>
      <c r="O151" s="58"/>
      <c r="P151" s="59"/>
      <c r="Q151" s="60"/>
      <c r="R151" s="10"/>
      <c r="S151" s="61"/>
      <c r="T151" s="10"/>
      <c r="U151" s="62"/>
    </row>
    <row r="152" spans="2:21" x14ac:dyDescent="0.25">
      <c r="E152" s="50"/>
      <c r="F152" s="74">
        <f>F133</f>
        <v>90</v>
      </c>
      <c r="G152" s="72">
        <f>G104</f>
        <v>29.74</v>
      </c>
      <c r="H152" s="27">
        <f>INT(((3*Datos!C$6-'slots con grua'!C146)*TAN('Variables auxiliares'!C$40)-Datos!C$8+'Variables auxiliares'!F$54)/Datos!J$8)</f>
        <v>6</v>
      </c>
      <c r="I152" s="10"/>
      <c r="M152" s="63"/>
      <c r="N152" s="63"/>
      <c r="O152" s="58"/>
      <c r="P152" s="59"/>
      <c r="Q152" s="60"/>
      <c r="R152" s="10"/>
      <c r="S152" s="61"/>
      <c r="T152" s="10"/>
      <c r="U152" s="62"/>
    </row>
    <row r="153" spans="2:21" x14ac:dyDescent="0.25">
      <c r="B153" s="1">
        <f>B146</f>
        <v>11</v>
      </c>
      <c r="C153" s="25">
        <f>C146</f>
        <v>207.79999999999998</v>
      </c>
      <c r="D153" s="1">
        <f>D63</f>
        <v>3</v>
      </c>
      <c r="E153" s="74">
        <f>E105</f>
        <v>3.66</v>
      </c>
      <c r="F153" s="74">
        <f t="shared" ref="F153:G157" si="14">F148</f>
        <v>82</v>
      </c>
      <c r="G153" s="72">
        <f t="shared" si="14"/>
        <v>17.739999999999998</v>
      </c>
      <c r="H153" s="41"/>
      <c r="I153" s="10"/>
      <c r="M153" s="63"/>
      <c r="N153" s="63"/>
      <c r="O153" s="58"/>
      <c r="P153" s="59"/>
      <c r="Q153" s="60"/>
      <c r="R153" s="10"/>
      <c r="S153" s="61"/>
      <c r="T153" s="10"/>
      <c r="U153" s="62"/>
    </row>
    <row r="154" spans="2:21" x14ac:dyDescent="0.25">
      <c r="E154" s="50"/>
      <c r="F154" s="74">
        <f t="shared" si="14"/>
        <v>84</v>
      </c>
      <c r="G154" s="72">
        <f t="shared" si="14"/>
        <v>20.74</v>
      </c>
      <c r="H154" s="41"/>
      <c r="I154" s="10"/>
      <c r="M154" s="63"/>
      <c r="N154" s="63"/>
      <c r="O154" s="58"/>
      <c r="P154" s="59"/>
      <c r="Q154" s="60"/>
      <c r="R154" s="10"/>
      <c r="S154" s="61"/>
      <c r="T154" s="10"/>
      <c r="U154" s="62"/>
    </row>
    <row r="155" spans="2:21" x14ac:dyDescent="0.25">
      <c r="E155" s="50"/>
      <c r="F155" s="74">
        <f t="shared" si="14"/>
        <v>86</v>
      </c>
      <c r="G155" s="72">
        <f t="shared" si="14"/>
        <v>23.74</v>
      </c>
      <c r="H155" s="41"/>
      <c r="I155" s="10"/>
      <c r="M155" s="63"/>
      <c r="N155" s="63"/>
      <c r="O155" s="58"/>
      <c r="P155" s="59"/>
      <c r="Q155" s="60"/>
      <c r="R155" s="10"/>
      <c r="S155" s="61"/>
      <c r="T155" s="10"/>
      <c r="U155" s="62"/>
    </row>
    <row r="156" spans="2:21" x14ac:dyDescent="0.25">
      <c r="E156" s="50"/>
      <c r="F156" s="74">
        <f t="shared" si="14"/>
        <v>88</v>
      </c>
      <c r="G156" s="72">
        <f t="shared" si="14"/>
        <v>26.74</v>
      </c>
      <c r="H156" s="41"/>
      <c r="I156" s="76"/>
      <c r="M156" s="63"/>
      <c r="N156" s="63"/>
      <c r="O156" s="58"/>
      <c r="P156" s="59"/>
      <c r="Q156" s="60"/>
      <c r="R156" s="10"/>
      <c r="S156" s="61"/>
      <c r="T156" s="10"/>
      <c r="U156" s="62"/>
    </row>
    <row r="157" spans="2:21" x14ac:dyDescent="0.25">
      <c r="E157" s="50"/>
      <c r="F157" s="74">
        <f t="shared" si="14"/>
        <v>90</v>
      </c>
      <c r="G157" s="73">
        <f t="shared" si="14"/>
        <v>29.74</v>
      </c>
      <c r="H157" s="27">
        <f>H152</f>
        <v>6</v>
      </c>
      <c r="I157" s="10"/>
      <c r="M157" s="63"/>
      <c r="N157" s="63"/>
      <c r="O157" s="58"/>
      <c r="P157" s="59"/>
      <c r="Q157" s="60"/>
      <c r="R157" s="10"/>
      <c r="S157" s="61"/>
      <c r="T157" s="10"/>
      <c r="U157" s="62"/>
    </row>
    <row r="158" spans="2:21" x14ac:dyDescent="0.25">
      <c r="B158" s="1">
        <f>B146</f>
        <v>11</v>
      </c>
      <c r="C158" s="25">
        <f>C146</f>
        <v>207.79999999999998</v>
      </c>
      <c r="D158" s="1">
        <f>D68</f>
        <v>2</v>
      </c>
      <c r="E158" s="1">
        <f>-E146</f>
        <v>-1.22</v>
      </c>
      <c r="F158" s="1">
        <f>2*J71</f>
        <v>2</v>
      </c>
      <c r="G158" s="25">
        <f t="shared" ref="G158:G169" si="15">G146</f>
        <v>3.06</v>
      </c>
      <c r="I158" s="10"/>
      <c r="M158" s="63"/>
      <c r="N158" s="63"/>
      <c r="O158" s="58"/>
      <c r="P158" s="59"/>
      <c r="Q158" s="60"/>
      <c r="R158" s="10"/>
      <c r="S158" s="61"/>
      <c r="T158" s="10"/>
      <c r="U158" s="62"/>
    </row>
    <row r="159" spans="2:21" x14ac:dyDescent="0.25">
      <c r="F159" s="1">
        <f t="shared" ref="F159:F169" si="16">F147</f>
        <v>4</v>
      </c>
      <c r="G159" s="25">
        <f t="shared" si="15"/>
        <v>6.0600000000000005</v>
      </c>
      <c r="H159" s="10"/>
      <c r="I159" s="10"/>
      <c r="M159" s="63"/>
      <c r="N159" s="63"/>
      <c r="O159" s="58"/>
      <c r="P159" s="59"/>
      <c r="Q159" s="60"/>
      <c r="R159" s="10"/>
      <c r="S159" s="61"/>
      <c r="T159" s="10"/>
      <c r="U159" s="62"/>
    </row>
    <row r="160" spans="2:21" x14ac:dyDescent="0.25">
      <c r="F160" s="1">
        <f t="shared" si="16"/>
        <v>82</v>
      </c>
      <c r="G160" s="25">
        <f t="shared" si="15"/>
        <v>17.739999999999998</v>
      </c>
      <c r="I160" s="10"/>
      <c r="M160" s="63"/>
      <c r="N160" s="63"/>
      <c r="O160" s="58"/>
      <c r="P160" s="59"/>
      <c r="Q160" s="60"/>
      <c r="R160" s="10"/>
      <c r="S160" s="61"/>
      <c r="T160" s="10"/>
      <c r="U160" s="62"/>
    </row>
    <row r="161" spans="2:21" x14ac:dyDescent="0.25">
      <c r="E161" t="s">
        <v>142</v>
      </c>
      <c r="F161" s="1">
        <f t="shared" si="16"/>
        <v>84</v>
      </c>
      <c r="G161" s="25">
        <f t="shared" si="15"/>
        <v>20.74</v>
      </c>
      <c r="H161" s="10"/>
      <c r="I161" s="76"/>
      <c r="M161" s="63"/>
      <c r="N161" s="63"/>
      <c r="O161" s="58"/>
      <c r="P161" s="59"/>
      <c r="Q161" s="60"/>
      <c r="R161" s="10"/>
      <c r="S161" s="61"/>
      <c r="T161" s="10"/>
      <c r="U161" s="62"/>
    </row>
    <row r="162" spans="2:21" x14ac:dyDescent="0.25">
      <c r="F162" s="1">
        <f t="shared" si="16"/>
        <v>86</v>
      </c>
      <c r="G162" s="25">
        <f t="shared" si="15"/>
        <v>23.74</v>
      </c>
      <c r="H162" s="10"/>
      <c r="M162" s="63"/>
      <c r="N162" s="63"/>
      <c r="O162" s="58"/>
      <c r="P162" s="59"/>
      <c r="Q162" s="60"/>
      <c r="R162" s="10"/>
      <c r="S162" s="61"/>
      <c r="T162" s="10"/>
      <c r="U162" s="62"/>
    </row>
    <row r="163" spans="2:21" x14ac:dyDescent="0.25">
      <c r="F163" s="1">
        <f t="shared" si="16"/>
        <v>88</v>
      </c>
      <c r="G163" s="25">
        <f t="shared" si="15"/>
        <v>26.74</v>
      </c>
      <c r="H163" s="10"/>
      <c r="I163" s="10"/>
      <c r="M163" s="63"/>
      <c r="N163" s="63"/>
      <c r="O163" s="58"/>
      <c r="P163" s="59"/>
      <c r="Q163" s="60"/>
      <c r="R163" s="10"/>
      <c r="S163" s="61"/>
      <c r="T163" s="10"/>
      <c r="U163" s="62"/>
    </row>
    <row r="164" spans="2:21" x14ac:dyDescent="0.25">
      <c r="F164" s="31">
        <f t="shared" si="16"/>
        <v>90</v>
      </c>
      <c r="G164" s="32">
        <f t="shared" si="15"/>
        <v>29.74</v>
      </c>
      <c r="H164" s="27">
        <f>H157</f>
        <v>6</v>
      </c>
      <c r="M164" s="63"/>
      <c r="N164" s="63"/>
      <c r="O164" s="58"/>
      <c r="P164" s="59"/>
      <c r="Q164" s="60"/>
      <c r="R164" s="10"/>
      <c r="S164" s="61"/>
      <c r="T164" s="10"/>
      <c r="U164" s="62"/>
    </row>
    <row r="165" spans="2:21" x14ac:dyDescent="0.25">
      <c r="B165" s="1">
        <f>B153</f>
        <v>11</v>
      </c>
      <c r="C165" s="25">
        <f>C153</f>
        <v>207.79999999999998</v>
      </c>
      <c r="D165" s="1">
        <f>D73</f>
        <v>4</v>
      </c>
      <c r="E165" s="1">
        <f>-E153</f>
        <v>-3.66</v>
      </c>
      <c r="F165" s="1">
        <f t="shared" si="16"/>
        <v>82</v>
      </c>
      <c r="G165" s="1">
        <f t="shared" si="15"/>
        <v>17.739999999999998</v>
      </c>
      <c r="H165" s="41"/>
      <c r="I165" s="10"/>
      <c r="M165" s="63"/>
      <c r="N165" s="63"/>
      <c r="O165" s="58"/>
      <c r="P165" s="59"/>
      <c r="Q165" s="60"/>
      <c r="R165" s="10"/>
      <c r="S165" s="61"/>
      <c r="T165" s="10"/>
      <c r="U165" s="62"/>
    </row>
    <row r="166" spans="2:21" x14ac:dyDescent="0.25">
      <c r="F166" s="1">
        <f t="shared" si="16"/>
        <v>84</v>
      </c>
      <c r="G166" s="1">
        <f t="shared" si="15"/>
        <v>20.74</v>
      </c>
      <c r="H166" s="10"/>
      <c r="I166" s="10"/>
      <c r="M166" s="63"/>
      <c r="N166" s="63"/>
      <c r="O166" s="58"/>
      <c r="P166" s="59"/>
      <c r="Q166" s="60"/>
      <c r="R166" s="10"/>
      <c r="S166" s="61"/>
      <c r="T166" s="10"/>
      <c r="U166" s="62"/>
    </row>
    <row r="167" spans="2:21" x14ac:dyDescent="0.25">
      <c r="F167" s="1">
        <f t="shared" si="16"/>
        <v>86</v>
      </c>
      <c r="G167" s="1">
        <f t="shared" si="15"/>
        <v>23.74</v>
      </c>
      <c r="H167" s="10"/>
      <c r="I167" s="10"/>
      <c r="M167" s="63"/>
      <c r="N167" s="63"/>
      <c r="O167" s="58"/>
      <c r="P167" s="59"/>
      <c r="Q167" s="60"/>
      <c r="R167" s="10"/>
      <c r="S167" s="61"/>
      <c r="T167" s="10"/>
      <c r="U167" s="62"/>
    </row>
    <row r="168" spans="2:21" x14ac:dyDescent="0.25">
      <c r="F168" s="1">
        <f t="shared" si="16"/>
        <v>88</v>
      </c>
      <c r="G168" s="1">
        <f t="shared" si="15"/>
        <v>26.74</v>
      </c>
      <c r="H168" s="10"/>
      <c r="I168" s="76"/>
      <c r="M168" s="63"/>
      <c r="N168" s="63"/>
      <c r="O168" s="58"/>
      <c r="P168" s="59"/>
      <c r="Q168" s="60"/>
      <c r="R168" s="10"/>
      <c r="S168" s="61"/>
      <c r="T168" s="10"/>
      <c r="U168" s="62"/>
    </row>
    <row r="169" spans="2:21" ht="15.75" thickBot="1" x14ac:dyDescent="0.3">
      <c r="B169" s="79"/>
      <c r="C169" s="79"/>
      <c r="D169" s="79"/>
      <c r="E169" s="79"/>
      <c r="F169" s="80">
        <f t="shared" si="16"/>
        <v>90</v>
      </c>
      <c r="G169" s="80">
        <f t="shared" si="15"/>
        <v>29.74</v>
      </c>
      <c r="H169" s="80">
        <f>H157</f>
        <v>6</v>
      </c>
      <c r="I169" s="10"/>
      <c r="M169" s="63"/>
      <c r="N169" s="63"/>
      <c r="O169" s="58"/>
      <c r="P169" s="59"/>
      <c r="Q169" s="60"/>
      <c r="R169" s="10"/>
      <c r="S169" s="61"/>
      <c r="T169" s="10"/>
      <c r="U169" s="62"/>
    </row>
    <row r="170" spans="2:21" x14ac:dyDescent="0.25">
      <c r="B170" s="1">
        <f>2*J62-1</f>
        <v>9</v>
      </c>
      <c r="C170" s="25">
        <f>C98+('Variables auxiliares'!F$24-2-J62)*Datos!J$5</f>
        <v>213.85999999999999</v>
      </c>
      <c r="D170" s="1">
        <f>D58</f>
        <v>1</v>
      </c>
      <c r="E170" s="74">
        <f>E146</f>
        <v>1.22</v>
      </c>
      <c r="F170" s="48">
        <f>2*J71</f>
        <v>2</v>
      </c>
      <c r="G170" s="77">
        <f t="shared" ref="G170:G176" si="17">G146</f>
        <v>3.06</v>
      </c>
      <c r="H170" s="41"/>
      <c r="I170" s="10"/>
      <c r="M170" s="63"/>
      <c r="N170" s="63"/>
      <c r="O170" s="58"/>
      <c r="P170" s="59"/>
      <c r="Q170" s="60"/>
      <c r="R170" s="10"/>
      <c r="S170" s="61"/>
      <c r="T170" s="10"/>
      <c r="U170" s="62"/>
    </row>
    <row r="171" spans="2:21" x14ac:dyDescent="0.25">
      <c r="F171" s="74">
        <f t="shared" ref="F171:F176" si="18">F147</f>
        <v>4</v>
      </c>
      <c r="G171" s="77">
        <f t="shared" si="17"/>
        <v>6.0600000000000005</v>
      </c>
      <c r="H171" s="41"/>
      <c r="I171" s="10"/>
      <c r="M171" s="63"/>
      <c r="N171" s="63"/>
      <c r="O171" s="58"/>
      <c r="P171" s="59"/>
      <c r="Q171" s="60"/>
      <c r="R171" s="10"/>
      <c r="S171" s="61"/>
      <c r="T171" s="10"/>
      <c r="U171" s="62"/>
    </row>
    <row r="172" spans="2:21" x14ac:dyDescent="0.25">
      <c r="F172" s="74">
        <f t="shared" si="18"/>
        <v>82</v>
      </c>
      <c r="G172" s="77">
        <f t="shared" si="17"/>
        <v>17.739999999999998</v>
      </c>
      <c r="H172" s="41"/>
      <c r="I172" s="10"/>
      <c r="M172" s="63"/>
      <c r="N172" s="63"/>
      <c r="O172" s="58"/>
      <c r="P172" s="59"/>
      <c r="Q172" s="60"/>
      <c r="R172" s="10"/>
      <c r="S172" s="61"/>
      <c r="T172" s="10"/>
      <c r="U172" s="62"/>
    </row>
    <row r="173" spans="2:21" x14ac:dyDescent="0.25">
      <c r="F173" s="74">
        <f t="shared" si="18"/>
        <v>84</v>
      </c>
      <c r="G173" s="77">
        <f t="shared" si="17"/>
        <v>20.74</v>
      </c>
      <c r="H173" s="41"/>
      <c r="I173" s="58"/>
      <c r="M173" s="63"/>
      <c r="N173" s="63"/>
      <c r="O173" s="58"/>
      <c r="P173" s="59"/>
      <c r="Q173" s="60"/>
      <c r="R173" s="10"/>
      <c r="S173" s="61"/>
      <c r="T173" s="10"/>
      <c r="U173" s="62"/>
    </row>
    <row r="174" spans="2:21" x14ac:dyDescent="0.25">
      <c r="E174" t="s">
        <v>141</v>
      </c>
      <c r="F174" s="74">
        <f t="shared" si="18"/>
        <v>86</v>
      </c>
      <c r="G174" s="77">
        <f t="shared" si="17"/>
        <v>23.74</v>
      </c>
      <c r="H174" s="41"/>
      <c r="I174" s="10"/>
      <c r="M174" s="63"/>
      <c r="N174" s="63"/>
      <c r="O174" s="58"/>
      <c r="P174" s="59"/>
      <c r="Q174" s="60"/>
      <c r="R174" s="10"/>
      <c r="S174" s="61"/>
      <c r="T174" s="10"/>
      <c r="U174" s="62"/>
    </row>
    <row r="175" spans="2:21" x14ac:dyDescent="0.25">
      <c r="F175" s="74">
        <f t="shared" si="18"/>
        <v>88</v>
      </c>
      <c r="G175" s="77">
        <f t="shared" si="17"/>
        <v>26.74</v>
      </c>
      <c r="I175" s="10"/>
      <c r="M175" s="63"/>
      <c r="N175" s="63"/>
      <c r="O175" s="58"/>
      <c r="P175" s="59"/>
      <c r="Q175" s="60"/>
      <c r="R175" s="10"/>
      <c r="S175" s="61"/>
      <c r="T175" s="10"/>
      <c r="U175" s="62"/>
    </row>
    <row r="176" spans="2:21" x14ac:dyDescent="0.25">
      <c r="F176" s="74">
        <f t="shared" si="18"/>
        <v>90</v>
      </c>
      <c r="G176" s="72">
        <f t="shared" si="17"/>
        <v>29.74</v>
      </c>
      <c r="H176" s="27">
        <f>INT(((3*Datos!C$6-'slots con grua'!C170)*TAN('Variables auxiliares'!C$40)-Datos!C$8+'Variables auxiliares'!F$54)/Datos!J$8)</f>
        <v>5</v>
      </c>
      <c r="I176" s="10"/>
      <c r="M176" s="63"/>
      <c r="N176" s="63"/>
      <c r="O176" s="58"/>
      <c r="P176" s="59"/>
      <c r="Q176" s="60"/>
      <c r="R176" s="10"/>
      <c r="S176" s="61"/>
      <c r="T176" s="10"/>
      <c r="U176" s="62"/>
    </row>
    <row r="177" spans="2:21" x14ac:dyDescent="0.25">
      <c r="B177" s="1">
        <f>B170</f>
        <v>9</v>
      </c>
      <c r="C177" s="25">
        <f>C170</f>
        <v>213.85999999999999</v>
      </c>
      <c r="D177" s="1">
        <f>D63</f>
        <v>3</v>
      </c>
      <c r="E177" s="74">
        <f>E129</f>
        <v>3.66</v>
      </c>
      <c r="F177" s="74">
        <f t="shared" ref="F177:G181" si="19">F172</f>
        <v>82</v>
      </c>
      <c r="G177" s="72">
        <f t="shared" si="19"/>
        <v>17.739999999999998</v>
      </c>
      <c r="H177" s="41"/>
      <c r="I177" s="10"/>
      <c r="M177" s="63"/>
      <c r="N177" s="63"/>
      <c r="O177" s="58"/>
      <c r="P177" s="59"/>
      <c r="Q177" s="60"/>
      <c r="R177" s="10"/>
      <c r="S177" s="61"/>
      <c r="T177" s="10"/>
      <c r="U177" s="62"/>
    </row>
    <row r="178" spans="2:21" x14ac:dyDescent="0.25">
      <c r="F178" s="74">
        <f t="shared" si="19"/>
        <v>84</v>
      </c>
      <c r="G178" s="72">
        <f t="shared" si="19"/>
        <v>20.74</v>
      </c>
      <c r="H178" s="41"/>
      <c r="I178" s="10"/>
      <c r="M178" s="63"/>
      <c r="N178" s="63"/>
      <c r="O178" s="58"/>
      <c r="P178" s="59"/>
      <c r="Q178" s="60"/>
      <c r="R178" s="10"/>
      <c r="S178" s="61"/>
      <c r="T178" s="10"/>
      <c r="U178" s="62"/>
    </row>
    <row r="179" spans="2:21" x14ac:dyDescent="0.25">
      <c r="F179" s="74">
        <f t="shared" si="19"/>
        <v>86</v>
      </c>
      <c r="G179" s="72">
        <f t="shared" si="19"/>
        <v>23.74</v>
      </c>
      <c r="H179" s="41"/>
      <c r="M179" s="63"/>
      <c r="N179" s="63"/>
      <c r="O179" s="58"/>
      <c r="P179" s="59"/>
      <c r="Q179" s="60"/>
      <c r="R179" s="10"/>
      <c r="S179" s="61"/>
      <c r="T179" s="10"/>
      <c r="U179" s="62"/>
    </row>
    <row r="180" spans="2:21" x14ac:dyDescent="0.25">
      <c r="F180" s="74">
        <f t="shared" si="19"/>
        <v>88</v>
      </c>
      <c r="G180" s="72">
        <f t="shared" si="19"/>
        <v>26.74</v>
      </c>
      <c r="H180" s="41"/>
      <c r="I180" s="76"/>
      <c r="M180" s="63"/>
      <c r="N180" s="63"/>
      <c r="O180" s="58"/>
      <c r="P180" s="59"/>
      <c r="Q180" s="60"/>
      <c r="R180" s="10"/>
      <c r="S180" s="61"/>
      <c r="T180" s="10"/>
      <c r="U180" s="62"/>
    </row>
    <row r="181" spans="2:21" x14ac:dyDescent="0.25">
      <c r="F181" s="75">
        <f t="shared" si="19"/>
        <v>90</v>
      </c>
      <c r="G181" s="73">
        <f t="shared" si="19"/>
        <v>29.74</v>
      </c>
      <c r="H181" s="27">
        <f>H176</f>
        <v>5</v>
      </c>
      <c r="I181" s="10"/>
      <c r="M181" s="63"/>
      <c r="N181" s="63"/>
      <c r="O181" s="58"/>
      <c r="P181" s="59"/>
      <c r="Q181" s="60"/>
      <c r="R181" s="10"/>
      <c r="S181" s="61"/>
      <c r="T181" s="10"/>
      <c r="U181" s="62"/>
    </row>
    <row r="182" spans="2:21" x14ac:dyDescent="0.25">
      <c r="B182" s="1">
        <f>B170</f>
        <v>9</v>
      </c>
      <c r="C182" s="25">
        <f>C170</f>
        <v>213.85999999999999</v>
      </c>
      <c r="D182" s="1">
        <f>D68</f>
        <v>2</v>
      </c>
      <c r="E182" s="1">
        <f>-E170</f>
        <v>-1.22</v>
      </c>
      <c r="F182" s="48">
        <f t="shared" ref="F182:G193" si="20">F170</f>
        <v>2</v>
      </c>
      <c r="G182" s="25">
        <f t="shared" si="20"/>
        <v>3.06</v>
      </c>
      <c r="H182" s="41"/>
      <c r="I182" s="10"/>
      <c r="M182" s="63"/>
      <c r="N182" s="63"/>
      <c r="O182" s="58"/>
      <c r="P182" s="59"/>
      <c r="Q182" s="60"/>
      <c r="R182" s="10"/>
      <c r="S182" s="61"/>
      <c r="T182" s="10"/>
      <c r="U182" s="62"/>
    </row>
    <row r="183" spans="2:21" x14ac:dyDescent="0.25">
      <c r="F183" s="1">
        <f t="shared" si="20"/>
        <v>4</v>
      </c>
      <c r="G183" s="25">
        <f t="shared" si="20"/>
        <v>6.0600000000000005</v>
      </c>
      <c r="H183" s="10"/>
      <c r="I183" s="10"/>
      <c r="M183" s="63"/>
      <c r="N183" s="63"/>
      <c r="O183" s="58"/>
      <c r="P183" s="59"/>
      <c r="Q183" s="60"/>
      <c r="R183" s="10"/>
      <c r="S183" s="61"/>
      <c r="T183" s="10"/>
      <c r="U183" s="62"/>
    </row>
    <row r="184" spans="2:21" x14ac:dyDescent="0.25">
      <c r="F184" s="1">
        <f t="shared" si="20"/>
        <v>82</v>
      </c>
      <c r="G184" s="25">
        <f t="shared" si="20"/>
        <v>17.739999999999998</v>
      </c>
      <c r="H184" s="10"/>
      <c r="I184" s="10"/>
      <c r="M184" s="63"/>
      <c r="N184" s="63"/>
      <c r="O184" s="58"/>
      <c r="P184" s="59"/>
      <c r="Q184" s="60"/>
      <c r="R184" s="10"/>
      <c r="S184" s="61"/>
      <c r="T184" s="10"/>
      <c r="U184" s="62"/>
    </row>
    <row r="185" spans="2:21" x14ac:dyDescent="0.25">
      <c r="E185" t="s">
        <v>142</v>
      </c>
      <c r="F185" s="1">
        <f t="shared" si="20"/>
        <v>84</v>
      </c>
      <c r="G185" s="25">
        <f t="shared" si="20"/>
        <v>20.74</v>
      </c>
      <c r="H185" s="10"/>
      <c r="I185" s="76"/>
      <c r="M185" s="63"/>
      <c r="N185" s="63"/>
      <c r="O185" s="58"/>
      <c r="P185" s="59"/>
      <c r="Q185" s="60"/>
      <c r="R185" s="10"/>
      <c r="S185" s="61"/>
      <c r="T185" s="10"/>
      <c r="U185" s="62"/>
    </row>
    <row r="186" spans="2:21" x14ac:dyDescent="0.25">
      <c r="F186" s="1">
        <f t="shared" si="20"/>
        <v>86</v>
      </c>
      <c r="G186" s="25">
        <f t="shared" si="20"/>
        <v>23.74</v>
      </c>
      <c r="H186" s="10"/>
      <c r="I186" s="10"/>
      <c r="M186" s="63"/>
      <c r="N186" s="63"/>
      <c r="O186" s="58"/>
      <c r="P186" s="59"/>
      <c r="Q186" s="60"/>
      <c r="R186" s="10"/>
      <c r="S186" s="61"/>
      <c r="T186" s="10"/>
      <c r="U186" s="62"/>
    </row>
    <row r="187" spans="2:21" x14ac:dyDescent="0.25">
      <c r="F187" s="1">
        <f t="shared" si="20"/>
        <v>88</v>
      </c>
      <c r="G187" s="25">
        <f t="shared" si="20"/>
        <v>26.74</v>
      </c>
      <c r="H187" s="10"/>
      <c r="I187" s="10"/>
      <c r="M187" s="63"/>
      <c r="N187" s="63"/>
      <c r="O187" s="58"/>
      <c r="P187" s="59"/>
      <c r="Q187" s="60"/>
      <c r="R187" s="10"/>
      <c r="S187" s="61"/>
      <c r="T187" s="10"/>
      <c r="U187" s="62"/>
    </row>
    <row r="188" spans="2:21" x14ac:dyDescent="0.25">
      <c r="F188" s="31">
        <f t="shared" si="20"/>
        <v>90</v>
      </c>
      <c r="G188" s="32">
        <f t="shared" si="20"/>
        <v>29.74</v>
      </c>
      <c r="H188" s="27">
        <f>H176</f>
        <v>5</v>
      </c>
      <c r="I188" s="10"/>
      <c r="M188" s="63"/>
      <c r="N188" s="63"/>
      <c r="O188" s="58"/>
      <c r="P188" s="59"/>
      <c r="Q188" s="60"/>
      <c r="R188" s="10"/>
      <c r="S188" s="61"/>
      <c r="T188" s="10"/>
      <c r="U188" s="62"/>
    </row>
    <row r="189" spans="2:21" x14ac:dyDescent="0.25">
      <c r="B189" s="1">
        <f>B177</f>
        <v>9</v>
      </c>
      <c r="C189" s="25">
        <f>C177</f>
        <v>213.85999999999999</v>
      </c>
      <c r="D189" s="1">
        <f>D73</f>
        <v>4</v>
      </c>
      <c r="E189" s="1">
        <f>-E177</f>
        <v>-3.66</v>
      </c>
      <c r="F189" s="1">
        <f t="shared" si="20"/>
        <v>82</v>
      </c>
      <c r="G189" s="1">
        <f t="shared" si="20"/>
        <v>17.739999999999998</v>
      </c>
      <c r="H189" s="70"/>
      <c r="I189" s="10"/>
      <c r="K189">
        <f>E189*2</f>
        <v>-7.32</v>
      </c>
      <c r="M189" s="63"/>
      <c r="N189" s="63"/>
      <c r="O189" s="58"/>
      <c r="P189" s="59"/>
      <c r="Q189" s="60"/>
      <c r="R189" s="10"/>
      <c r="S189" s="61"/>
      <c r="T189" s="10"/>
      <c r="U189" s="62"/>
    </row>
    <row r="190" spans="2:21" x14ac:dyDescent="0.25">
      <c r="F190" s="1">
        <f t="shared" si="20"/>
        <v>84</v>
      </c>
      <c r="G190" s="1">
        <f t="shared" si="20"/>
        <v>20.74</v>
      </c>
      <c r="H190" s="76"/>
      <c r="I190" s="10"/>
      <c r="M190" s="63"/>
      <c r="N190" s="63"/>
      <c r="O190" s="58"/>
      <c r="P190" s="59"/>
      <c r="Q190" s="60"/>
      <c r="R190" s="10"/>
      <c r="S190" s="61"/>
      <c r="T190" s="10"/>
      <c r="U190" s="62"/>
    </row>
    <row r="191" spans="2:21" x14ac:dyDescent="0.25">
      <c r="F191" s="1">
        <f t="shared" si="20"/>
        <v>86</v>
      </c>
      <c r="G191" s="1">
        <f t="shared" si="20"/>
        <v>23.74</v>
      </c>
      <c r="H191" s="76"/>
      <c r="I191" s="10"/>
      <c r="M191" s="63"/>
      <c r="N191" s="63"/>
      <c r="O191" s="58"/>
      <c r="P191" s="59"/>
      <c r="Q191" s="60"/>
      <c r="R191" s="10"/>
      <c r="S191" s="61"/>
      <c r="T191" s="10"/>
      <c r="U191" s="62"/>
    </row>
    <row r="192" spans="2:21" x14ac:dyDescent="0.25">
      <c r="F192" s="1">
        <f t="shared" si="20"/>
        <v>88</v>
      </c>
      <c r="G192" s="1">
        <f t="shared" si="20"/>
        <v>26.74</v>
      </c>
      <c r="H192" s="76"/>
      <c r="I192" s="76"/>
      <c r="M192" s="63"/>
      <c r="N192" s="63"/>
      <c r="O192" s="58"/>
      <c r="P192" s="59"/>
      <c r="Q192" s="60"/>
      <c r="R192" s="10"/>
      <c r="S192" s="61"/>
      <c r="T192" s="10"/>
      <c r="U192" s="62"/>
    </row>
    <row r="193" spans="2:21" ht="15.75" thickBot="1" x14ac:dyDescent="0.3">
      <c r="B193" s="79"/>
      <c r="C193" s="79"/>
      <c r="D193" s="79"/>
      <c r="E193" s="79"/>
      <c r="F193" s="80">
        <f t="shared" si="20"/>
        <v>90</v>
      </c>
      <c r="G193" s="80">
        <f t="shared" si="20"/>
        <v>29.74</v>
      </c>
      <c r="H193" s="80">
        <f>H181</f>
        <v>5</v>
      </c>
      <c r="I193" s="76"/>
      <c r="M193" s="63"/>
      <c r="N193" s="63"/>
      <c r="O193" s="58"/>
      <c r="P193" s="59"/>
      <c r="Q193" s="60"/>
      <c r="R193" s="10"/>
      <c r="S193" s="61"/>
      <c r="T193" s="10"/>
      <c r="U193" s="62"/>
    </row>
    <row r="194" spans="2:21" x14ac:dyDescent="0.25">
      <c r="B194" s="74">
        <f>2*J61-1</f>
        <v>7</v>
      </c>
      <c r="C194" s="77">
        <f>C98+('Variables auxiliares'!F$24-2-J61)*Datos!J$5</f>
        <v>219.92</v>
      </c>
      <c r="D194" s="74">
        <f>D58</f>
        <v>1</v>
      </c>
      <c r="E194" s="74">
        <f>E146</f>
        <v>1.22</v>
      </c>
      <c r="F194" s="74">
        <f>J76*2</f>
        <v>2</v>
      </c>
      <c r="G194" s="72">
        <f>'Variables auxiliares'!M8+(Datos!J8/2)</f>
        <v>3.06</v>
      </c>
      <c r="H194" s="99"/>
      <c r="I194" s="76"/>
      <c r="M194" s="63"/>
      <c r="N194" s="63"/>
      <c r="O194" s="58"/>
      <c r="P194" s="59"/>
      <c r="Q194" s="60"/>
      <c r="R194" s="10"/>
      <c r="S194" s="61"/>
      <c r="T194" s="10"/>
      <c r="U194" s="62"/>
    </row>
    <row r="195" spans="2:21" x14ac:dyDescent="0.25">
      <c r="B195" s="50"/>
      <c r="C195" s="50"/>
      <c r="D195" s="50"/>
      <c r="E195" s="50"/>
      <c r="F195" s="74">
        <f>J77*2</f>
        <v>4</v>
      </c>
      <c r="G195" s="77">
        <f>G194+J76*Datos!J8</f>
        <v>6.0600000000000005</v>
      </c>
      <c r="H195" s="50"/>
      <c r="I195" s="76"/>
      <c r="M195" s="63"/>
      <c r="N195" s="63"/>
      <c r="O195" s="58"/>
      <c r="P195" s="59"/>
      <c r="Q195" s="60"/>
      <c r="R195" s="10"/>
      <c r="S195" s="61"/>
      <c r="T195" s="10"/>
      <c r="U195" s="62"/>
    </row>
    <row r="196" spans="2:21" x14ac:dyDescent="0.25">
      <c r="B196" s="50"/>
      <c r="C196" s="50"/>
      <c r="D196" s="50"/>
      <c r="E196" s="50"/>
      <c r="F196" s="74">
        <f>80+J79*2</f>
        <v>82</v>
      </c>
      <c r="G196" s="77">
        <f>G189</f>
        <v>17.739999999999998</v>
      </c>
      <c r="H196" s="100"/>
      <c r="I196" s="76"/>
      <c r="M196" s="63"/>
      <c r="N196" s="63"/>
      <c r="O196" s="58"/>
      <c r="P196" s="59"/>
      <c r="Q196" s="60"/>
      <c r="R196" s="10"/>
      <c r="S196" s="61"/>
      <c r="T196" s="10"/>
      <c r="U196" s="62"/>
    </row>
    <row r="197" spans="2:21" x14ac:dyDescent="0.25">
      <c r="B197" s="50"/>
      <c r="C197" s="50"/>
      <c r="D197" s="50"/>
      <c r="E197" s="50" t="s">
        <v>141</v>
      </c>
      <c r="F197" s="74">
        <f>80+J80*2</f>
        <v>84</v>
      </c>
      <c r="G197" s="77">
        <f>G190</f>
        <v>20.74</v>
      </c>
      <c r="H197" s="100"/>
      <c r="I197" s="58"/>
      <c r="M197" s="63"/>
      <c r="N197" s="63"/>
      <c r="O197" s="58"/>
      <c r="P197" s="59"/>
      <c r="Q197" s="60"/>
      <c r="R197" s="10"/>
      <c r="S197" s="61"/>
      <c r="T197" s="10"/>
      <c r="U197" s="62"/>
    </row>
    <row r="198" spans="2:21" x14ac:dyDescent="0.25">
      <c r="B198" s="50"/>
      <c r="C198" s="50"/>
      <c r="D198" s="50"/>
      <c r="E198" s="50"/>
      <c r="F198" s="74">
        <f>80+J81*2</f>
        <v>86</v>
      </c>
      <c r="G198" s="77">
        <f>G191</f>
        <v>23.74</v>
      </c>
      <c r="H198" s="50"/>
      <c r="I198" s="100"/>
      <c r="J198" s="6"/>
      <c r="M198" s="63"/>
      <c r="N198" s="63"/>
      <c r="O198" s="58"/>
      <c r="P198" s="59"/>
      <c r="Q198" s="60"/>
      <c r="R198" s="10"/>
      <c r="S198" s="61"/>
      <c r="T198" s="10"/>
      <c r="U198" s="62"/>
    </row>
    <row r="199" spans="2:21" x14ac:dyDescent="0.25">
      <c r="B199" s="50"/>
      <c r="C199" s="50"/>
      <c r="D199" s="50"/>
      <c r="E199" s="50"/>
      <c r="F199" s="74">
        <f>80+J82*2</f>
        <v>88</v>
      </c>
      <c r="G199" s="77">
        <f>G$58+(H199-1)*Datos!J$8</f>
        <v>29.74</v>
      </c>
      <c r="H199" s="101">
        <f>INT(((3*Datos!C$6-'slots con grua'!C194)*TAN('Variables auxiliares'!C$40)-Datos!C$8+'Variables auxiliares'!F$54)/Datos!J$8)</f>
        <v>5</v>
      </c>
      <c r="I199" s="50"/>
      <c r="J199" s="6"/>
      <c r="M199" s="63"/>
      <c r="N199" s="63"/>
      <c r="O199" s="58"/>
      <c r="P199" s="59"/>
      <c r="Q199" s="60"/>
      <c r="R199" s="10"/>
      <c r="S199" s="61"/>
      <c r="T199" s="10"/>
      <c r="U199" s="62"/>
    </row>
    <row r="200" spans="2:21" x14ac:dyDescent="0.25">
      <c r="B200" s="74">
        <f>B194</f>
        <v>7</v>
      </c>
      <c r="C200" s="77">
        <f>C194</f>
        <v>219.92</v>
      </c>
      <c r="D200" s="74">
        <f>D63</f>
        <v>3</v>
      </c>
      <c r="E200" s="68">
        <f>E153</f>
        <v>3.66</v>
      </c>
      <c r="F200" s="74">
        <f t="shared" ref="F200:G203" si="21">F196</f>
        <v>82</v>
      </c>
      <c r="G200" s="72">
        <f t="shared" si="21"/>
        <v>17.739999999999998</v>
      </c>
      <c r="H200" s="99"/>
      <c r="I200" s="100"/>
      <c r="J200" s="6"/>
      <c r="M200" s="63"/>
      <c r="N200" s="63"/>
      <c r="O200" s="58"/>
      <c r="P200" s="59"/>
      <c r="Q200" s="60"/>
      <c r="R200" s="10"/>
      <c r="S200" s="61"/>
      <c r="T200" s="10"/>
      <c r="U200" s="62"/>
    </row>
    <row r="201" spans="2:21" x14ac:dyDescent="0.25">
      <c r="B201" s="50"/>
      <c r="C201" s="50"/>
      <c r="D201" s="50"/>
      <c r="E201" s="50"/>
      <c r="F201" s="74">
        <f t="shared" si="21"/>
        <v>84</v>
      </c>
      <c r="G201" s="72">
        <f t="shared" si="21"/>
        <v>20.74</v>
      </c>
      <c r="H201" s="99"/>
      <c r="I201" s="100"/>
      <c r="J201" s="6"/>
      <c r="M201" s="63"/>
      <c r="N201" s="63"/>
      <c r="O201" s="58"/>
      <c r="P201" s="59"/>
      <c r="Q201" s="60"/>
      <c r="R201" s="10"/>
      <c r="S201" s="61"/>
      <c r="T201" s="10"/>
      <c r="U201" s="62"/>
    </row>
    <row r="202" spans="2:21" x14ac:dyDescent="0.25">
      <c r="B202" s="50"/>
      <c r="C202" s="50"/>
      <c r="D202" s="50"/>
      <c r="E202" s="50"/>
      <c r="F202" s="74">
        <f t="shared" si="21"/>
        <v>86</v>
      </c>
      <c r="G202" s="72">
        <f t="shared" si="21"/>
        <v>23.74</v>
      </c>
      <c r="H202" s="99"/>
      <c r="I202" s="50"/>
      <c r="J202" s="6"/>
      <c r="M202" s="63"/>
      <c r="N202" s="63"/>
      <c r="O202" s="58"/>
      <c r="P202" s="59"/>
      <c r="Q202" s="60"/>
      <c r="R202" s="10"/>
      <c r="S202" s="61"/>
      <c r="T202" s="10"/>
      <c r="U202" s="62"/>
    </row>
    <row r="203" spans="2:21" x14ac:dyDescent="0.25">
      <c r="B203" s="50"/>
      <c r="C203" s="50"/>
      <c r="D203" s="50"/>
      <c r="E203" s="50"/>
      <c r="F203" s="75">
        <f t="shared" si="21"/>
        <v>88</v>
      </c>
      <c r="G203" s="73">
        <f t="shared" si="21"/>
        <v>29.74</v>
      </c>
      <c r="H203" s="101">
        <f>H199</f>
        <v>5</v>
      </c>
      <c r="I203" s="102"/>
      <c r="J203" s="6"/>
      <c r="M203" s="63"/>
      <c r="N203" s="63"/>
      <c r="O203" s="58"/>
      <c r="P203" s="59"/>
      <c r="Q203" s="60"/>
      <c r="R203" s="10"/>
      <c r="S203" s="61"/>
      <c r="T203" s="10"/>
      <c r="U203" s="62"/>
    </row>
    <row r="204" spans="2:21" x14ac:dyDescent="0.25">
      <c r="B204" s="74">
        <f>B194</f>
        <v>7</v>
      </c>
      <c r="C204" s="77">
        <f t="shared" ref="C204:G205" si="22">C194</f>
        <v>219.92</v>
      </c>
      <c r="D204" s="74">
        <f>D68</f>
        <v>2</v>
      </c>
      <c r="E204" s="74">
        <f>-E194</f>
        <v>-1.22</v>
      </c>
      <c r="F204" s="74">
        <f t="shared" si="22"/>
        <v>2</v>
      </c>
      <c r="G204" s="77">
        <f t="shared" si="22"/>
        <v>3.06</v>
      </c>
      <c r="H204" s="50"/>
      <c r="I204" s="100"/>
      <c r="J204" s="6"/>
      <c r="M204" s="63"/>
      <c r="N204" s="63"/>
      <c r="O204" s="58"/>
      <c r="P204" s="59"/>
      <c r="Q204" s="60"/>
      <c r="R204" s="10"/>
      <c r="S204" s="61"/>
      <c r="T204" s="10"/>
      <c r="U204" s="62"/>
    </row>
    <row r="205" spans="2:21" x14ac:dyDescent="0.25">
      <c r="B205" s="50"/>
      <c r="C205" s="50"/>
      <c r="D205" s="50"/>
      <c r="E205" s="50"/>
      <c r="F205" s="74">
        <f t="shared" si="22"/>
        <v>4</v>
      </c>
      <c r="G205" s="77">
        <f t="shared" si="22"/>
        <v>6.0600000000000005</v>
      </c>
      <c r="H205" s="100"/>
      <c r="I205" s="100"/>
      <c r="J205" s="6"/>
      <c r="M205" s="63"/>
      <c r="N205" s="63"/>
      <c r="O205" s="58"/>
      <c r="P205" s="59"/>
      <c r="Q205" s="60"/>
      <c r="R205" s="10"/>
      <c r="S205" s="61"/>
      <c r="T205" s="10"/>
      <c r="U205" s="62"/>
    </row>
    <row r="206" spans="2:21" x14ac:dyDescent="0.25">
      <c r="B206" s="50"/>
      <c r="C206" s="50"/>
      <c r="D206" s="50"/>
      <c r="E206" s="50"/>
      <c r="F206" s="74">
        <f t="shared" ref="F206:G206" si="23">F196</f>
        <v>82</v>
      </c>
      <c r="G206" s="77">
        <f t="shared" si="23"/>
        <v>17.739999999999998</v>
      </c>
      <c r="H206" s="100"/>
      <c r="I206" s="100"/>
      <c r="J206" s="6"/>
      <c r="M206" s="63"/>
      <c r="N206" s="63"/>
      <c r="O206" s="58"/>
      <c r="P206" s="59"/>
      <c r="Q206" s="60"/>
      <c r="R206" s="10"/>
      <c r="S206" s="61"/>
      <c r="T206" s="10"/>
      <c r="U206" s="62"/>
    </row>
    <row r="207" spans="2:21" x14ac:dyDescent="0.25">
      <c r="B207" s="50"/>
      <c r="C207" s="50"/>
      <c r="D207" s="50"/>
      <c r="E207" s="50" t="s">
        <v>142</v>
      </c>
      <c r="F207" s="74">
        <f t="shared" ref="F207:H209" si="24">F197</f>
        <v>84</v>
      </c>
      <c r="G207" s="77">
        <f t="shared" si="24"/>
        <v>20.74</v>
      </c>
      <c r="H207" s="100"/>
      <c r="I207" s="102"/>
      <c r="J207" s="6"/>
      <c r="M207" s="63"/>
      <c r="N207" s="63"/>
      <c r="O207" s="58"/>
      <c r="P207" s="59"/>
      <c r="Q207" s="60"/>
      <c r="R207" s="10"/>
      <c r="S207" s="61"/>
      <c r="T207" s="10"/>
      <c r="U207" s="62"/>
    </row>
    <row r="208" spans="2:21" x14ac:dyDescent="0.25">
      <c r="B208" s="50"/>
      <c r="C208" s="50"/>
      <c r="D208" s="50"/>
      <c r="E208" s="50"/>
      <c r="F208" s="74">
        <f t="shared" si="24"/>
        <v>86</v>
      </c>
      <c r="G208" s="77">
        <f t="shared" si="24"/>
        <v>23.74</v>
      </c>
      <c r="H208" s="100"/>
      <c r="I208" s="50"/>
      <c r="J208" s="6"/>
      <c r="M208" s="63"/>
      <c r="N208" s="63"/>
      <c r="O208" s="58"/>
      <c r="P208" s="59"/>
      <c r="Q208" s="60"/>
      <c r="R208" s="10"/>
      <c r="S208" s="61"/>
      <c r="T208" s="10"/>
      <c r="U208" s="62"/>
    </row>
    <row r="209" spans="2:21" x14ac:dyDescent="0.25">
      <c r="B209" s="50"/>
      <c r="C209" s="50"/>
      <c r="D209" s="50"/>
      <c r="E209" s="50"/>
      <c r="F209" s="75">
        <f t="shared" si="24"/>
        <v>88</v>
      </c>
      <c r="G209" s="81">
        <f t="shared" si="24"/>
        <v>29.74</v>
      </c>
      <c r="H209" s="101">
        <f t="shared" si="24"/>
        <v>5</v>
      </c>
      <c r="I209" s="100"/>
      <c r="J209" s="6"/>
      <c r="M209" s="63"/>
      <c r="N209" s="63"/>
      <c r="O209" s="58"/>
      <c r="P209" s="59"/>
      <c r="Q209" s="60"/>
      <c r="R209" s="10"/>
      <c r="S209" s="61"/>
      <c r="T209" s="10"/>
      <c r="U209" s="62"/>
    </row>
    <row r="210" spans="2:21" x14ac:dyDescent="0.25">
      <c r="B210" s="74">
        <f>B200</f>
        <v>7</v>
      </c>
      <c r="C210" s="77">
        <f t="shared" ref="C210:G210" si="25">C200</f>
        <v>219.92</v>
      </c>
      <c r="D210" s="74">
        <f>D73</f>
        <v>4</v>
      </c>
      <c r="E210" s="74">
        <f>-E200</f>
        <v>-3.66</v>
      </c>
      <c r="F210" s="74">
        <f t="shared" si="25"/>
        <v>82</v>
      </c>
      <c r="G210" s="74">
        <f t="shared" si="25"/>
        <v>17.739999999999998</v>
      </c>
      <c r="H210" s="102"/>
      <c r="I210" s="100"/>
      <c r="J210" s="6"/>
      <c r="M210" s="63"/>
      <c r="N210" s="63"/>
      <c r="O210" s="58"/>
      <c r="P210" s="59"/>
      <c r="Q210" s="60"/>
      <c r="R210" s="10"/>
      <c r="S210" s="61"/>
      <c r="T210" s="10"/>
      <c r="U210" s="62"/>
    </row>
    <row r="211" spans="2:21" x14ac:dyDescent="0.25">
      <c r="B211" s="50"/>
      <c r="C211" s="50"/>
      <c r="D211" s="50"/>
      <c r="E211" s="50"/>
      <c r="F211" s="74">
        <f t="shared" ref="F211:G211" si="26">F201</f>
        <v>84</v>
      </c>
      <c r="G211" s="74">
        <f t="shared" si="26"/>
        <v>20.74</v>
      </c>
      <c r="H211" s="102"/>
      <c r="I211" s="100"/>
      <c r="J211" s="6"/>
      <c r="M211" s="63"/>
      <c r="N211" s="63"/>
      <c r="O211" s="58"/>
      <c r="P211" s="59"/>
      <c r="Q211" s="60"/>
      <c r="R211" s="10"/>
      <c r="S211" s="61"/>
      <c r="T211" s="10"/>
      <c r="U211" s="62"/>
    </row>
    <row r="212" spans="2:21" x14ac:dyDescent="0.25">
      <c r="B212" s="50"/>
      <c r="C212" s="50"/>
      <c r="D212" s="50"/>
      <c r="E212" s="50"/>
      <c r="F212" s="74">
        <f t="shared" ref="F212:G212" si="27">F202</f>
        <v>86</v>
      </c>
      <c r="G212" s="74">
        <f t="shared" si="27"/>
        <v>23.74</v>
      </c>
      <c r="H212" s="102"/>
      <c r="I212" s="100"/>
      <c r="J212" s="6"/>
      <c r="M212" s="63"/>
      <c r="N212" s="63"/>
      <c r="O212" s="58"/>
      <c r="P212" s="59"/>
      <c r="Q212" s="60"/>
      <c r="R212" s="10"/>
      <c r="S212" s="61"/>
      <c r="T212" s="10"/>
      <c r="U212" s="62"/>
    </row>
    <row r="213" spans="2:21" ht="15.75" thickBot="1" x14ac:dyDescent="0.3">
      <c r="B213" s="103"/>
      <c r="C213" s="103"/>
      <c r="D213" s="103"/>
      <c r="E213" s="103"/>
      <c r="F213" s="104">
        <f t="shared" ref="F213:H213" si="28">F203</f>
        <v>88</v>
      </c>
      <c r="G213" s="104">
        <f t="shared" si="28"/>
        <v>29.74</v>
      </c>
      <c r="H213" s="74">
        <f t="shared" si="28"/>
        <v>5</v>
      </c>
      <c r="I213" s="102"/>
      <c r="J213" s="6"/>
      <c r="M213" s="63"/>
      <c r="N213" s="63"/>
      <c r="O213" s="58"/>
      <c r="P213" s="59"/>
      <c r="Q213" s="60"/>
      <c r="R213" s="10"/>
      <c r="S213" s="61"/>
      <c r="T213" s="10"/>
      <c r="U213" s="62"/>
    </row>
    <row r="214" spans="2:21" x14ac:dyDescent="0.25">
      <c r="B214" s="71">
        <f>2*J60-1</f>
        <v>5</v>
      </c>
      <c r="C214" s="78">
        <f>C$98+('Variables auxiliares'!F$24-2-'slots con grua'!J60)*Datos!J$5</f>
        <v>225.98</v>
      </c>
      <c r="D214" s="71">
        <f>D58</f>
        <v>1</v>
      </c>
      <c r="E214" s="71">
        <f>E170</f>
        <v>1.22</v>
      </c>
      <c r="F214" s="48">
        <f>F204</f>
        <v>2</v>
      </c>
      <c r="G214" s="78">
        <f>G170</f>
        <v>3.06</v>
      </c>
      <c r="H214" s="50"/>
      <c r="I214" s="102"/>
      <c r="J214" s="6"/>
      <c r="M214" s="63"/>
      <c r="N214" s="63"/>
      <c r="O214" s="58"/>
      <c r="P214" s="59"/>
      <c r="Q214" s="60"/>
      <c r="R214" s="10"/>
      <c r="S214" s="61"/>
      <c r="T214" s="10"/>
      <c r="U214" s="62"/>
    </row>
    <row r="215" spans="2:21" x14ac:dyDescent="0.25">
      <c r="B215" s="50"/>
      <c r="C215" s="50"/>
      <c r="D215" s="50"/>
      <c r="E215" s="50"/>
      <c r="F215" s="74">
        <f>F171</f>
        <v>4</v>
      </c>
      <c r="G215" s="77">
        <f>G171</f>
        <v>6.0600000000000005</v>
      </c>
      <c r="H215" s="100"/>
      <c r="I215" s="102"/>
      <c r="J215" s="6"/>
      <c r="M215" s="63"/>
      <c r="N215" s="63"/>
      <c r="O215" s="58"/>
      <c r="P215" s="59"/>
      <c r="Q215" s="60"/>
      <c r="R215" s="10"/>
      <c r="S215" s="61"/>
      <c r="T215" s="10"/>
      <c r="U215" s="62"/>
    </row>
    <row r="216" spans="2:21" x14ac:dyDescent="0.25">
      <c r="B216" s="50"/>
      <c r="C216" s="50"/>
      <c r="D216" s="50"/>
      <c r="E216" s="50"/>
      <c r="F216" s="74">
        <f t="shared" ref="F216:G219" si="29">F200</f>
        <v>82</v>
      </c>
      <c r="G216" s="77">
        <f t="shared" si="29"/>
        <v>17.739999999999998</v>
      </c>
      <c r="H216" s="100"/>
      <c r="I216" s="102"/>
      <c r="J216" s="6"/>
      <c r="M216" s="63"/>
      <c r="N216" s="63"/>
      <c r="O216" s="58"/>
      <c r="P216" s="59"/>
      <c r="Q216" s="60"/>
      <c r="R216" s="10"/>
      <c r="S216" s="61"/>
      <c r="T216" s="10"/>
      <c r="U216" s="62"/>
    </row>
    <row r="217" spans="2:21" x14ac:dyDescent="0.25">
      <c r="B217" s="50"/>
      <c r="C217" s="50"/>
      <c r="D217" s="50"/>
      <c r="E217" s="50" t="s">
        <v>141</v>
      </c>
      <c r="F217" s="74">
        <f t="shared" si="29"/>
        <v>84</v>
      </c>
      <c r="G217" s="77">
        <f t="shared" si="29"/>
        <v>20.74</v>
      </c>
      <c r="H217" s="50"/>
      <c r="I217" s="116"/>
      <c r="J217" s="6"/>
      <c r="M217" s="63"/>
      <c r="N217" s="63"/>
      <c r="O217" s="58"/>
      <c r="P217" s="59"/>
      <c r="Q217" s="60"/>
      <c r="R217" s="10"/>
      <c r="S217" s="61"/>
      <c r="T217" s="10"/>
      <c r="U217" s="62"/>
    </row>
    <row r="218" spans="2:21" x14ac:dyDescent="0.25">
      <c r="B218" s="50"/>
      <c r="C218" s="50"/>
      <c r="D218" s="50"/>
      <c r="E218" s="50"/>
      <c r="F218" s="74">
        <f t="shared" si="29"/>
        <v>86</v>
      </c>
      <c r="G218" s="77">
        <f t="shared" si="29"/>
        <v>23.74</v>
      </c>
      <c r="H218" s="50"/>
      <c r="I218" s="50"/>
      <c r="J218" s="6"/>
      <c r="M218" s="63"/>
      <c r="N218" s="63"/>
      <c r="O218" s="58"/>
      <c r="P218" s="59"/>
      <c r="Q218" s="60"/>
      <c r="R218" s="10"/>
      <c r="S218" s="61"/>
      <c r="T218" s="10"/>
      <c r="U218" s="62"/>
    </row>
    <row r="219" spans="2:21" x14ac:dyDescent="0.25">
      <c r="B219" s="50"/>
      <c r="C219" s="50"/>
      <c r="D219" s="50"/>
      <c r="E219" s="50"/>
      <c r="F219" s="74">
        <f t="shared" si="29"/>
        <v>88</v>
      </c>
      <c r="G219" s="72">
        <f t="shared" si="29"/>
        <v>29.74</v>
      </c>
      <c r="H219" s="101">
        <f>INT(((3*Datos!C$6-'slots con grua'!C214)*TAN('Variables auxiliares'!C$40)-Datos!C$8+'Variables auxiliares'!F$54)/Datos!J$8)</f>
        <v>5</v>
      </c>
      <c r="I219" s="100"/>
      <c r="J219" s="6"/>
      <c r="M219" s="63"/>
      <c r="N219" s="63"/>
      <c r="O219" s="58"/>
      <c r="P219" s="59"/>
      <c r="Q219" s="60"/>
      <c r="R219" s="10"/>
      <c r="S219" s="61"/>
      <c r="T219" s="10"/>
      <c r="U219" s="62"/>
    </row>
    <row r="220" spans="2:21" x14ac:dyDescent="0.25">
      <c r="B220" s="74">
        <f>B214</f>
        <v>5</v>
      </c>
      <c r="C220" s="77">
        <f>C214</f>
        <v>225.98</v>
      </c>
      <c r="D220" s="74">
        <f>D63</f>
        <v>3</v>
      </c>
      <c r="E220" s="74">
        <f>E177</f>
        <v>3.66</v>
      </c>
      <c r="F220" s="74">
        <f t="shared" ref="F220:G223" si="30">F216</f>
        <v>82</v>
      </c>
      <c r="G220" s="77">
        <f t="shared" si="30"/>
        <v>17.739999999999998</v>
      </c>
      <c r="H220" s="100"/>
      <c r="I220" s="100"/>
      <c r="J220" s="6"/>
      <c r="M220" s="63"/>
      <c r="N220" s="63"/>
      <c r="O220" s="58"/>
      <c r="P220" s="59"/>
      <c r="Q220" s="60"/>
      <c r="R220" s="10"/>
      <c r="S220" s="61"/>
      <c r="T220" s="10"/>
      <c r="U220" s="62"/>
    </row>
    <row r="221" spans="2:21" x14ac:dyDescent="0.25">
      <c r="B221" s="50"/>
      <c r="C221" s="50"/>
      <c r="D221" s="50"/>
      <c r="E221" s="50"/>
      <c r="F221" s="74">
        <f t="shared" si="30"/>
        <v>84</v>
      </c>
      <c r="G221" s="77">
        <f t="shared" si="30"/>
        <v>20.74</v>
      </c>
      <c r="H221" s="50"/>
      <c r="I221" s="50"/>
      <c r="J221" s="6"/>
      <c r="M221" s="63"/>
      <c r="N221" s="63"/>
      <c r="O221" s="58"/>
      <c r="P221" s="59"/>
      <c r="Q221" s="60"/>
      <c r="R221" s="10"/>
      <c r="S221" s="61"/>
      <c r="T221" s="10"/>
      <c r="U221" s="62"/>
    </row>
    <row r="222" spans="2:21" x14ac:dyDescent="0.25">
      <c r="B222" s="50"/>
      <c r="C222" s="50"/>
      <c r="D222" s="50"/>
      <c r="E222" s="50"/>
      <c r="F222" s="74">
        <f t="shared" si="30"/>
        <v>86</v>
      </c>
      <c r="G222" s="77">
        <f t="shared" si="30"/>
        <v>23.74</v>
      </c>
      <c r="H222" s="50"/>
      <c r="I222" s="50"/>
      <c r="J222" s="6"/>
      <c r="M222" s="63"/>
      <c r="N222" s="63"/>
      <c r="O222" s="58"/>
      <c r="P222" s="59"/>
      <c r="Q222" s="60"/>
      <c r="R222" s="10"/>
      <c r="S222" s="61"/>
      <c r="T222" s="10"/>
      <c r="U222" s="62"/>
    </row>
    <row r="223" spans="2:21" x14ac:dyDescent="0.25">
      <c r="B223" s="50"/>
      <c r="C223" s="50"/>
      <c r="D223" s="50"/>
      <c r="E223" s="50"/>
      <c r="F223" s="75">
        <f t="shared" si="30"/>
        <v>88</v>
      </c>
      <c r="G223" s="81">
        <f t="shared" si="30"/>
        <v>29.74</v>
      </c>
      <c r="H223" s="101">
        <f>H219</f>
        <v>5</v>
      </c>
      <c r="I223" s="102"/>
      <c r="J223" s="6"/>
      <c r="M223" s="63"/>
      <c r="N223" s="63"/>
      <c r="O223" s="58"/>
      <c r="P223" s="59"/>
      <c r="Q223" s="60"/>
      <c r="R223" s="10"/>
      <c r="S223" s="61"/>
      <c r="T223" s="10"/>
      <c r="U223" s="62"/>
    </row>
    <row r="224" spans="2:21" x14ac:dyDescent="0.25">
      <c r="B224" s="74">
        <f>B214</f>
        <v>5</v>
      </c>
      <c r="C224" s="77">
        <f>C214</f>
        <v>225.98</v>
      </c>
      <c r="D224" s="74">
        <f>D68</f>
        <v>2</v>
      </c>
      <c r="E224" s="74">
        <f>-E214</f>
        <v>-1.22</v>
      </c>
      <c r="F224" s="1">
        <f t="shared" ref="F224:G233" si="31">F214</f>
        <v>2</v>
      </c>
      <c r="G224" s="77">
        <f t="shared" si="31"/>
        <v>3.06</v>
      </c>
      <c r="H224" s="50"/>
      <c r="I224" s="100"/>
      <c r="J224" s="6"/>
      <c r="M224" s="63"/>
      <c r="N224" s="63"/>
      <c r="O224" s="58"/>
      <c r="P224" s="59"/>
      <c r="Q224" s="60"/>
      <c r="R224" s="10"/>
      <c r="S224" s="61"/>
      <c r="T224" s="10"/>
      <c r="U224" s="62"/>
    </row>
    <row r="225" spans="2:21" x14ac:dyDescent="0.25">
      <c r="B225" s="50"/>
      <c r="C225" s="50"/>
      <c r="D225" s="50"/>
      <c r="E225" s="50"/>
      <c r="F225" s="74">
        <f t="shared" si="31"/>
        <v>4</v>
      </c>
      <c r="G225" s="77">
        <f t="shared" si="31"/>
        <v>6.0600000000000005</v>
      </c>
      <c r="H225" s="50"/>
      <c r="I225" s="50"/>
      <c r="J225" s="6"/>
      <c r="M225" s="63"/>
      <c r="N225" s="63"/>
      <c r="O225" s="58"/>
      <c r="P225" s="59"/>
      <c r="Q225" s="60"/>
      <c r="R225" s="10"/>
      <c r="S225" s="61"/>
      <c r="T225" s="10"/>
      <c r="U225" s="62"/>
    </row>
    <row r="226" spans="2:21" x14ac:dyDescent="0.25">
      <c r="B226" s="50"/>
      <c r="C226" s="50"/>
      <c r="D226" s="50"/>
      <c r="E226" s="50"/>
      <c r="F226" s="74">
        <f t="shared" si="31"/>
        <v>82</v>
      </c>
      <c r="G226" s="77">
        <f t="shared" si="31"/>
        <v>17.739999999999998</v>
      </c>
      <c r="H226" s="50"/>
      <c r="I226" s="50"/>
      <c r="J226" s="6"/>
      <c r="M226" s="63"/>
      <c r="N226" s="63"/>
      <c r="O226" s="58"/>
      <c r="P226" s="59"/>
      <c r="Q226" s="60"/>
      <c r="R226" s="10"/>
      <c r="S226" s="61"/>
      <c r="T226" s="10"/>
      <c r="U226" s="62"/>
    </row>
    <row r="227" spans="2:21" x14ac:dyDescent="0.25">
      <c r="B227" s="50"/>
      <c r="C227" s="50"/>
      <c r="D227" s="50"/>
      <c r="E227" s="50" t="s">
        <v>142</v>
      </c>
      <c r="F227" s="74">
        <f t="shared" si="31"/>
        <v>84</v>
      </c>
      <c r="G227" s="77">
        <f t="shared" si="31"/>
        <v>20.74</v>
      </c>
      <c r="H227" s="50"/>
      <c r="I227" s="102"/>
      <c r="J227" s="6"/>
      <c r="M227" s="63"/>
      <c r="N227" s="63"/>
      <c r="O227" s="58"/>
      <c r="P227" s="59"/>
      <c r="Q227" s="60"/>
      <c r="R227" s="10"/>
      <c r="S227" s="61"/>
      <c r="T227" s="10"/>
      <c r="U227" s="62"/>
    </row>
    <row r="228" spans="2:21" x14ac:dyDescent="0.25">
      <c r="B228" s="50"/>
      <c r="C228" s="50"/>
      <c r="D228" s="50"/>
      <c r="E228" s="50"/>
      <c r="F228" s="74">
        <f t="shared" si="31"/>
        <v>86</v>
      </c>
      <c r="G228" s="77">
        <f t="shared" si="31"/>
        <v>23.74</v>
      </c>
      <c r="H228" s="50"/>
      <c r="I228" s="50"/>
      <c r="J228" s="6"/>
      <c r="M228" s="63"/>
      <c r="N228" s="63"/>
      <c r="O228" s="58"/>
      <c r="P228" s="59"/>
      <c r="Q228" s="60"/>
      <c r="R228" s="10"/>
      <c r="S228" s="61"/>
      <c r="T228" s="10"/>
      <c r="U228" s="62"/>
    </row>
    <row r="229" spans="2:21" x14ac:dyDescent="0.25">
      <c r="B229" s="50"/>
      <c r="C229" s="50"/>
      <c r="D229" s="50"/>
      <c r="E229" s="50"/>
      <c r="F229" s="75">
        <f t="shared" si="31"/>
        <v>88</v>
      </c>
      <c r="G229" s="81">
        <f t="shared" si="31"/>
        <v>29.74</v>
      </c>
      <c r="H229" s="101">
        <f>H219</f>
        <v>5</v>
      </c>
      <c r="I229" s="50"/>
      <c r="J229" s="6"/>
      <c r="M229" s="63"/>
      <c r="N229" s="63"/>
      <c r="O229" s="58"/>
      <c r="P229" s="59"/>
      <c r="Q229" s="60"/>
      <c r="R229" s="10"/>
      <c r="S229" s="61"/>
      <c r="T229" s="10"/>
      <c r="U229" s="62"/>
    </row>
    <row r="230" spans="2:21" x14ac:dyDescent="0.25">
      <c r="B230" s="74">
        <f>B224</f>
        <v>5</v>
      </c>
      <c r="C230" s="77">
        <f>C220</f>
        <v>225.98</v>
      </c>
      <c r="D230" s="74">
        <f>D73</f>
        <v>4</v>
      </c>
      <c r="E230" s="74">
        <f>-E220</f>
        <v>-3.66</v>
      </c>
      <c r="F230" s="74">
        <f t="shared" si="31"/>
        <v>82</v>
      </c>
      <c r="G230" s="77">
        <f t="shared" si="31"/>
        <v>17.739999999999998</v>
      </c>
      <c r="H230" s="50"/>
      <c r="I230" s="50"/>
      <c r="J230" s="6"/>
      <c r="M230" s="63"/>
      <c r="N230" s="63"/>
      <c r="O230" s="58"/>
      <c r="P230" s="59"/>
      <c r="Q230" s="60"/>
      <c r="R230" s="10"/>
      <c r="S230" s="61"/>
      <c r="T230" s="10"/>
      <c r="U230" s="62"/>
    </row>
    <row r="231" spans="2:21" x14ac:dyDescent="0.25">
      <c r="B231" s="50"/>
      <c r="C231" s="50"/>
      <c r="D231" s="50"/>
      <c r="E231" s="50"/>
      <c r="F231" s="74">
        <f t="shared" si="31"/>
        <v>84</v>
      </c>
      <c r="G231" s="77">
        <f t="shared" si="31"/>
        <v>20.74</v>
      </c>
      <c r="H231" s="50"/>
      <c r="I231" s="50"/>
      <c r="J231" s="6"/>
      <c r="M231" s="63"/>
      <c r="N231" s="63"/>
      <c r="O231" s="58"/>
      <c r="P231" s="59"/>
      <c r="Q231" s="60"/>
      <c r="R231" s="10"/>
      <c r="S231" s="61"/>
      <c r="T231" s="10"/>
      <c r="U231" s="62"/>
    </row>
    <row r="232" spans="2:21" x14ac:dyDescent="0.25">
      <c r="B232" s="50"/>
      <c r="C232" s="50"/>
      <c r="D232" s="50"/>
      <c r="E232" s="50"/>
      <c r="F232" s="74">
        <f t="shared" si="31"/>
        <v>86</v>
      </c>
      <c r="G232" s="77">
        <f t="shared" si="31"/>
        <v>23.74</v>
      </c>
      <c r="H232" s="50"/>
      <c r="I232" s="50"/>
      <c r="J232" s="6"/>
      <c r="M232" s="63"/>
      <c r="N232" s="63"/>
      <c r="O232" s="58"/>
      <c r="P232" s="59"/>
      <c r="Q232" s="60"/>
      <c r="R232" s="10"/>
      <c r="S232" s="61"/>
      <c r="T232" s="10"/>
      <c r="U232" s="62"/>
    </row>
    <row r="233" spans="2:21" ht="15.75" thickBot="1" x14ac:dyDescent="0.3">
      <c r="B233" s="103"/>
      <c r="C233" s="103"/>
      <c r="D233" s="103"/>
      <c r="E233" s="103"/>
      <c r="F233" s="104">
        <f t="shared" si="31"/>
        <v>88</v>
      </c>
      <c r="G233" s="127">
        <f t="shared" si="31"/>
        <v>29.74</v>
      </c>
      <c r="H233" s="101">
        <f>H223</f>
        <v>5</v>
      </c>
      <c r="I233" s="102"/>
      <c r="J233" s="6"/>
      <c r="M233" s="63"/>
      <c r="N233" s="63"/>
      <c r="O233" s="58"/>
      <c r="P233" s="59"/>
      <c r="Q233" s="60"/>
      <c r="R233" s="10"/>
      <c r="S233" s="61"/>
      <c r="T233" s="10"/>
      <c r="U233" s="62"/>
    </row>
    <row r="234" spans="2:21" x14ac:dyDescent="0.25">
      <c r="B234" s="123">
        <f>2*J59-1</f>
        <v>3</v>
      </c>
      <c r="C234" s="125">
        <f>C$98+('Variables auxiliares'!F$24-2-'slots con grua'!J59)*Datos!J$5</f>
        <v>232.03999999999996</v>
      </c>
      <c r="D234" s="28">
        <f>D214</f>
        <v>1</v>
      </c>
      <c r="E234" s="28">
        <f>E214</f>
        <v>1.22</v>
      </c>
      <c r="F234" s="28">
        <f>F214</f>
        <v>2</v>
      </c>
      <c r="G234" s="29">
        <f>G214</f>
        <v>3.06</v>
      </c>
      <c r="I234" s="50"/>
      <c r="J234" s="6"/>
      <c r="M234" s="63"/>
      <c r="N234" s="63"/>
      <c r="O234" s="58"/>
      <c r="P234" s="59"/>
      <c r="Q234" s="60"/>
      <c r="R234" s="10"/>
      <c r="S234" s="61"/>
      <c r="T234" s="10"/>
      <c r="U234" s="62"/>
    </row>
    <row r="235" spans="2:21" x14ac:dyDescent="0.25">
      <c r="F235" s="1">
        <f>F215</f>
        <v>4</v>
      </c>
      <c r="G235" s="25">
        <f>G215</f>
        <v>6.0600000000000005</v>
      </c>
      <c r="I235" s="50"/>
      <c r="J235" s="6"/>
      <c r="M235" s="63"/>
      <c r="N235" s="63"/>
      <c r="O235" s="58"/>
      <c r="P235" s="59"/>
      <c r="Q235" s="60"/>
      <c r="R235" s="10"/>
      <c r="S235" s="61"/>
      <c r="T235" s="10"/>
      <c r="U235" s="62"/>
    </row>
    <row r="236" spans="2:21" x14ac:dyDescent="0.25">
      <c r="E236" t="s">
        <v>141</v>
      </c>
      <c r="F236" s="1">
        <f t="shared" ref="F236:G236" si="32">F216</f>
        <v>82</v>
      </c>
      <c r="G236" s="25">
        <f t="shared" si="32"/>
        <v>17.739999999999998</v>
      </c>
      <c r="I236" s="50"/>
      <c r="J236" s="6"/>
      <c r="M236" s="63"/>
      <c r="N236" s="63"/>
      <c r="O236" s="58"/>
      <c r="P236" s="59"/>
      <c r="Q236" s="60"/>
      <c r="R236" s="10"/>
      <c r="S236" s="61"/>
      <c r="T236" s="10"/>
      <c r="U236" s="62"/>
    </row>
    <row r="237" spans="2:21" x14ac:dyDescent="0.25">
      <c r="F237" s="1">
        <f t="shared" ref="F237:G237" si="33">F217</f>
        <v>84</v>
      </c>
      <c r="G237" s="25">
        <f t="shared" si="33"/>
        <v>20.74</v>
      </c>
      <c r="I237" s="102"/>
      <c r="J237" s="6"/>
      <c r="M237" s="63"/>
      <c r="N237" s="63"/>
      <c r="O237" s="58"/>
      <c r="P237" s="59"/>
      <c r="Q237" s="60"/>
      <c r="R237" s="10"/>
      <c r="S237" s="61"/>
      <c r="T237" s="10"/>
      <c r="U237" s="62"/>
    </row>
    <row r="238" spans="2:21" x14ac:dyDescent="0.25">
      <c r="D238" s="91"/>
      <c r="E238" s="91"/>
      <c r="F238" s="1">
        <f t="shared" ref="F238:G238" si="34">F218</f>
        <v>86</v>
      </c>
      <c r="G238" s="25">
        <f t="shared" si="34"/>
        <v>23.74</v>
      </c>
      <c r="H238" s="89"/>
      <c r="I238" s="89"/>
      <c r="J238" s="6"/>
      <c r="M238" s="63"/>
      <c r="N238" s="63"/>
      <c r="O238" s="58"/>
      <c r="P238" s="59"/>
      <c r="Q238" s="60"/>
      <c r="R238" s="10"/>
      <c r="S238" s="61"/>
      <c r="T238" s="10"/>
      <c r="U238" s="62"/>
    </row>
    <row r="239" spans="2:21" x14ac:dyDescent="0.25">
      <c r="B239" s="89"/>
      <c r="C239" s="89"/>
      <c r="D239" s="89"/>
      <c r="E239" s="89"/>
      <c r="F239" s="1">
        <f t="shared" ref="F239:G239" si="35">F219</f>
        <v>88</v>
      </c>
      <c r="G239" s="25">
        <f t="shared" si="35"/>
        <v>29.74</v>
      </c>
      <c r="H239" s="120">
        <f>INT(((3*Datos!C$6-'slots con grua'!C234)*TAN('Variables auxiliares'!C$40)-Datos!C$8+'Variables auxiliares'!F$54)/Datos!J$8)</f>
        <v>5</v>
      </c>
      <c r="I239" s="89"/>
      <c r="J239" s="6"/>
      <c r="M239" s="63"/>
      <c r="N239" s="63"/>
      <c r="O239" s="58"/>
      <c r="P239" s="59"/>
      <c r="Q239" s="60"/>
      <c r="R239" s="10"/>
      <c r="S239" s="61"/>
      <c r="T239" s="10"/>
      <c r="U239" s="62"/>
    </row>
    <row r="240" spans="2:21" x14ac:dyDescent="0.25">
      <c r="B240" s="120">
        <f>B234</f>
        <v>3</v>
      </c>
      <c r="C240" s="121">
        <f>C234</f>
        <v>232.03999999999996</v>
      </c>
      <c r="D240" s="120">
        <f>D220</f>
        <v>3</v>
      </c>
      <c r="E240" s="120">
        <f>E220</f>
        <v>3.66</v>
      </c>
      <c r="F240" s="120">
        <f>F220</f>
        <v>82</v>
      </c>
      <c r="G240" s="120">
        <f>G220</f>
        <v>17.739999999999998</v>
      </c>
      <c r="H240" s="119"/>
      <c r="I240" s="89"/>
      <c r="J240" s="6"/>
      <c r="M240" s="63"/>
      <c r="N240" s="63"/>
      <c r="O240" s="58"/>
      <c r="P240" s="59"/>
      <c r="Q240" s="60"/>
      <c r="R240" s="10"/>
      <c r="S240" s="61"/>
      <c r="T240" s="10"/>
      <c r="U240" s="62"/>
    </row>
    <row r="241" spans="2:21" x14ac:dyDescent="0.25">
      <c r="B241" s="119"/>
      <c r="C241" s="119"/>
      <c r="D241" s="119"/>
      <c r="E241" s="119"/>
      <c r="F241" s="120">
        <f t="shared" ref="F241:G241" si="36">F221</f>
        <v>84</v>
      </c>
      <c r="G241" s="120">
        <f t="shared" si="36"/>
        <v>20.74</v>
      </c>
      <c r="H241" s="119"/>
      <c r="I241" s="89"/>
      <c r="J241" s="6"/>
      <c r="M241" s="63"/>
      <c r="N241" s="63"/>
      <c r="O241" s="58"/>
      <c r="P241" s="59"/>
      <c r="Q241" s="60"/>
      <c r="R241" s="10"/>
      <c r="S241" s="61"/>
      <c r="T241" s="10"/>
      <c r="U241" s="62"/>
    </row>
    <row r="242" spans="2:21" x14ac:dyDescent="0.25">
      <c r="B242" s="112"/>
      <c r="C242" s="122"/>
      <c r="D242" s="119"/>
      <c r="E242" s="119"/>
      <c r="F242" s="120">
        <f t="shared" ref="F242:G242" si="37">F222</f>
        <v>86</v>
      </c>
      <c r="G242" s="120">
        <f t="shared" si="37"/>
        <v>23.74</v>
      </c>
      <c r="H242" s="119"/>
      <c r="I242" s="89"/>
      <c r="J242" s="6"/>
      <c r="M242" s="63"/>
      <c r="N242" s="63"/>
      <c r="O242" s="58"/>
      <c r="P242" s="59"/>
      <c r="Q242" s="60"/>
      <c r="R242" s="10"/>
      <c r="S242" s="61"/>
      <c r="T242" s="10"/>
      <c r="U242" s="62"/>
    </row>
    <row r="243" spans="2:21" x14ac:dyDescent="0.25">
      <c r="B243" s="112"/>
      <c r="C243" s="122"/>
      <c r="D243" s="119"/>
      <c r="E243" s="119"/>
      <c r="F243" s="120">
        <f t="shared" ref="F243:G243" si="38">F223</f>
        <v>88</v>
      </c>
      <c r="G243" s="120">
        <f t="shared" si="38"/>
        <v>29.74</v>
      </c>
      <c r="H243" s="126">
        <f>H239</f>
        <v>5</v>
      </c>
      <c r="I243" s="90"/>
      <c r="J243" s="6"/>
      <c r="M243" s="63"/>
      <c r="N243" s="63"/>
      <c r="O243" s="58"/>
      <c r="P243" s="59"/>
      <c r="Q243" s="60"/>
      <c r="R243" s="10"/>
      <c r="S243" s="61"/>
      <c r="T243" s="10"/>
      <c r="U243" s="62"/>
    </row>
    <row r="244" spans="2:21" x14ac:dyDescent="0.25">
      <c r="B244" s="1">
        <f>B240</f>
        <v>3</v>
      </c>
      <c r="C244" s="25">
        <f>C240</f>
        <v>232.03999999999996</v>
      </c>
      <c r="D244" s="120">
        <f>D224</f>
        <v>2</v>
      </c>
      <c r="E244" s="120">
        <f>E224</f>
        <v>-1.22</v>
      </c>
      <c r="F244" s="120">
        <f t="shared" ref="F244:G244" si="39">F224</f>
        <v>2</v>
      </c>
      <c r="G244" s="121">
        <f t="shared" si="39"/>
        <v>3.06</v>
      </c>
      <c r="H244" s="89"/>
      <c r="I244" s="89"/>
      <c r="J244" s="6"/>
      <c r="M244" s="63"/>
      <c r="N244" s="63"/>
      <c r="O244" s="58"/>
      <c r="P244" s="59"/>
      <c r="Q244" s="60"/>
      <c r="R244" s="10"/>
      <c r="S244" s="61"/>
      <c r="T244" s="10"/>
      <c r="U244" s="62"/>
    </row>
    <row r="245" spans="2:21" x14ac:dyDescent="0.25">
      <c r="B245" s="89"/>
      <c r="C245" s="89"/>
      <c r="D245" s="119"/>
      <c r="E245" s="119"/>
      <c r="F245" s="120">
        <f t="shared" ref="F245:G245" si="40">F225</f>
        <v>4</v>
      </c>
      <c r="G245" s="121">
        <f t="shared" si="40"/>
        <v>6.0600000000000005</v>
      </c>
      <c r="H245" s="89"/>
      <c r="I245" s="89"/>
      <c r="J245" s="6"/>
      <c r="M245" s="63"/>
      <c r="N245" s="63"/>
      <c r="O245" s="58"/>
      <c r="P245" s="59"/>
      <c r="Q245" s="60"/>
      <c r="R245" s="10"/>
      <c r="S245" s="61"/>
      <c r="T245" s="10"/>
      <c r="U245" s="62"/>
    </row>
    <row r="246" spans="2:21" x14ac:dyDescent="0.25">
      <c r="B246" s="89"/>
      <c r="C246" s="89"/>
      <c r="D246" s="119"/>
      <c r="E246" s="119"/>
      <c r="F246" s="120">
        <f t="shared" ref="F246:G246" si="41">F226</f>
        <v>82</v>
      </c>
      <c r="G246" s="121">
        <f t="shared" si="41"/>
        <v>17.739999999999998</v>
      </c>
      <c r="H246" s="89"/>
      <c r="I246" s="89"/>
      <c r="J246" s="6"/>
      <c r="M246" s="63"/>
      <c r="N246" s="63"/>
      <c r="O246" s="58"/>
      <c r="P246" s="59"/>
      <c r="Q246" s="60"/>
      <c r="R246" s="10"/>
      <c r="S246" s="61"/>
      <c r="T246" s="10"/>
      <c r="U246" s="62"/>
    </row>
    <row r="247" spans="2:21" x14ac:dyDescent="0.25">
      <c r="B247" s="89"/>
      <c r="C247" s="89"/>
      <c r="D247" s="119"/>
      <c r="E247" s="119" t="s">
        <v>142</v>
      </c>
      <c r="F247" s="120">
        <f t="shared" ref="F247:G247" si="42">F227</f>
        <v>84</v>
      </c>
      <c r="G247" s="121">
        <f t="shared" si="42"/>
        <v>20.74</v>
      </c>
      <c r="H247" s="91"/>
      <c r="I247" s="91"/>
      <c r="J247" s="6"/>
      <c r="M247" s="63"/>
      <c r="N247" s="63"/>
      <c r="O247" s="58"/>
      <c r="P247" s="59"/>
      <c r="Q247" s="60"/>
      <c r="R247" s="10"/>
      <c r="S247" s="61"/>
      <c r="T247" s="10"/>
      <c r="U247" s="62"/>
    </row>
    <row r="248" spans="2:21" x14ac:dyDescent="0.25">
      <c r="B248" s="91"/>
      <c r="C248" s="92"/>
      <c r="D248" s="112"/>
      <c r="E248" s="112"/>
      <c r="F248" s="120">
        <f t="shared" ref="F248:G249" si="43">F228</f>
        <v>86</v>
      </c>
      <c r="G248" s="121">
        <f t="shared" si="43"/>
        <v>23.74</v>
      </c>
      <c r="H248" s="89"/>
      <c r="I248" s="89"/>
      <c r="J248" s="6"/>
      <c r="M248" s="63"/>
      <c r="N248" s="63"/>
      <c r="O248" s="58"/>
      <c r="P248" s="59"/>
      <c r="Q248" s="60"/>
      <c r="R248" s="10"/>
      <c r="S248" s="61"/>
      <c r="T248" s="10"/>
      <c r="U248" s="62"/>
    </row>
    <row r="249" spans="2:21" x14ac:dyDescent="0.25">
      <c r="B249" s="89"/>
      <c r="C249" s="89"/>
      <c r="D249" s="119"/>
      <c r="E249" s="119"/>
      <c r="F249" s="120">
        <f t="shared" si="43"/>
        <v>88</v>
      </c>
      <c r="G249" s="121">
        <f t="shared" si="43"/>
        <v>29.74</v>
      </c>
      <c r="H249" s="126">
        <f>H243</f>
        <v>5</v>
      </c>
      <c r="I249" s="89"/>
      <c r="J249" s="6"/>
      <c r="M249" s="63"/>
      <c r="N249" s="63"/>
      <c r="O249" s="58"/>
      <c r="P249" s="59"/>
      <c r="Q249" s="60"/>
      <c r="R249" s="10"/>
      <c r="S249" s="61"/>
      <c r="T249" s="10"/>
      <c r="U249" s="62"/>
    </row>
    <row r="250" spans="2:21" x14ac:dyDescent="0.25">
      <c r="B250" s="1">
        <f>B234</f>
        <v>3</v>
      </c>
      <c r="C250" s="25">
        <f>C234</f>
        <v>232.03999999999996</v>
      </c>
      <c r="D250" s="1">
        <f>D230</f>
        <v>4</v>
      </c>
      <c r="E250" s="1">
        <f>E230</f>
        <v>-3.66</v>
      </c>
      <c r="F250" s="1">
        <f t="shared" ref="F250:G250" si="44">F230</f>
        <v>82</v>
      </c>
      <c r="G250" s="1">
        <f t="shared" si="44"/>
        <v>17.739999999999998</v>
      </c>
      <c r="I250" s="89"/>
      <c r="J250" s="6"/>
      <c r="M250" s="63"/>
      <c r="N250" s="63"/>
      <c r="O250" s="58"/>
      <c r="P250" s="59"/>
      <c r="Q250" s="60"/>
      <c r="R250" s="10"/>
      <c r="S250" s="61"/>
      <c r="T250" s="10"/>
      <c r="U250" s="62"/>
    </row>
    <row r="251" spans="2:21" x14ac:dyDescent="0.25">
      <c r="B251" s="89"/>
      <c r="C251" s="89"/>
      <c r="D251" s="89"/>
      <c r="E251" s="91"/>
      <c r="F251" s="1">
        <f t="shared" ref="F251:G251" si="45">F231</f>
        <v>84</v>
      </c>
      <c r="G251" s="1">
        <f t="shared" si="45"/>
        <v>20.74</v>
      </c>
      <c r="H251" s="89"/>
      <c r="I251" s="89"/>
      <c r="J251" s="6"/>
      <c r="M251" s="63"/>
      <c r="N251" s="63"/>
      <c r="O251" s="58"/>
      <c r="P251" s="59"/>
      <c r="Q251" s="60"/>
      <c r="R251" s="10"/>
      <c r="S251" s="61"/>
      <c r="T251" s="10"/>
      <c r="U251" s="62"/>
    </row>
    <row r="252" spans="2:21" x14ac:dyDescent="0.25">
      <c r="B252" s="89"/>
      <c r="C252" s="89"/>
      <c r="D252" s="89"/>
      <c r="E252" s="89"/>
      <c r="F252" s="1">
        <f t="shared" ref="F252:G252" si="46">F232</f>
        <v>86</v>
      </c>
      <c r="G252" s="1">
        <f t="shared" si="46"/>
        <v>23.74</v>
      </c>
      <c r="H252" s="89"/>
      <c r="I252" s="89"/>
      <c r="J252" s="6"/>
      <c r="M252" s="63"/>
      <c r="N252" s="63"/>
      <c r="O252" s="58"/>
      <c r="P252" s="59"/>
      <c r="Q252" s="60"/>
      <c r="R252" s="10"/>
      <c r="S252" s="61"/>
      <c r="T252" s="10"/>
      <c r="U252" s="62"/>
    </row>
    <row r="253" spans="2:21" ht="15.75" thickBot="1" x14ac:dyDescent="0.3">
      <c r="B253" s="79"/>
      <c r="C253" s="79"/>
      <c r="D253" s="79"/>
      <c r="E253" s="79"/>
      <c r="F253" s="80">
        <f t="shared" ref="F253:G253" si="47">F233</f>
        <v>88</v>
      </c>
      <c r="G253" s="80">
        <f t="shared" si="47"/>
        <v>29.74</v>
      </c>
      <c r="I253" s="90"/>
      <c r="J253" s="6"/>
      <c r="M253" s="63"/>
      <c r="N253" s="63"/>
      <c r="O253" s="58"/>
      <c r="P253" s="59"/>
      <c r="Q253" s="60"/>
      <c r="R253" s="10"/>
      <c r="S253" s="61"/>
      <c r="T253" s="10"/>
      <c r="U253" s="62"/>
    </row>
    <row r="254" spans="2:21" x14ac:dyDescent="0.25">
      <c r="B254" s="28">
        <f>2*J58-1</f>
        <v>1</v>
      </c>
      <c r="C254" s="125">
        <f>C$98+('Variables auxiliares'!F$24-2-'slots con grua'!J58)*Datos!J$5</f>
        <v>238.09999999999997</v>
      </c>
      <c r="D254" s="123">
        <f>D234</f>
        <v>1</v>
      </c>
      <c r="E254" s="123">
        <f>E234</f>
        <v>1.22</v>
      </c>
      <c r="F254" s="28">
        <f t="shared" ref="F254:G254" si="48">F234</f>
        <v>2</v>
      </c>
      <c r="G254" s="29">
        <f t="shared" si="48"/>
        <v>3.06</v>
      </c>
      <c r="H254" s="89"/>
      <c r="I254" s="89"/>
      <c r="J254" s="6"/>
      <c r="M254" s="63"/>
      <c r="N254" s="63"/>
      <c r="O254" s="58"/>
      <c r="P254" s="59"/>
      <c r="Q254" s="60"/>
      <c r="R254" s="10"/>
      <c r="S254" s="61"/>
      <c r="T254" s="10"/>
      <c r="U254" s="62"/>
    </row>
    <row r="255" spans="2:21" x14ac:dyDescent="0.25">
      <c r="B255" s="89"/>
      <c r="C255" s="119"/>
      <c r="D255" s="119"/>
      <c r="E255" s="119"/>
      <c r="F255" s="1">
        <f t="shared" ref="F255:G255" si="49">F235</f>
        <v>4</v>
      </c>
      <c r="G255" s="25">
        <f t="shared" si="49"/>
        <v>6.0600000000000005</v>
      </c>
      <c r="H255" s="89"/>
      <c r="I255" s="89"/>
      <c r="J255" s="6"/>
      <c r="M255" s="63"/>
      <c r="N255" s="63"/>
      <c r="O255" s="58"/>
      <c r="P255" s="59"/>
      <c r="Q255" s="60"/>
      <c r="R255" s="10"/>
      <c r="S255" s="61"/>
      <c r="T255" s="10"/>
      <c r="U255" s="62"/>
    </row>
    <row r="256" spans="2:21" x14ac:dyDescent="0.25">
      <c r="B256" s="89"/>
      <c r="C256" s="119"/>
      <c r="D256" s="119"/>
      <c r="E256" s="119" t="s">
        <v>141</v>
      </c>
      <c r="F256" s="1">
        <f t="shared" ref="F256:G256" si="50">F236</f>
        <v>82</v>
      </c>
      <c r="G256" s="1">
        <f t="shared" si="50"/>
        <v>17.739999999999998</v>
      </c>
      <c r="H256" s="89"/>
      <c r="I256" s="89"/>
      <c r="J256" s="6"/>
      <c r="M256" s="63"/>
      <c r="N256" s="63"/>
      <c r="O256" s="58"/>
      <c r="P256" s="59"/>
      <c r="Q256" s="60"/>
      <c r="R256" s="10"/>
      <c r="S256" s="61"/>
      <c r="T256" s="10"/>
      <c r="U256" s="62"/>
    </row>
    <row r="257" spans="2:21" x14ac:dyDescent="0.25">
      <c r="B257" s="89"/>
      <c r="C257" s="89"/>
      <c r="D257" s="89"/>
      <c r="E257" s="89"/>
      <c r="F257" s="1">
        <f t="shared" ref="F257:G257" si="51">F237</f>
        <v>84</v>
      </c>
      <c r="G257" s="1">
        <f t="shared" si="51"/>
        <v>20.74</v>
      </c>
      <c r="H257" s="91"/>
      <c r="I257" s="91"/>
      <c r="J257" s="6"/>
      <c r="M257" s="63"/>
      <c r="N257" s="63"/>
      <c r="O257" s="58"/>
      <c r="P257" s="59"/>
      <c r="Q257" s="60"/>
      <c r="R257" s="10"/>
      <c r="S257" s="61"/>
      <c r="T257" s="10"/>
      <c r="U257" s="62"/>
    </row>
    <row r="258" spans="2:21" x14ac:dyDescent="0.25">
      <c r="B258" s="89"/>
      <c r="C258" s="89"/>
      <c r="D258" s="89"/>
      <c r="E258" s="89"/>
      <c r="F258" s="1">
        <f t="shared" ref="F258:G259" si="52">F238</f>
        <v>86</v>
      </c>
      <c r="G258" s="1">
        <f t="shared" si="52"/>
        <v>23.74</v>
      </c>
      <c r="H258" s="6"/>
      <c r="I258" s="6"/>
      <c r="J258" s="6"/>
      <c r="M258" s="63"/>
      <c r="N258" s="63"/>
      <c r="O258" s="58"/>
      <c r="P258" s="59"/>
      <c r="Q258" s="60"/>
      <c r="R258" s="10"/>
      <c r="S258" s="61"/>
      <c r="T258" s="10"/>
      <c r="U258" s="62"/>
    </row>
    <row r="259" spans="2:21" x14ac:dyDescent="0.25">
      <c r="D259" s="89"/>
      <c r="E259" s="89"/>
      <c r="F259" s="1">
        <f t="shared" si="52"/>
        <v>88</v>
      </c>
      <c r="G259" s="1">
        <f t="shared" si="52"/>
        <v>29.74</v>
      </c>
      <c r="H259" s="120">
        <f>INT(((3*Datos!C$6-C254)*TAN('Variables auxiliares'!C$40)-Datos!C$8+'Variables auxiliares'!F$54)/Datos!J$8)</f>
        <v>5</v>
      </c>
      <c r="I259" s="6"/>
      <c r="J259" s="6"/>
      <c r="M259" s="63"/>
      <c r="N259" s="63"/>
      <c r="O259" s="58"/>
      <c r="P259" s="59"/>
      <c r="Q259" s="60"/>
      <c r="R259" s="10"/>
      <c r="S259" s="61"/>
      <c r="T259" s="10"/>
      <c r="U259" s="62"/>
    </row>
    <row r="260" spans="2:21" x14ac:dyDescent="0.25">
      <c r="B260" s="120">
        <f>B254</f>
        <v>1</v>
      </c>
      <c r="C260" s="121">
        <f>C254</f>
        <v>238.09999999999997</v>
      </c>
      <c r="D260" s="120">
        <f>D240</f>
        <v>3</v>
      </c>
      <c r="E260" s="120">
        <f>E240</f>
        <v>3.66</v>
      </c>
      <c r="F260" s="120">
        <f>F240</f>
        <v>82</v>
      </c>
      <c r="G260" s="120">
        <f>G240</f>
        <v>17.739999999999998</v>
      </c>
      <c r="H260" s="6"/>
      <c r="I260" s="6"/>
      <c r="J260" s="6"/>
      <c r="M260" s="63"/>
      <c r="N260" s="63"/>
      <c r="O260" s="58"/>
      <c r="P260" s="59"/>
      <c r="Q260" s="60"/>
      <c r="R260" s="10"/>
      <c r="S260" s="61"/>
      <c r="T260" s="10"/>
      <c r="U260" s="62"/>
    </row>
    <row r="261" spans="2:21" x14ac:dyDescent="0.25">
      <c r="B261" s="58"/>
      <c r="C261" s="58"/>
      <c r="D261" s="58"/>
      <c r="E261" s="58"/>
      <c r="F261" s="123">
        <f t="shared" ref="F261:G261" si="53">F241</f>
        <v>84</v>
      </c>
      <c r="G261" s="123">
        <f t="shared" si="53"/>
        <v>20.74</v>
      </c>
      <c r="M261" s="63"/>
      <c r="N261" s="63"/>
      <c r="O261" s="58"/>
      <c r="P261" s="59"/>
      <c r="Q261" s="60"/>
      <c r="R261" s="10"/>
      <c r="S261" s="61"/>
      <c r="T261" s="10"/>
      <c r="U261" s="62"/>
    </row>
    <row r="262" spans="2:21" x14ac:dyDescent="0.25">
      <c r="B262" s="10"/>
      <c r="C262" s="10"/>
      <c r="D262" s="10"/>
      <c r="E262" s="10"/>
      <c r="F262" s="120">
        <f t="shared" ref="F262:G262" si="54">F242</f>
        <v>86</v>
      </c>
      <c r="G262" s="120">
        <f t="shared" si="54"/>
        <v>23.74</v>
      </c>
      <c r="M262" s="63"/>
      <c r="N262" s="63"/>
      <c r="O262" s="58"/>
      <c r="P262" s="59"/>
      <c r="Q262" s="60"/>
      <c r="R262" s="10"/>
      <c r="S262" s="61"/>
      <c r="T262" s="10"/>
      <c r="U262" s="62"/>
    </row>
    <row r="263" spans="2:21" x14ac:dyDescent="0.25">
      <c r="B263" s="10"/>
      <c r="C263" s="10"/>
      <c r="D263" s="10"/>
      <c r="E263" s="10"/>
      <c r="F263" s="124">
        <f t="shared" ref="F263:G263" si="55">F243</f>
        <v>88</v>
      </c>
      <c r="G263" s="124">
        <f t="shared" si="55"/>
        <v>29.74</v>
      </c>
      <c r="H263" s="120">
        <f>H259</f>
        <v>5</v>
      </c>
      <c r="M263" s="63"/>
      <c r="N263" s="63"/>
      <c r="O263" s="58"/>
      <c r="P263" s="59"/>
      <c r="Q263" s="60"/>
      <c r="R263" s="10"/>
      <c r="S263" s="61"/>
      <c r="T263" s="10"/>
      <c r="U263" s="62"/>
    </row>
    <row r="264" spans="2:21" x14ac:dyDescent="0.25">
      <c r="B264" s="120">
        <f>B260</f>
        <v>1</v>
      </c>
      <c r="C264" s="121">
        <f>C260</f>
        <v>238.09999999999997</v>
      </c>
      <c r="D264" s="120">
        <f>D244</f>
        <v>2</v>
      </c>
      <c r="E264" s="120">
        <f>E244</f>
        <v>-1.22</v>
      </c>
      <c r="F264" s="120">
        <f t="shared" ref="F264:G264" si="56">F244</f>
        <v>2</v>
      </c>
      <c r="G264" s="121">
        <f t="shared" si="56"/>
        <v>3.06</v>
      </c>
      <c r="M264" s="63"/>
      <c r="N264" s="63"/>
      <c r="O264" s="58"/>
      <c r="P264" s="59"/>
      <c r="Q264" s="60"/>
      <c r="R264" s="10"/>
      <c r="S264" s="61"/>
      <c r="T264" s="10"/>
      <c r="U264" s="62"/>
    </row>
    <row r="265" spans="2:21" x14ac:dyDescent="0.25">
      <c r="B265" s="10"/>
      <c r="C265" s="10"/>
      <c r="D265" s="10"/>
      <c r="E265" s="10"/>
      <c r="F265" s="123">
        <f>F245</f>
        <v>4</v>
      </c>
      <c r="G265" s="125">
        <f>G245</f>
        <v>6.0600000000000005</v>
      </c>
      <c r="M265" s="63"/>
      <c r="N265" s="63"/>
      <c r="O265" s="58"/>
      <c r="P265" s="59"/>
      <c r="Q265" s="60"/>
      <c r="R265" s="10"/>
      <c r="S265" s="61"/>
      <c r="T265" s="10"/>
      <c r="U265" s="62"/>
    </row>
    <row r="266" spans="2:21" x14ac:dyDescent="0.25">
      <c r="B266" s="58"/>
      <c r="C266" s="59"/>
      <c r="D266" s="10"/>
      <c r="E266" s="10" t="s">
        <v>142</v>
      </c>
      <c r="F266" s="120">
        <f t="shared" ref="F266:G266" si="57">F246</f>
        <v>82</v>
      </c>
      <c r="G266" s="120">
        <f t="shared" si="57"/>
        <v>17.739999999999998</v>
      </c>
      <c r="M266" s="63"/>
      <c r="N266" s="63"/>
      <c r="O266" s="58"/>
      <c r="P266" s="59"/>
      <c r="Q266" s="60"/>
      <c r="R266" s="10"/>
      <c r="S266" s="61"/>
      <c r="T266" s="10"/>
      <c r="U266" s="62"/>
    </row>
    <row r="267" spans="2:21" x14ac:dyDescent="0.25">
      <c r="B267" s="10"/>
      <c r="C267" s="10"/>
      <c r="D267" s="10"/>
      <c r="E267" s="10"/>
      <c r="F267" s="120">
        <f t="shared" ref="F267:G267" si="58">F247</f>
        <v>84</v>
      </c>
      <c r="G267" s="120">
        <f t="shared" si="58"/>
        <v>20.74</v>
      </c>
      <c r="M267" s="63"/>
      <c r="N267" s="63"/>
      <c r="O267" s="58"/>
      <c r="P267" s="59"/>
      <c r="Q267" s="60"/>
      <c r="R267" s="10"/>
      <c r="S267" s="61"/>
      <c r="T267" s="10"/>
      <c r="U267" s="62"/>
    </row>
    <row r="268" spans="2:21" x14ac:dyDescent="0.25">
      <c r="B268" s="58"/>
      <c r="C268" s="58"/>
      <c r="D268" s="58"/>
      <c r="E268" s="58"/>
      <c r="F268" s="120">
        <f t="shared" ref="F268:G268" si="59">F248</f>
        <v>86</v>
      </c>
      <c r="G268" s="120">
        <f t="shared" si="59"/>
        <v>23.74</v>
      </c>
      <c r="M268" s="63"/>
      <c r="N268" s="63"/>
      <c r="O268" s="58"/>
      <c r="P268" s="59"/>
      <c r="Q268" s="60"/>
      <c r="R268" s="10"/>
      <c r="S268" s="61"/>
      <c r="T268" s="10"/>
      <c r="U268" s="62"/>
    </row>
    <row r="269" spans="2:21" x14ac:dyDescent="0.25">
      <c r="B269" s="10"/>
      <c r="C269" s="10"/>
      <c r="D269" s="10"/>
      <c r="E269" s="10"/>
      <c r="F269" s="120">
        <f t="shared" ref="F269:G269" si="60">F249</f>
        <v>88</v>
      </c>
      <c r="G269" s="120">
        <f t="shared" si="60"/>
        <v>29.74</v>
      </c>
      <c r="H269" s="120">
        <f>H263</f>
        <v>5</v>
      </c>
      <c r="M269" s="63"/>
      <c r="N269" s="63"/>
      <c r="O269" s="58"/>
      <c r="P269" s="59"/>
      <c r="Q269" s="60"/>
      <c r="R269" s="10"/>
      <c r="S269" s="61"/>
      <c r="T269" s="10"/>
      <c r="U269" s="62"/>
    </row>
    <row r="270" spans="2:21" x14ac:dyDescent="0.25">
      <c r="B270" s="120">
        <f>B264</f>
        <v>1</v>
      </c>
      <c r="C270" s="121">
        <f>C264</f>
        <v>238.09999999999997</v>
      </c>
      <c r="D270" s="120">
        <f>D250</f>
        <v>4</v>
      </c>
      <c r="E270" s="120">
        <f>E250</f>
        <v>-3.66</v>
      </c>
      <c r="F270" s="120">
        <f t="shared" ref="F270:G270" si="61">F250</f>
        <v>82</v>
      </c>
      <c r="G270" s="120">
        <f t="shared" si="61"/>
        <v>17.739999999999998</v>
      </c>
      <c r="M270" s="63"/>
      <c r="N270" s="63"/>
      <c r="O270" s="58"/>
      <c r="P270" s="59"/>
      <c r="Q270" s="60"/>
      <c r="R270" s="10"/>
      <c r="S270" s="61"/>
      <c r="T270" s="10"/>
      <c r="U270" s="62"/>
    </row>
    <row r="271" spans="2:21" x14ac:dyDescent="0.25">
      <c r="B271" s="58"/>
      <c r="C271" s="10"/>
      <c r="D271" s="10"/>
      <c r="E271" s="10"/>
      <c r="F271" s="120">
        <f t="shared" ref="F271:G271" si="62">F251</f>
        <v>84</v>
      </c>
      <c r="G271" s="120">
        <f t="shared" si="62"/>
        <v>20.74</v>
      </c>
      <c r="M271" s="63"/>
      <c r="N271" s="63"/>
      <c r="O271" s="58"/>
      <c r="P271" s="59"/>
      <c r="Q271" s="60"/>
      <c r="R271" s="10"/>
      <c r="S271" s="61"/>
      <c r="T271" s="10"/>
      <c r="U271" s="62"/>
    </row>
    <row r="272" spans="2:21" x14ac:dyDescent="0.25">
      <c r="B272" s="58"/>
      <c r="C272" s="10"/>
      <c r="D272" s="10"/>
      <c r="E272" s="10"/>
      <c r="F272" s="120">
        <f t="shared" ref="F272:G272" si="63">F252</f>
        <v>86</v>
      </c>
      <c r="G272" s="120">
        <f t="shared" si="63"/>
        <v>23.74</v>
      </c>
      <c r="M272" s="63"/>
      <c r="N272" s="63"/>
      <c r="O272" s="58"/>
      <c r="P272" s="59"/>
      <c r="Q272" s="60"/>
      <c r="R272" s="10"/>
      <c r="S272" s="61"/>
      <c r="T272" s="10"/>
      <c r="U272" s="62"/>
    </row>
    <row r="273" spans="2:21" x14ac:dyDescent="0.25">
      <c r="B273" s="58"/>
      <c r="C273" s="10"/>
      <c r="D273" s="10"/>
      <c r="E273" s="10"/>
      <c r="F273" s="120">
        <f t="shared" ref="F273:G273" si="64">F253</f>
        <v>88</v>
      </c>
      <c r="G273" s="120">
        <f t="shared" si="64"/>
        <v>29.74</v>
      </c>
      <c r="H273" s="1">
        <f>H269</f>
        <v>5</v>
      </c>
      <c r="M273" s="63"/>
      <c r="N273" s="63"/>
      <c r="O273" s="58"/>
      <c r="P273" s="59"/>
      <c r="Q273" s="60"/>
      <c r="R273" s="10"/>
      <c r="S273" s="61"/>
      <c r="T273" s="10"/>
      <c r="U273" s="62"/>
    </row>
    <row r="274" spans="2:21" x14ac:dyDescent="0.25">
      <c r="B274" s="10"/>
      <c r="C274" s="10"/>
      <c r="D274" s="10"/>
      <c r="E274" s="10"/>
      <c r="F274" s="58"/>
      <c r="G274" s="59"/>
      <c r="M274" s="63"/>
      <c r="N274" s="63"/>
      <c r="O274" s="58"/>
      <c r="P274" s="59"/>
      <c r="Q274" s="60"/>
      <c r="R274" s="10"/>
      <c r="S274" s="61"/>
      <c r="T274" s="10"/>
      <c r="U274" s="62"/>
    </row>
    <row r="275" spans="2:21" x14ac:dyDescent="0.25">
      <c r="B275" s="58"/>
      <c r="C275" s="58"/>
      <c r="D275" s="58"/>
      <c r="E275" s="58"/>
      <c r="F275" s="58"/>
      <c r="G275" s="59"/>
      <c r="M275" s="63"/>
      <c r="N275" s="63"/>
      <c r="O275" s="58"/>
      <c r="P275" s="59"/>
      <c r="Q275" s="60"/>
      <c r="R275" s="10"/>
      <c r="S275" s="61"/>
      <c r="T275" s="10"/>
      <c r="U275" s="62"/>
    </row>
    <row r="276" spans="2:21" x14ac:dyDescent="0.25">
      <c r="B276" s="10"/>
      <c r="C276" s="10"/>
      <c r="D276" s="10"/>
      <c r="E276" s="10"/>
      <c r="F276" s="58"/>
      <c r="G276" s="59"/>
      <c r="M276" s="63"/>
      <c r="N276" s="63"/>
      <c r="O276" s="58"/>
      <c r="P276" s="59"/>
      <c r="Q276" s="60"/>
      <c r="R276" s="10"/>
      <c r="S276" s="61"/>
      <c r="T276" s="10"/>
      <c r="U276" s="62"/>
    </row>
    <row r="277" spans="2:21" x14ac:dyDescent="0.25">
      <c r="B277" s="10"/>
      <c r="C277" s="10"/>
      <c r="D277" s="10"/>
      <c r="E277" s="10"/>
      <c r="F277" s="58"/>
      <c r="G277" s="59"/>
      <c r="M277" s="63"/>
      <c r="N277" s="63"/>
      <c r="O277" s="58"/>
      <c r="P277" s="59"/>
      <c r="Q277" s="60"/>
      <c r="R277" s="10"/>
      <c r="S277" s="61"/>
      <c r="T277" s="10"/>
      <c r="U277" s="62"/>
    </row>
    <row r="278" spans="2:21" x14ac:dyDescent="0.25">
      <c r="B278" s="10"/>
      <c r="C278" s="10"/>
      <c r="D278" s="10"/>
      <c r="E278" s="10"/>
      <c r="F278" s="58"/>
      <c r="G278" s="59"/>
      <c r="M278" s="63"/>
      <c r="N278" s="63"/>
      <c r="O278" s="58"/>
      <c r="P278" s="59"/>
      <c r="Q278" s="60"/>
      <c r="R278" s="10"/>
      <c r="S278" s="61"/>
      <c r="T278" s="10"/>
      <c r="U278" s="62"/>
    </row>
    <row r="279" spans="2:21" x14ac:dyDescent="0.25">
      <c r="B279" s="10"/>
      <c r="C279" s="10"/>
      <c r="D279" s="10"/>
      <c r="E279" s="10"/>
      <c r="F279" s="58"/>
      <c r="G279" s="59"/>
      <c r="M279" s="63"/>
      <c r="N279" s="63"/>
      <c r="O279" s="58"/>
      <c r="P279" s="59"/>
      <c r="Q279" s="60"/>
      <c r="R279" s="10"/>
      <c r="S279" s="61"/>
      <c r="T279" s="10"/>
      <c r="U279" s="62"/>
    </row>
    <row r="280" spans="2:21" x14ac:dyDescent="0.25">
      <c r="B280" s="10"/>
      <c r="C280" s="10"/>
      <c r="D280" s="10"/>
      <c r="E280" s="10"/>
      <c r="F280" s="58"/>
      <c r="G280" s="59"/>
      <c r="M280" s="63"/>
      <c r="N280" s="63"/>
      <c r="O280" s="58"/>
      <c r="P280" s="59"/>
      <c r="Q280" s="60"/>
      <c r="R280" s="10"/>
      <c r="S280" s="61"/>
      <c r="T280" s="10"/>
      <c r="U280" s="62"/>
    </row>
    <row r="281" spans="2:21" x14ac:dyDescent="0.25">
      <c r="B281" s="10"/>
      <c r="C281" s="10"/>
      <c r="D281" s="10"/>
      <c r="E281" s="10"/>
      <c r="F281" s="58"/>
      <c r="G281" s="59"/>
      <c r="M281" s="63"/>
      <c r="N281" s="63"/>
      <c r="O281" s="58"/>
      <c r="P281" s="59"/>
      <c r="Q281" s="60"/>
      <c r="R281" s="10"/>
      <c r="S281" s="61"/>
      <c r="T281" s="10"/>
      <c r="U281" s="62"/>
    </row>
    <row r="282" spans="2:21" x14ac:dyDescent="0.25">
      <c r="B282" s="58"/>
      <c r="C282" s="59"/>
      <c r="D282" s="58"/>
      <c r="E282" s="58"/>
      <c r="F282" s="58"/>
      <c r="G282" s="59"/>
      <c r="M282" s="63"/>
      <c r="N282" s="63"/>
      <c r="O282" s="58"/>
      <c r="P282" s="59"/>
      <c r="Q282" s="60"/>
      <c r="R282" s="10"/>
      <c r="S282" s="61"/>
      <c r="T282" s="10"/>
      <c r="U282" s="62"/>
    </row>
    <row r="283" spans="2:21" x14ac:dyDescent="0.25">
      <c r="B283" s="10"/>
      <c r="C283" s="10"/>
      <c r="D283" s="10"/>
      <c r="E283" s="10"/>
      <c r="F283" s="58"/>
      <c r="G283" s="59"/>
      <c r="M283" s="63"/>
      <c r="N283" s="63"/>
      <c r="O283" s="58"/>
      <c r="P283" s="59"/>
      <c r="Q283" s="60"/>
      <c r="R283" s="10"/>
      <c r="S283" s="61"/>
      <c r="T283" s="10"/>
      <c r="U283" s="62"/>
    </row>
    <row r="284" spans="2:21" x14ac:dyDescent="0.25">
      <c r="B284" s="10"/>
      <c r="C284" s="10"/>
      <c r="D284" s="10"/>
      <c r="E284" s="10"/>
      <c r="F284" s="58"/>
      <c r="G284" s="59"/>
      <c r="M284" s="63"/>
      <c r="N284" s="63"/>
      <c r="O284" s="58"/>
      <c r="P284" s="59"/>
      <c r="Q284" s="60"/>
      <c r="R284" s="10"/>
      <c r="S284" s="61"/>
      <c r="T284" s="10"/>
      <c r="U284" s="62"/>
    </row>
    <row r="285" spans="2:21" x14ac:dyDescent="0.25">
      <c r="B285" s="10"/>
      <c r="C285" s="10"/>
      <c r="D285" s="10"/>
      <c r="E285" s="10"/>
      <c r="F285" s="58"/>
      <c r="G285" s="59"/>
      <c r="M285" s="63"/>
      <c r="N285" s="63"/>
      <c r="O285" s="58"/>
      <c r="P285" s="59"/>
      <c r="Q285" s="60"/>
      <c r="R285" s="10"/>
      <c r="S285" s="61"/>
      <c r="T285" s="10"/>
      <c r="U285" s="62"/>
    </row>
    <row r="286" spans="2:21" x14ac:dyDescent="0.25">
      <c r="B286" s="10"/>
      <c r="C286" s="10"/>
      <c r="D286" s="10"/>
      <c r="E286" s="10"/>
      <c r="F286" s="58"/>
      <c r="G286" s="59"/>
      <c r="M286" s="63"/>
      <c r="N286" s="63"/>
      <c r="O286" s="58"/>
      <c r="P286" s="59"/>
      <c r="Q286" s="60"/>
      <c r="R286" s="10"/>
      <c r="S286" s="61"/>
      <c r="T286" s="10"/>
      <c r="U286" s="62"/>
    </row>
    <row r="287" spans="2:21" x14ac:dyDescent="0.25">
      <c r="B287" s="10"/>
      <c r="C287" s="10"/>
      <c r="D287" s="10"/>
      <c r="E287" s="10"/>
      <c r="F287" s="58"/>
      <c r="G287" s="59"/>
      <c r="M287" s="63"/>
      <c r="N287" s="63"/>
      <c r="O287" s="58"/>
      <c r="P287" s="59"/>
      <c r="Q287" s="60"/>
      <c r="R287" s="10"/>
      <c r="S287" s="61"/>
      <c r="T287" s="10"/>
      <c r="U287" s="62"/>
    </row>
    <row r="288" spans="2:21" x14ac:dyDescent="0.25">
      <c r="B288" s="10"/>
      <c r="C288" s="10"/>
      <c r="D288" s="10"/>
      <c r="E288" s="10"/>
      <c r="F288" s="58"/>
      <c r="G288" s="59"/>
      <c r="M288" s="63"/>
      <c r="N288" s="63"/>
      <c r="O288" s="58"/>
      <c r="P288" s="59"/>
      <c r="Q288" s="60"/>
      <c r="R288" s="10"/>
      <c r="S288" s="61"/>
      <c r="T288" s="10"/>
      <c r="U288" s="62"/>
    </row>
    <row r="289" spans="2:21" x14ac:dyDescent="0.25">
      <c r="B289" s="58"/>
      <c r="C289" s="58"/>
      <c r="D289" s="58"/>
      <c r="E289" s="58"/>
      <c r="F289" s="58"/>
      <c r="G289" s="59"/>
      <c r="M289" s="63"/>
      <c r="N289" s="63"/>
      <c r="O289" s="58"/>
      <c r="P289" s="59"/>
      <c r="Q289" s="60"/>
      <c r="R289" s="10"/>
      <c r="S289" s="61"/>
      <c r="T289" s="10"/>
      <c r="U289" s="62"/>
    </row>
    <row r="290" spans="2:21" x14ac:dyDescent="0.25">
      <c r="B290" s="10"/>
      <c r="C290" s="10"/>
      <c r="D290" s="10"/>
      <c r="E290" s="10"/>
      <c r="F290" s="58"/>
      <c r="G290" s="59"/>
      <c r="M290" s="63"/>
      <c r="N290" s="63"/>
      <c r="O290" s="58"/>
      <c r="P290" s="59"/>
      <c r="Q290" s="60"/>
      <c r="R290" s="10"/>
      <c r="S290" s="61"/>
      <c r="T290" s="10"/>
      <c r="U290" s="62"/>
    </row>
    <row r="291" spans="2:21" x14ac:dyDescent="0.25">
      <c r="B291" s="10"/>
      <c r="C291" s="10"/>
      <c r="D291" s="10"/>
      <c r="E291" s="10"/>
      <c r="F291" s="58"/>
      <c r="G291" s="59"/>
      <c r="M291" s="63"/>
      <c r="N291" s="63"/>
      <c r="O291" s="58"/>
      <c r="P291" s="59"/>
      <c r="Q291" s="60"/>
      <c r="R291" s="10"/>
      <c r="S291" s="61"/>
      <c r="T291" s="10"/>
      <c r="U291" s="62"/>
    </row>
    <row r="292" spans="2:21" x14ac:dyDescent="0.25">
      <c r="B292" s="10"/>
      <c r="C292" s="10"/>
      <c r="D292" s="10"/>
      <c r="E292" s="10"/>
      <c r="F292" s="58"/>
      <c r="G292" s="59"/>
      <c r="M292" s="63"/>
      <c r="N292" s="63"/>
      <c r="O292" s="58"/>
      <c r="P292" s="59"/>
      <c r="Q292" s="60"/>
      <c r="R292" s="10"/>
      <c r="S292" s="61"/>
      <c r="T292" s="10"/>
      <c r="U292" s="62"/>
    </row>
    <row r="293" spans="2:21" x14ac:dyDescent="0.25">
      <c r="B293" s="10"/>
      <c r="C293" s="10"/>
      <c r="D293" s="10"/>
      <c r="E293" s="10"/>
      <c r="F293" s="58"/>
      <c r="G293" s="59"/>
      <c r="M293" s="63"/>
      <c r="N293" s="63"/>
      <c r="O293" s="58"/>
      <c r="P293" s="59"/>
      <c r="Q293" s="60"/>
      <c r="R293" s="10"/>
      <c r="S293" s="61"/>
      <c r="T293" s="10"/>
      <c r="U293" s="62"/>
    </row>
    <row r="294" spans="2:21" x14ac:dyDescent="0.25">
      <c r="B294" s="10"/>
      <c r="C294" s="10"/>
      <c r="D294" s="10"/>
      <c r="E294" s="10"/>
      <c r="F294" s="58"/>
      <c r="G294" s="59"/>
      <c r="M294" s="63"/>
      <c r="N294" s="63"/>
      <c r="O294" s="58"/>
      <c r="P294" s="59"/>
      <c r="Q294" s="60"/>
      <c r="R294" s="10"/>
      <c r="S294" s="61"/>
      <c r="T294" s="10"/>
      <c r="U294" s="62"/>
    </row>
    <row r="295" spans="2:21" x14ac:dyDescent="0.25">
      <c r="B295" s="10"/>
      <c r="C295" s="10"/>
      <c r="D295" s="10"/>
      <c r="E295" s="10"/>
      <c r="F295" s="58"/>
      <c r="G295" s="59"/>
      <c r="M295" s="63"/>
      <c r="N295" s="63"/>
      <c r="O295" s="58"/>
      <c r="P295" s="59"/>
      <c r="Q295" s="60"/>
      <c r="R295" s="10"/>
      <c r="S295" s="61"/>
      <c r="T295" s="10"/>
      <c r="U295" s="62"/>
    </row>
    <row r="296" spans="2:21" x14ac:dyDescent="0.25">
      <c r="B296" s="58"/>
      <c r="C296" s="58"/>
      <c r="D296" s="58"/>
      <c r="E296" s="58"/>
      <c r="F296" s="58"/>
      <c r="G296" s="59"/>
      <c r="M296" s="63"/>
      <c r="N296" s="63"/>
      <c r="O296" s="60"/>
      <c r="P296" s="59"/>
      <c r="Q296" s="60"/>
      <c r="R296" s="10"/>
      <c r="S296" s="61"/>
      <c r="T296" s="10"/>
      <c r="U296" s="62"/>
    </row>
    <row r="297" spans="2:21" x14ac:dyDescent="0.25">
      <c r="B297" s="10"/>
      <c r="C297" s="10"/>
      <c r="D297" s="10"/>
      <c r="E297" s="10"/>
      <c r="F297" s="58"/>
      <c r="G297" s="59"/>
      <c r="M297" s="63"/>
      <c r="N297" s="63"/>
      <c r="O297" s="60"/>
      <c r="P297" s="59"/>
      <c r="Q297" s="60"/>
      <c r="R297" s="10"/>
      <c r="S297" s="61"/>
      <c r="T297" s="10"/>
      <c r="U297" s="62"/>
    </row>
    <row r="298" spans="2:21" x14ac:dyDescent="0.25">
      <c r="B298" s="10"/>
      <c r="C298" s="10"/>
      <c r="D298" s="10"/>
      <c r="E298" s="10"/>
      <c r="F298" s="58"/>
      <c r="G298" s="59"/>
      <c r="M298" s="63"/>
      <c r="N298" s="63"/>
      <c r="O298" s="60"/>
      <c r="P298" s="59"/>
      <c r="Q298" s="60"/>
      <c r="R298" s="10"/>
      <c r="S298" s="61"/>
      <c r="T298" s="10"/>
      <c r="U298" s="62"/>
    </row>
    <row r="299" spans="2:21" x14ac:dyDescent="0.25">
      <c r="B299" s="10"/>
      <c r="C299" s="10"/>
      <c r="D299" s="10"/>
      <c r="E299" s="10"/>
      <c r="F299" s="58"/>
      <c r="G299" s="59"/>
      <c r="M299" s="63"/>
      <c r="N299" s="63"/>
      <c r="O299" s="60"/>
      <c r="P299" s="59"/>
      <c r="Q299" s="60"/>
      <c r="R299" s="10"/>
      <c r="S299" s="61"/>
      <c r="T299" s="10"/>
      <c r="U299" s="62"/>
    </row>
    <row r="300" spans="2:21" x14ac:dyDescent="0.25">
      <c r="B300" s="10"/>
      <c r="C300" s="10"/>
      <c r="D300" s="10"/>
      <c r="E300" s="10"/>
      <c r="F300" s="58"/>
      <c r="G300" s="59"/>
      <c r="M300" s="63"/>
      <c r="N300" s="63"/>
      <c r="O300" s="60"/>
      <c r="P300" s="59"/>
      <c r="Q300" s="60"/>
      <c r="R300" s="10"/>
      <c r="S300" s="61"/>
      <c r="T300" s="10"/>
      <c r="U300" s="62"/>
    </row>
    <row r="301" spans="2:21" x14ac:dyDescent="0.25">
      <c r="B301" s="10"/>
      <c r="C301" s="10"/>
      <c r="D301" s="10"/>
      <c r="E301" s="10"/>
      <c r="F301" s="58"/>
      <c r="G301" s="59"/>
      <c r="M301" s="63"/>
      <c r="N301" s="63"/>
      <c r="O301" s="60"/>
      <c r="P301" s="59"/>
      <c r="Q301" s="60"/>
      <c r="R301" s="10"/>
      <c r="S301" s="61"/>
      <c r="T301" s="10"/>
      <c r="U301" s="62"/>
    </row>
    <row r="302" spans="2:21" x14ac:dyDescent="0.25">
      <c r="B302" s="10"/>
      <c r="C302" s="10"/>
      <c r="D302" s="10"/>
      <c r="E302" s="10"/>
      <c r="F302" s="58"/>
      <c r="G302" s="59"/>
      <c r="M302" s="63"/>
      <c r="N302" s="63"/>
      <c r="O302" s="60"/>
      <c r="P302" s="59"/>
      <c r="Q302" s="60"/>
      <c r="R302" s="10"/>
      <c r="S302" s="61"/>
      <c r="T302" s="10"/>
      <c r="U302" s="62"/>
    </row>
    <row r="303" spans="2:21" x14ac:dyDescent="0.25">
      <c r="B303" s="58"/>
      <c r="C303" s="58"/>
      <c r="D303" s="58"/>
      <c r="E303" s="58"/>
      <c r="F303" s="58"/>
      <c r="G303" s="59"/>
      <c r="M303" s="63"/>
      <c r="N303" s="63"/>
      <c r="O303" s="60"/>
      <c r="P303" s="59"/>
      <c r="Q303" s="60"/>
      <c r="R303" s="10"/>
      <c r="S303" s="61"/>
      <c r="T303" s="10"/>
      <c r="U303" s="62"/>
    </row>
    <row r="304" spans="2:21" x14ac:dyDescent="0.25">
      <c r="B304" s="10"/>
      <c r="C304" s="10"/>
      <c r="D304" s="10"/>
      <c r="E304" s="10"/>
      <c r="F304" s="58"/>
      <c r="G304" s="59"/>
      <c r="M304" s="63"/>
      <c r="N304" s="63"/>
      <c r="O304" s="60"/>
      <c r="P304" s="59"/>
      <c r="Q304" s="60"/>
      <c r="R304" s="10"/>
      <c r="S304" s="61"/>
      <c r="T304" s="10"/>
      <c r="U304" s="62"/>
    </row>
    <row r="305" spans="2:21" x14ac:dyDescent="0.25">
      <c r="B305" s="10"/>
      <c r="C305" s="10"/>
      <c r="D305" s="10"/>
      <c r="E305" s="10"/>
      <c r="F305" s="58"/>
      <c r="G305" s="59"/>
      <c r="M305" s="63"/>
      <c r="N305" s="63"/>
      <c r="O305" s="60"/>
      <c r="P305" s="59"/>
      <c r="Q305" s="60"/>
      <c r="R305" s="10"/>
      <c r="S305" s="61"/>
      <c r="T305" s="10"/>
      <c r="U305" s="62"/>
    </row>
    <row r="306" spans="2:21" x14ac:dyDescent="0.25">
      <c r="B306" s="10"/>
      <c r="C306" s="10"/>
      <c r="D306" s="10"/>
      <c r="E306" s="10"/>
      <c r="F306" s="58"/>
      <c r="G306" s="59"/>
      <c r="M306" s="63"/>
      <c r="N306" s="63"/>
      <c r="O306" s="60"/>
      <c r="P306" s="59"/>
      <c r="Q306" s="60"/>
      <c r="R306" s="10"/>
      <c r="S306" s="61"/>
      <c r="T306" s="10"/>
      <c r="U306" s="62"/>
    </row>
    <row r="307" spans="2:21" x14ac:dyDescent="0.25">
      <c r="B307" s="10"/>
      <c r="C307" s="10"/>
      <c r="D307" s="10"/>
      <c r="E307" s="10"/>
      <c r="F307" s="58"/>
      <c r="G307" s="59"/>
      <c r="M307" s="63"/>
      <c r="N307" s="63"/>
      <c r="O307" s="60"/>
      <c r="P307" s="59"/>
      <c r="Q307" s="60"/>
      <c r="R307" s="10"/>
      <c r="S307" s="61"/>
      <c r="T307" s="10"/>
      <c r="U307" s="62"/>
    </row>
    <row r="308" spans="2:21" x14ac:dyDescent="0.25">
      <c r="B308" s="10"/>
      <c r="C308" s="10"/>
      <c r="D308" s="10"/>
      <c r="E308" s="10"/>
      <c r="F308" s="58"/>
      <c r="G308" s="59"/>
      <c r="M308" s="63"/>
      <c r="N308" s="63"/>
      <c r="O308" s="60"/>
      <c r="P308" s="59"/>
      <c r="Q308" s="60"/>
      <c r="R308" s="10"/>
      <c r="S308" s="61"/>
      <c r="T308" s="10"/>
      <c r="U308" s="62"/>
    </row>
    <row r="309" spans="2:21" x14ac:dyDescent="0.25">
      <c r="B309" s="10"/>
      <c r="C309" s="10"/>
      <c r="D309" s="10"/>
      <c r="E309" s="10"/>
      <c r="F309" s="58"/>
      <c r="G309" s="59"/>
      <c r="M309" s="63"/>
      <c r="N309" s="63"/>
      <c r="O309" s="60"/>
      <c r="P309" s="59"/>
      <c r="Q309" s="60"/>
      <c r="R309" s="10"/>
      <c r="S309" s="61"/>
      <c r="T309" s="10"/>
      <c r="U309" s="62"/>
    </row>
    <row r="310" spans="2:21" x14ac:dyDescent="0.25">
      <c r="B310" s="58"/>
      <c r="C310" s="59"/>
      <c r="D310" s="58"/>
      <c r="E310" s="58"/>
      <c r="F310" s="58"/>
      <c r="G310" s="59"/>
      <c r="M310" s="58"/>
      <c r="N310" s="58"/>
      <c r="O310" s="58"/>
      <c r="P310" s="59"/>
      <c r="Q310" s="60"/>
      <c r="R310" s="10"/>
      <c r="S310" s="61"/>
      <c r="T310" s="10"/>
      <c r="U310" s="62"/>
    </row>
    <row r="311" spans="2:21" x14ac:dyDescent="0.25">
      <c r="B311" s="10"/>
      <c r="C311" s="10"/>
      <c r="D311" s="10"/>
      <c r="E311" s="10"/>
      <c r="F311" s="58"/>
      <c r="G311" s="59"/>
      <c r="M311" s="58"/>
      <c r="N311" s="58"/>
      <c r="O311" s="58"/>
      <c r="P311" s="59"/>
      <c r="Q311" s="60"/>
      <c r="R311" s="10"/>
      <c r="S311" s="61"/>
      <c r="T311" s="10"/>
      <c r="U311" s="62"/>
    </row>
    <row r="312" spans="2:21" x14ac:dyDescent="0.25">
      <c r="B312" s="10"/>
      <c r="C312" s="10"/>
      <c r="D312" s="10"/>
      <c r="E312" s="10"/>
      <c r="F312" s="58"/>
      <c r="G312" s="59"/>
      <c r="M312" s="58"/>
      <c r="N312" s="58"/>
      <c r="O312" s="58"/>
      <c r="P312" s="59"/>
      <c r="Q312" s="60"/>
      <c r="R312" s="10"/>
      <c r="S312" s="61"/>
      <c r="T312" s="10"/>
      <c r="U312" s="62"/>
    </row>
    <row r="313" spans="2:21" x14ac:dyDescent="0.25">
      <c r="B313" s="10"/>
      <c r="C313" s="10"/>
      <c r="D313" s="10"/>
      <c r="E313" s="10"/>
      <c r="F313" s="58"/>
      <c r="G313" s="59"/>
      <c r="M313" s="58"/>
      <c r="N313" s="58"/>
      <c r="O313" s="58"/>
      <c r="P313" s="59"/>
      <c r="Q313" s="60"/>
      <c r="R313" s="10"/>
      <c r="S313" s="61"/>
      <c r="T313" s="10"/>
      <c r="U313" s="62"/>
    </row>
    <row r="314" spans="2:21" x14ac:dyDescent="0.25">
      <c r="B314" s="10"/>
      <c r="C314" s="10"/>
      <c r="D314" s="10"/>
      <c r="E314" s="10"/>
      <c r="F314" s="58"/>
      <c r="G314" s="59"/>
      <c r="M314" s="58"/>
      <c r="N314" s="58"/>
      <c r="O314" s="58"/>
      <c r="P314" s="59"/>
      <c r="Q314" s="60"/>
      <c r="R314" s="10"/>
      <c r="S314" s="61"/>
      <c r="T314" s="10"/>
      <c r="U314" s="62"/>
    </row>
    <row r="315" spans="2:21" x14ac:dyDescent="0.25">
      <c r="B315" s="10"/>
      <c r="C315" s="10"/>
      <c r="D315" s="10"/>
      <c r="E315" s="10"/>
      <c r="F315" s="58"/>
      <c r="G315" s="59"/>
      <c r="M315" s="58"/>
      <c r="N315" s="58"/>
      <c r="O315" s="58"/>
      <c r="P315" s="59"/>
      <c r="Q315" s="60"/>
      <c r="R315" s="10"/>
      <c r="S315" s="61"/>
      <c r="T315" s="10"/>
      <c r="U315" s="62"/>
    </row>
    <row r="316" spans="2:21" x14ac:dyDescent="0.25">
      <c r="B316" s="58"/>
      <c r="C316" s="58"/>
      <c r="D316" s="58"/>
      <c r="E316" s="58"/>
      <c r="F316" s="58"/>
      <c r="G316" s="59"/>
      <c r="M316" s="58"/>
      <c r="N316" s="58"/>
      <c r="O316" s="58"/>
      <c r="P316" s="59"/>
      <c r="Q316" s="60"/>
      <c r="R316" s="10"/>
      <c r="S316" s="61"/>
      <c r="T316" s="10"/>
      <c r="U316" s="62"/>
    </row>
    <row r="317" spans="2:21" x14ac:dyDescent="0.25">
      <c r="B317" s="10"/>
      <c r="C317" s="10"/>
      <c r="D317" s="10"/>
      <c r="E317" s="10"/>
      <c r="F317" s="58"/>
      <c r="G317" s="59"/>
      <c r="M317" s="58"/>
      <c r="N317" s="58"/>
      <c r="O317" s="58"/>
      <c r="P317" s="59"/>
      <c r="Q317" s="60"/>
      <c r="R317" s="10"/>
      <c r="S317" s="61"/>
      <c r="T317" s="10"/>
      <c r="U317" s="62"/>
    </row>
    <row r="318" spans="2:21" x14ac:dyDescent="0.25">
      <c r="B318" s="10"/>
      <c r="C318" s="10"/>
      <c r="D318" s="10"/>
      <c r="E318" s="10"/>
      <c r="F318" s="58"/>
      <c r="G318" s="59"/>
      <c r="M318" s="58"/>
      <c r="N318" s="58"/>
      <c r="O318" s="58"/>
      <c r="P318" s="59"/>
      <c r="Q318" s="60"/>
      <c r="R318" s="10"/>
      <c r="S318" s="61"/>
      <c r="T318" s="10"/>
      <c r="U318" s="62"/>
    </row>
    <row r="319" spans="2:21" x14ac:dyDescent="0.25">
      <c r="B319" s="10"/>
      <c r="C319" s="10"/>
      <c r="D319" s="10"/>
      <c r="E319" s="10"/>
      <c r="F319" s="58"/>
      <c r="G319" s="59"/>
      <c r="M319" s="58"/>
      <c r="N319" s="58"/>
      <c r="O319" s="58"/>
      <c r="P319" s="59"/>
      <c r="Q319" s="60"/>
      <c r="R319" s="10"/>
      <c r="S319" s="61"/>
      <c r="T319" s="10"/>
      <c r="U319" s="62"/>
    </row>
    <row r="320" spans="2:21" x14ac:dyDescent="0.25">
      <c r="B320" s="10"/>
      <c r="C320" s="10"/>
      <c r="D320" s="10"/>
      <c r="E320" s="10"/>
      <c r="F320" s="58"/>
      <c r="G320" s="59"/>
      <c r="M320" s="58"/>
      <c r="N320" s="58"/>
      <c r="O320" s="58"/>
      <c r="P320" s="59"/>
      <c r="Q320" s="60"/>
      <c r="R320" s="10"/>
      <c r="S320" s="61"/>
      <c r="T320" s="10"/>
      <c r="U320" s="62"/>
    </row>
    <row r="321" spans="2:21" x14ac:dyDescent="0.25">
      <c r="B321" s="10"/>
      <c r="C321" s="10"/>
      <c r="D321" s="10"/>
      <c r="E321" s="10"/>
      <c r="F321" s="58"/>
      <c r="G321" s="59"/>
      <c r="M321" s="58"/>
      <c r="N321" s="58"/>
      <c r="O321" s="58"/>
      <c r="P321" s="59"/>
      <c r="Q321" s="60"/>
      <c r="R321" s="10"/>
      <c r="S321" s="61"/>
      <c r="T321" s="10"/>
      <c r="U321" s="62"/>
    </row>
    <row r="322" spans="2:21" x14ac:dyDescent="0.25">
      <c r="B322" s="58"/>
      <c r="C322" s="58"/>
      <c r="D322" s="58"/>
      <c r="E322" s="58"/>
      <c r="F322" s="58"/>
      <c r="G322" s="59"/>
      <c r="M322" s="58"/>
      <c r="N322" s="58"/>
      <c r="O322" s="58"/>
      <c r="P322" s="59"/>
      <c r="Q322" s="60"/>
      <c r="R322" s="10"/>
      <c r="S322" s="61"/>
      <c r="T322" s="10"/>
      <c r="U322" s="62"/>
    </row>
    <row r="323" spans="2:21" x14ac:dyDescent="0.25">
      <c r="B323" s="10"/>
      <c r="C323" s="10"/>
      <c r="D323" s="10"/>
      <c r="E323" s="10"/>
      <c r="F323" s="58"/>
      <c r="G323" s="59"/>
      <c r="M323" s="58"/>
      <c r="N323" s="58"/>
      <c r="O323" s="58"/>
      <c r="P323" s="59"/>
      <c r="Q323" s="60"/>
      <c r="R323" s="10"/>
      <c r="S323" s="61"/>
      <c r="T323" s="10"/>
      <c r="U323" s="62"/>
    </row>
    <row r="324" spans="2:21" x14ac:dyDescent="0.25">
      <c r="B324" s="10"/>
      <c r="C324" s="10"/>
      <c r="D324" s="10"/>
      <c r="E324" s="10"/>
      <c r="F324" s="58"/>
      <c r="G324" s="59"/>
      <c r="M324" s="58"/>
      <c r="N324" s="58"/>
      <c r="O324" s="58"/>
      <c r="P324" s="59"/>
      <c r="Q324" s="60"/>
      <c r="R324" s="10"/>
      <c r="S324" s="61"/>
      <c r="T324" s="10"/>
      <c r="U324" s="62"/>
    </row>
    <row r="325" spans="2:21" x14ac:dyDescent="0.25">
      <c r="B325" s="10"/>
      <c r="C325" s="10"/>
      <c r="D325" s="10"/>
      <c r="E325" s="10"/>
      <c r="F325" s="58"/>
      <c r="G325" s="59"/>
      <c r="M325" s="58"/>
      <c r="N325" s="58"/>
      <c r="O325" s="58"/>
      <c r="P325" s="59"/>
      <c r="Q325" s="60"/>
      <c r="R325" s="10"/>
      <c r="S325" s="61"/>
      <c r="T325" s="10"/>
      <c r="U325" s="62"/>
    </row>
    <row r="326" spans="2:21" x14ac:dyDescent="0.25">
      <c r="B326" s="10"/>
      <c r="C326" s="10"/>
      <c r="D326" s="10"/>
      <c r="E326" s="10"/>
      <c r="F326" s="58"/>
      <c r="G326" s="59"/>
      <c r="M326" s="58"/>
      <c r="N326" s="58"/>
      <c r="O326" s="58"/>
      <c r="P326" s="59"/>
      <c r="Q326" s="60"/>
      <c r="R326" s="10"/>
      <c r="S326" s="61"/>
      <c r="T326" s="10"/>
      <c r="U326" s="62"/>
    </row>
    <row r="327" spans="2:21" x14ac:dyDescent="0.25">
      <c r="B327" s="10"/>
      <c r="C327" s="10"/>
      <c r="D327" s="10"/>
      <c r="E327" s="10"/>
      <c r="F327" s="58"/>
      <c r="G327" s="59"/>
      <c r="M327" s="58"/>
      <c r="N327" s="58"/>
      <c r="O327" s="58"/>
      <c r="P327" s="59"/>
      <c r="Q327" s="60"/>
      <c r="R327" s="10"/>
      <c r="S327" s="61"/>
      <c r="T327" s="10"/>
      <c r="U327" s="62"/>
    </row>
    <row r="328" spans="2:21" x14ac:dyDescent="0.25">
      <c r="B328" s="58"/>
      <c r="C328" s="58"/>
      <c r="D328" s="58"/>
      <c r="E328" s="58"/>
      <c r="F328" s="58"/>
      <c r="G328" s="59"/>
      <c r="M328" s="58"/>
      <c r="N328" s="58"/>
      <c r="O328" s="58"/>
      <c r="P328" s="59"/>
      <c r="Q328" s="60"/>
      <c r="R328" s="10"/>
      <c r="S328" s="61"/>
      <c r="T328" s="10"/>
      <c r="U328" s="62"/>
    </row>
    <row r="329" spans="2:21" x14ac:dyDescent="0.25">
      <c r="B329" s="10"/>
      <c r="C329" s="10"/>
      <c r="D329" s="10"/>
      <c r="E329" s="10"/>
      <c r="F329" s="58"/>
      <c r="G329" s="59"/>
      <c r="M329" s="58"/>
      <c r="N329" s="58"/>
      <c r="O329" s="58"/>
      <c r="P329" s="59"/>
      <c r="Q329" s="60"/>
      <c r="R329" s="10"/>
      <c r="S329" s="61"/>
      <c r="T329" s="10"/>
      <c r="U329" s="62"/>
    </row>
    <row r="330" spans="2:21" x14ac:dyDescent="0.25">
      <c r="B330" s="10"/>
      <c r="C330" s="10"/>
      <c r="D330" s="10"/>
      <c r="E330" s="10"/>
      <c r="F330" s="58"/>
      <c r="G330" s="59"/>
      <c r="M330" s="58"/>
      <c r="N330" s="58"/>
      <c r="O330" s="58"/>
      <c r="P330" s="59"/>
      <c r="Q330" s="60"/>
      <c r="R330" s="10"/>
      <c r="S330" s="61"/>
      <c r="T330" s="10"/>
      <c r="U330" s="62"/>
    </row>
    <row r="331" spans="2:21" x14ac:dyDescent="0.25">
      <c r="B331" s="10"/>
      <c r="C331" s="10"/>
      <c r="D331" s="10"/>
      <c r="E331" s="10"/>
      <c r="F331" s="58"/>
      <c r="G331" s="59"/>
      <c r="M331" s="58"/>
      <c r="N331" s="58"/>
      <c r="O331" s="58"/>
      <c r="P331" s="59"/>
      <c r="Q331" s="60"/>
      <c r="R331" s="10"/>
      <c r="S331" s="61"/>
      <c r="T331" s="10"/>
      <c r="U331" s="62"/>
    </row>
    <row r="332" spans="2:21" x14ac:dyDescent="0.25">
      <c r="B332" s="10"/>
      <c r="C332" s="10"/>
      <c r="D332" s="10"/>
      <c r="E332" s="10"/>
      <c r="F332" s="58"/>
      <c r="G332" s="59"/>
      <c r="M332" s="58"/>
      <c r="N332" s="58"/>
      <c r="O332" s="58"/>
      <c r="P332" s="59"/>
      <c r="Q332" s="60"/>
      <c r="R332" s="10"/>
      <c r="S332" s="61"/>
      <c r="T332" s="10"/>
      <c r="U332" s="62"/>
    </row>
    <row r="333" spans="2:21" x14ac:dyDescent="0.25">
      <c r="B333" s="10"/>
      <c r="C333" s="10"/>
      <c r="D333" s="10"/>
      <c r="E333" s="10"/>
      <c r="F333" s="58"/>
      <c r="G333" s="59"/>
      <c r="M333" s="58"/>
      <c r="N333" s="58"/>
      <c r="O333" s="58"/>
      <c r="P333" s="59"/>
      <c r="Q333" s="60"/>
      <c r="R333" s="10"/>
      <c r="S333" s="61"/>
      <c r="T333" s="10"/>
      <c r="U333" s="62"/>
    </row>
    <row r="334" spans="2:21" x14ac:dyDescent="0.25">
      <c r="M334" s="10"/>
      <c r="N334" s="10"/>
      <c r="O334" s="10"/>
      <c r="P334" s="10"/>
      <c r="Q334" s="61"/>
      <c r="R334" s="61"/>
      <c r="S334" s="61"/>
      <c r="T334" s="61"/>
      <c r="U334" s="10"/>
    </row>
    <row r="335" spans="2:21" x14ac:dyDescent="0.25">
      <c r="M335" s="10"/>
      <c r="N335" s="10"/>
      <c r="O335" s="10"/>
      <c r="P335" s="10"/>
      <c r="Q335" s="61"/>
      <c r="R335" s="10"/>
      <c r="S335" s="10"/>
      <c r="T335" s="10"/>
      <c r="U335" s="10"/>
    </row>
    <row r="336" spans="2:21" x14ac:dyDescent="0.25">
      <c r="M336" s="10"/>
      <c r="N336" s="10"/>
      <c r="O336" s="10"/>
      <c r="P336" s="10"/>
      <c r="Q336" s="10"/>
      <c r="R336" s="10"/>
      <c r="S336" s="62"/>
      <c r="T336" s="10"/>
      <c r="U336" s="10"/>
    </row>
    <row r="337" spans="13:21" x14ac:dyDescent="0.25"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13:21" x14ac:dyDescent="0.25">
      <c r="M338" s="10"/>
      <c r="N338" s="10"/>
      <c r="O338" s="10"/>
      <c r="P338" s="10"/>
      <c r="Q338" s="10"/>
      <c r="R338" s="10"/>
      <c r="S338" s="61"/>
      <c r="T338" s="10"/>
      <c r="U338" s="10"/>
    </row>
    <row r="339" spans="13:21" x14ac:dyDescent="0.25"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13:21" x14ac:dyDescent="0.25"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13:21" x14ac:dyDescent="0.25"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13:21" x14ac:dyDescent="0.25">
      <c r="M342" s="10"/>
      <c r="N342" s="10"/>
      <c r="O342" s="10"/>
      <c r="P342" s="10"/>
      <c r="Q342" s="10"/>
      <c r="R342" s="10"/>
      <c r="S342" s="62"/>
      <c r="T342" s="10"/>
      <c r="U342" s="10"/>
    </row>
    <row r="343" spans="13:21" x14ac:dyDescent="0.25">
      <c r="M343" s="10"/>
      <c r="N343" s="10"/>
      <c r="O343" s="10"/>
      <c r="P343" s="10"/>
      <c r="Q343" s="10"/>
      <c r="R343" s="10"/>
      <c r="S343" s="62"/>
      <c r="T343" s="10"/>
      <c r="U343" s="10"/>
    </row>
    <row r="344" spans="13:21" x14ac:dyDescent="0.25"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13:21" x14ac:dyDescent="0.25"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13:21" x14ac:dyDescent="0.25">
      <c r="M346" s="10"/>
      <c r="N346" s="10"/>
      <c r="O346" s="10"/>
      <c r="P346" s="10"/>
      <c r="Q346" s="10"/>
      <c r="R346" s="10"/>
      <c r="S346" s="62"/>
      <c r="T346" s="10"/>
      <c r="U346" s="10"/>
    </row>
    <row r="347" spans="13:21" x14ac:dyDescent="0.25"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13:21" x14ac:dyDescent="0.25"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13:21" x14ac:dyDescent="0.25">
      <c r="M349" s="10"/>
      <c r="N349" s="10"/>
      <c r="O349" s="10"/>
      <c r="P349" s="10"/>
      <c r="Q349" s="10"/>
      <c r="R349" s="10"/>
      <c r="S349" s="10"/>
      <c r="T349" s="10"/>
      <c r="U349" s="10"/>
    </row>
  </sheetData>
  <mergeCells count="6">
    <mergeCell ref="R27:R30"/>
    <mergeCell ref="B55:J55"/>
    <mergeCell ref="I26:I30"/>
    <mergeCell ref="N27:N30"/>
    <mergeCell ref="N32:N33"/>
    <mergeCell ref="I32:I33"/>
  </mergeCells>
  <pageMargins left="0.7" right="0.7" top="0.75" bottom="0.75" header="0.3" footer="0.3"/>
  <pageSetup paperSize="9" orientation="portrait" r:id="rId1"/>
  <ignoredErrors>
    <ignoredError sqref="F21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Puertos</vt:lpstr>
      <vt:lpstr>Datos</vt:lpstr>
      <vt:lpstr>Coste</vt:lpstr>
      <vt:lpstr>Variables auxiliares</vt:lpstr>
      <vt:lpstr>GT</vt:lpstr>
      <vt:lpstr>PR</vt:lpstr>
      <vt:lpstr>Gruas</vt:lpstr>
      <vt:lpstr>Altura castillo</vt:lpstr>
      <vt:lpstr>slots con grua</vt:lpstr>
      <vt:lpstr>slots sin grua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 Munín Doce</cp:lastModifiedBy>
  <cp:lastPrinted>2014-11-26T10:02:08Z</cp:lastPrinted>
  <dcterms:created xsi:type="dcterms:W3CDTF">2014-06-10T09:59:22Z</dcterms:created>
  <dcterms:modified xsi:type="dcterms:W3CDTF">2022-10-13T08:19:27Z</dcterms:modified>
</cp:coreProperties>
</file>