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Request 5" sheetId="1" r:id="rId1"/>
    <sheet name="Session Details" sheetId="2" r:id="rId2"/>
  </sheets>
</workbook>
</file>

<file path=xl/styles.xml><?xml version="1.0" encoding="utf-8"?>
<styleSheet xmlns:mc="http://schemas.openxmlformats.org/markup-compatibility/2006" xmlns:x14ac="http://schemas.microsoft.com/office/spreadsheetml/2009/9/ac" xmlns="http://schemas.openxmlformats.org/spreadsheetml/2006/main" mc:Ignorable="x14ac">
  <numFmts count="0"/>
  <fonts count="5" x14ac:knownFonts="1">
    <font>
      <sz val="12"/>
      <name val="Calibri"/>
    </font>
    <font>
      <sz val="12"/>
      <name val="Calibri"/>
    </font>
    <font>
      <sz val="12"/>
      <name val="Calibri"/>
      <b/>
    </font>
    <font>
      <sz val="12"/>
      <name val="Calibri"/>
      <b/>
    </font>
    <font>
      <sz val="12"/>
      <name val="Calibri"/>
      <b/>
    </font>
  </fonts>
  <fills count="2">
    <fill>
      <patternFill patternType="none">
        <bgColor/>
      </patternFill>
    </fill>
    <fill>
      <patternFill patternType="gray125">
        <bgColor/>
      </patternFill>
    </fill>
  </fills>
  <borders count="2">
    <border>
      <left/>
      <right/>
      <top/>
      <bottom/>
      <diagonal/>
    </border>
    <border>
      <left/>
      <right/>
      <top/>
      <bottom/>
      <diagonal/>
    </border>
  </borders>
  <cellStyleXfs>
    <xf numFmtId="0" fontId="0" fillId="0" borderId="0"/>
  </cellStyleXfs>
  <cellXfs count="12">
    <xf numFmtId="0" fontId="0" fillId="0" borderId="0" xfId="0"/>
    <xf numFmtId="0" fontId="1" fillId="1" borderId="1" xfId="0" applyFont="1" applyFill="1" applyBorder="1"/>
    <xf numFmtId="0" fontId="0" fillId="0" borderId="0" xfId="0"/>
    <xf numFmtId="0" fontId="2" fillId="0" borderId="0" xfId="0" applyFont="1" applyAlignment="1">
      <alignment horizontal="left" vertical="top"/>
    </xf>
    <xf numFmtId="0" fontId="3" fillId="0" borderId="0" xfId="0" applyFont="1" applyAlignment="1">
      <alignment horizontal="left" vertical="top" wrapText="true"/>
    </xf>
    <xf numFmtId="0" fontId="4" fillId="0" borderId="0" xfId="0" applyFont="1" applyAlignment="1">
      <alignment horizontal="right" vertical="top" wrapText="true"/>
    </xf>
    <xf numFmtId="0" fontId="0" fillId="0" borderId="0" xfId="0" applyAlignment="1">
      <alignment horizontal="left" vertical="top" wrapText="true"/>
    </xf>
    <xf numFmtId="14" fontId="0" fillId="0" borderId="0" xfId="0" applyNumberFormat="1" applyAlignment="1">
      <alignment horizontal="right" vertical="top" wrapText="true"/>
    </xf>
    <xf numFmtId="4" fontId="0" fillId="0" borderId="0" xfId="0" applyNumberFormat="1" applyAlignment="1">
      <alignment horizontal="right" vertical="top" wrapText="true"/>
    </xf>
    <xf numFmtId="3" fontId="0" fillId="0" borderId="0" xfId="0" applyNumberFormat="1" applyAlignment="1">
      <alignment horizontal="left" vertical="top"/>
    </xf>
    <xf numFmtId="0" fontId="0" fillId="0" borderId="0" xfId="0" applyAlignment="1">
      <alignment horizontal="left" vertical="top"/>
    </xf>
    <xf numFmtId="3" fontId="0" fillId="0" borderId="0" xfId="0" applyNumberFormat="1" applyAlignment="1">
      <alignment horizontal="right" vertical="top"/>
    </xf>
  </cellXfs>
  <cellStyles>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AP1262"/>
  <sheetViews>
    <sheetView workbookViewId="0"/>
  </sheetViews>
  <cols>
    <col min="1" max="1" width="18.33203125" customWidth="1"/>
    <col min="2" max="2" width="18.33203125" customWidth="1"/>
    <col min="3" max="3" width="18.33203125" customWidth="1"/>
    <col min="4" max="4" width="18.33203125" customWidth="1"/>
    <col min="5" max="5" width="18.33203125" customWidth="1"/>
    <col min="6" max="6" width="18.33203125" customWidth="1"/>
    <col min="7" max="7" width="18.33203125" customWidth="1"/>
    <col min="8" max="8" width="18.33203125" customWidth="1"/>
    <col min="9" max="9" width="18.33203125" customWidth="1"/>
    <col min="10" max="10" width="18.33203125" customWidth="1"/>
    <col min="11" max="11" width="18.33203125" customWidth="1"/>
    <col min="12" max="12" width="18.33203125" customWidth="1"/>
    <col min="13" max="13" width="18.33203125" customWidth="1"/>
    <col min="14" max="14" width="18.33203125" customWidth="1"/>
    <col min="15" max="15" width="18.33203125" customWidth="1"/>
    <col min="16" max="16" width="18.33203125" customWidth="1"/>
    <col min="17" max="17" width="18.33203125" customWidth="1"/>
    <col min="18" max="18" width="18.33203125" customWidth="1"/>
    <col min="19" max="19" width="18.33203125" customWidth="1"/>
    <col min="20" max="20" width="18.33203125" customWidth="1"/>
    <col min="21" max="21" width="18.33203125" customWidth="1"/>
    <col min="22" max="22" width="18.33203125" customWidth="1"/>
    <col min="23" max="23" width="18.33203125" customWidth="1"/>
    <col min="24" max="24" width="18.33203125" customWidth="1"/>
    <col min="25" max="25" width="18.33203125" customWidth="1"/>
    <col min="26" max="26" width="18.33203125" customWidth="1"/>
    <col min="27" max="27" width="18.33203125" customWidth="1"/>
    <col min="28" max="28" width="18.33203125" customWidth="1"/>
    <col min="29" max="29" width="18.33203125" customWidth="1"/>
    <col min="30" max="30" width="18.33203125" customWidth="1"/>
    <col min="31" max="31" width="18.33203125" customWidth="1"/>
    <col min="32" max="32" width="18.33203125" customWidth="1"/>
    <col min="33" max="33" width="18.33203125" customWidth="1"/>
    <col min="34" max="34" width="18.33203125" customWidth="1"/>
    <col min="35" max="35" width="18.33203125" customWidth="1"/>
    <col min="36" max="36" width="18.33203125" customWidth="1"/>
    <col min="37" max="37" width="18.33203125" customWidth="1"/>
    <col min="38" max="38" width="18.33203125" customWidth="1"/>
    <col min="39" max="39" width="18.33203125" customWidth="1"/>
    <col min="40" max="40" width="18.33203125" customWidth="1"/>
    <col min="41" max="41" width="70.00390625" customWidth="1"/>
    <col min="42" max="42" width="70.00390625" customWidth="1"/>
  </cols>
  <sheetData>
    <row r="1">
      <c r="A1" s="3" t="str">
        <v>Source: LSEG   Date: 10/10/2024</v>
      </c>
    </row>
    <row r="3">
      <c r="A3" s="4" t="str">
        <v>Acquiror 6-digit CUSIP</v>
      </c>
      <c r="B3" s="4" t="str">
        <v>Acquiror Nation</v>
      </c>
      <c r="C3" s="4" t="str">
        <v>Acquiror Full Name</v>
      </c>
      <c r="D3" s="4" t="str">
        <v>Acquiror Ultimate Parent</v>
      </c>
      <c r="E3" s="4" t="str">
        <v>Related M&amp;A Deal Acquiror</v>
      </c>
      <c r="F3" s="4" t="str">
        <v>Target Nation</v>
      </c>
      <c r="G3" s="4" t="str">
        <v>Target Full Name</v>
      </c>
      <c r="H3" s="4" t="str">
        <v>Target Industry Sector</v>
      </c>
      <c r="I3" s="4" t="str">
        <v>Target 6-digit CUSIP</v>
      </c>
      <c r="J3" s="4" t="str">
        <v>Target Ultimate Parent</v>
      </c>
      <c r="K3" s="4" t="str">
        <v>Target Immediate Parent</v>
      </c>
      <c r="L3" s="5" t="str">
        <v>Date Announced</v>
      </c>
      <c r="M3" s="5" t="str">
        <v>Date Effective</v>
      </c>
      <c r="N3" s="5" t="str">
        <v>Deal Value at Effective Date (USD Millions)</v>
      </c>
      <c r="O3" s="5" t="str">
        <v>Deal Value (USD Millions)</v>
      </c>
      <c r="P3" s="5" t="str">
        <v>Firm Value (USD Millions)</v>
      </c>
      <c r="Q3" s="5" t="str">
        <v>Related M&amp;A Deal Value (USD Millions)</v>
      </c>
      <c r="R3" s="5" t="str">
        <v>Target Net Income Last 12 Months (USD Millions)</v>
      </c>
      <c r="S3" s="5" t="str">
        <v>Target Net Sales Last 12 Months (USD Millions)</v>
      </c>
      <c r="T3" s="5" t="str">
        <v>Target Net Cash from Financing Activities Last 12 Months (USD Millions)</v>
      </c>
      <c r="U3" s="5" t="str">
        <v>Target Net Cash from Investing Activities Last 12 Months (USD Millions)</v>
      </c>
      <c r="V3" s="5" t="str">
        <v>Target Net Cash from Operating Activities Last 12 Months (USD Millions)</v>
      </c>
      <c r="W3" s="4" t="str">
        <v>Acquiror High Tech Industry</v>
      </c>
      <c r="X3" s="4" t="str">
        <v>Target High Tech Industry</v>
      </c>
      <c r="Y3" s="4" t="str">
        <v>Target Immediate Parent High Tech Industry</v>
      </c>
      <c r="Z3" s="4" t="str">
        <v>Target Ultimate Parent High Tech Industry</v>
      </c>
      <c r="AA3" s="4" t="str">
        <v>Acquiror Immediate Parent High Tech Industry</v>
      </c>
      <c r="AB3" s="4" t="str">
        <v>Acquiror Ultimate Parent High Tech Industry</v>
      </c>
      <c r="AC3" s="5" t="str">
        <v>Deal Value (USD Millions)</v>
      </c>
      <c r="AD3" s="5" t="str">
        <v>Deal Value as-of Date</v>
      </c>
      <c r="AE3" s="5" t="str">
        <v>Implied Deal Value (USD Millions)</v>
      </c>
      <c r="AF3" s="5" t="str">
        <v>Enterprise Value at Announcement (USD Millions)</v>
      </c>
      <c r="AG3" s="5" t="str">
        <v>Enterprise Value at Effective Date (USD Millions)</v>
      </c>
      <c r="AH3" s="4" t="str">
        <v>Financials Completed Flag</v>
      </c>
      <c r="AI3" s="4" t="str">
        <v>Year Completed/Unconditional (yyyy)</v>
      </c>
      <c r="AJ3" s="4" t="str">
        <v>Deal Status</v>
      </c>
      <c r="AK3" s="5" t="str">
        <v>Implied Deal Value (USD Millions)</v>
      </c>
      <c r="AL3" s="5" t="str">
        <v>Common Shares Sought by Acquiror (Millions)</v>
      </c>
      <c r="AM3" s="4" t="str">
        <v>Acquisition Techniques</v>
      </c>
      <c r="AN3" s="5" t="str">
        <v>Intangible Assets Last 12 Months (USD Millions)</v>
      </c>
      <c r="AO3" s="4" t="str">
        <v>Deal Synopsis</v>
      </c>
      <c r="AP3" s="4" t="str">
        <v>Lockup Description</v>
      </c>
    </row>
    <row r="4">
      <c r="A4" s="6" t="str">
        <v>037833</v>
      </c>
      <c r="B4" s="6" t="str">
        <v>United States</v>
      </c>
      <c r="C4" s="6" t="str">
        <v>Apple Computer Inc</v>
      </c>
      <c r="D4" s="6" t="str">
        <v>Apple Computer Inc</v>
      </c>
      <c r="F4" s="6" t="str">
        <v>United States</v>
      </c>
      <c r="G4" s="6" t="str">
        <v>Apple Computer Inc</v>
      </c>
      <c r="H4" s="6" t="str">
        <v>Computer and Office Equipment</v>
      </c>
      <c r="I4" s="6" t="str">
        <v>037833</v>
      </c>
      <c r="J4" s="6" t="str">
        <v>Apple Computer Inc</v>
      </c>
      <c r="K4" s="6" t="str">
        <v>Apple Computer Inc</v>
      </c>
      <c r="L4" s="7">
        <f>=DATE(1990,3,12)</f>
        <v>32943.99949074074</v>
      </c>
      <c r="N4" s="8">
        <v>183.75</v>
      </c>
      <c r="O4" s="8">
        <v>183.75</v>
      </c>
      <c r="P4" s="8" t="str">
        <v>129,179.85</v>
      </c>
      <c r="R4" s="8">
        <v>454.033</v>
      </c>
      <c r="S4" s="8">
        <v>5284.013</v>
      </c>
      <c r="W4" s="6" t="str">
        <v>Other Software (inq. Games);Printers;Portable Computers;Micro-Computers (PCs);Monitors/Terminals;Other Peripherals;Disk Drives;Mainframes &amp; Super Computers</v>
      </c>
      <c r="X4" s="6" t="str">
        <v>Portable Computers;Printers;Disk Drives;Other Peripherals;Mainframes &amp; Super Computers;Monitors/Terminals;Other Software (inq. Games);Micro-Computers (PCs)</v>
      </c>
      <c r="Y4" s="6" t="str">
        <v>Other Peripherals;Monitors/Terminals;Disk Drives;Printers;Portable Computers;Mainframes &amp; Super Computers;Other Software (inq. Games);Micro-Computers (PCs)</v>
      </c>
      <c r="Z4" s="6" t="str">
        <v>Monitors/Terminals;Other Software (inq. Games);Micro-Computers (PCs);Other Peripherals;Disk Drives;Mainframes &amp; Super Computers;Portable Computers;Printers</v>
      </c>
      <c r="AA4" s="6" t="str">
        <v>Monitors/Terminals;Other Peripherals;Portable Computers;Printers;Mainframes &amp; Super Computers;Other Software (inq. Games);Disk Drives;Micro-Computers (PCs)</v>
      </c>
      <c r="AB4" s="6" t="str">
        <v>Micro-Computers (PCs);Portable Computers;Disk Drives;Other Software (inq. Games);Other Peripherals;Mainframes &amp; Super Computers;Printers;Monitors/Terminals</v>
      </c>
      <c r="AC4" s="8">
        <v>183.75</v>
      </c>
      <c r="AE4" s="8">
        <v>4593.75</v>
      </c>
      <c r="AF4" s="8" t="str">
        <v>3,841.55</v>
      </c>
      <c r="AH4" s="6" t="str">
        <v>True</v>
      </c>
      <c r="AJ4" s="6" t="str">
        <v>Intended</v>
      </c>
      <c r="AK4" s="8">
        <v>4593.75</v>
      </c>
      <c r="AL4" s="8">
        <v>5</v>
      </c>
      <c r="AM4" s="6" t="str">
        <v>Open Market Purchase;Repurchase</v>
      </c>
      <c r="AO4" s="6" t="str">
        <v>Apple Computer's board authorized in March 1990 the repurchase of up to 5 mil shares (4%) of its common stock in the open market. The repurchase had an indicated value of $183.75 mil based on Apple's $36.75 closing stock price on 3/9/90, the last full trading day prior to announcement.</v>
      </c>
    </row>
    <row r="5">
      <c r="A5" s="6" t="str">
        <v>594918</v>
      </c>
      <c r="B5" s="6" t="str">
        <v>United States</v>
      </c>
      <c r="C5" s="6" t="str">
        <v>Microsoft Corp</v>
      </c>
      <c r="D5" s="6" t="str">
        <v>Microsoft Corp</v>
      </c>
      <c r="F5" s="6" t="str">
        <v>United States</v>
      </c>
      <c r="G5" s="6" t="str">
        <v>Microsoft Corp</v>
      </c>
      <c r="H5" s="6" t="str">
        <v>Prepackaged Software</v>
      </c>
      <c r="I5" s="6" t="str">
        <v>594918</v>
      </c>
      <c r="J5" s="6" t="str">
        <v>Microsoft Corp</v>
      </c>
      <c r="K5" s="6" t="str">
        <v>Microsoft Corp</v>
      </c>
      <c r="L5" s="7">
        <f>=DATE(1990,6,13)</f>
        <v>33036.99949074074</v>
      </c>
      <c r="R5" s="8">
        <v>170.538</v>
      </c>
      <c r="S5" s="8">
        <v>803.53</v>
      </c>
      <c r="W5" s="6" t="str">
        <v>Computer Consulting Services;Operating Systems;Other Peripherals;Internet Services &amp; Software;Applications Software(Business;Monitors/Terminals</v>
      </c>
      <c r="X5" s="6" t="str">
        <v>Other Peripherals;Computer Consulting Services;Monitors/Terminals;Applications Software(Business;Internet Services &amp; Software;Operating Systems</v>
      </c>
      <c r="Y5" s="6" t="str">
        <v>Computer Consulting Services;Monitors/Terminals;Applications Software(Business;Internet Services &amp; Software;Other Peripherals;Operating Systems</v>
      </c>
      <c r="Z5" s="6" t="str">
        <v>Internet Services &amp; Software;Applications Software(Business;Other Peripherals;Monitors/Terminals;Operating Systems;Computer Consulting Services</v>
      </c>
      <c r="AA5" s="6" t="str">
        <v>Applications Software(Business;Internet Services &amp; Software;Operating Systems;Computer Consulting Services;Monitors/Terminals;Other Peripherals</v>
      </c>
      <c r="AB5" s="6" t="str">
        <v>Other Peripherals;Applications Software(Business;Internet Services &amp; Software;Monitors/Terminals;Operating Systems;Computer Consulting Services</v>
      </c>
      <c r="AH5" s="6" t="str">
        <v>True</v>
      </c>
      <c r="AJ5" s="6" t="str">
        <v>Intended</v>
      </c>
      <c r="AM5" s="6" t="str">
        <v>Repurchase;Open Market Purchase</v>
      </c>
      <c r="AO5" s="6" t="str">
        <v>Microsoft announced that it was going to continue to repurchase shares through Jun 30, 1994. The number of shares to be repurchased was to be based primarily on the amount of money received in connection with stock option exercises. As of Jun 17, 1992, 4,646,500 shares, or 4.2%, had been bought back.</v>
      </c>
    </row>
    <row r="6">
      <c r="A6" s="6" t="str">
        <v>037833</v>
      </c>
      <c r="B6" s="6" t="str">
        <v>United States</v>
      </c>
      <c r="C6" s="6" t="str">
        <v>Apple Computer Inc</v>
      </c>
      <c r="D6" s="6" t="str">
        <v>Apple Computer Inc</v>
      </c>
      <c r="F6" s="6" t="str">
        <v>United States</v>
      </c>
      <c r="G6" s="6" t="str">
        <v>Apple Computer Inc</v>
      </c>
      <c r="H6" s="6" t="str">
        <v>Computer and Office Equipment</v>
      </c>
      <c r="I6" s="6" t="str">
        <v>037833</v>
      </c>
      <c r="J6" s="6" t="str">
        <v>Apple Computer Inc</v>
      </c>
      <c r="K6" s="6" t="str">
        <v>Apple Computer Inc</v>
      </c>
      <c r="L6" s="7">
        <f>=DATE(1990,7,20)</f>
        <v>33073.99949074074</v>
      </c>
      <c r="N6" s="8">
        <v>208.8</v>
      </c>
      <c r="O6" s="8">
        <v>208.8</v>
      </c>
      <c r="P6" s="8" t="str">
        <v>146,857.68</v>
      </c>
      <c r="R6" s="8">
        <v>454.033</v>
      </c>
      <c r="S6" s="8">
        <v>5284.013</v>
      </c>
      <c r="W6" s="6" t="str">
        <v>Disk Drives;Portable Computers;Other Peripherals;Printers;Monitors/Terminals;Mainframes &amp; Super Computers;Micro-Computers (PCs);Other Software (inq. Games)</v>
      </c>
      <c r="X6" s="6" t="str">
        <v>Micro-Computers (PCs);Monitors/Terminals;Other Peripherals;Other Software (inq. Games);Disk Drives;Printers;Mainframes &amp; Super Computers;Portable Computers</v>
      </c>
      <c r="Y6" s="6" t="str">
        <v>Portable Computers;Micro-Computers (PCs);Monitors/Terminals;Other Software (inq. Games);Other Peripherals;Mainframes &amp; Super Computers;Printers;Disk Drives</v>
      </c>
      <c r="Z6" s="6" t="str">
        <v>Other Peripherals;Other Software (inq. Games);Portable Computers;Monitors/Terminals;Printers;Mainframes &amp; Super Computers;Disk Drives;Micro-Computers (PCs)</v>
      </c>
      <c r="AA6" s="6" t="str">
        <v>Other Peripherals;Mainframes &amp; Super Computers;Printers;Monitors/Terminals;Disk Drives;Other Software (inq. Games);Portable Computers;Micro-Computers (PCs)</v>
      </c>
      <c r="AB6" s="6" t="str">
        <v>Other Peripherals;Other Software (inq. Games);Micro-Computers (PCs);Disk Drives;Monitors/Terminals;Mainframes &amp; Super Computers;Printers;Portable Computers</v>
      </c>
      <c r="AC6" s="8">
        <v>208.8</v>
      </c>
      <c r="AE6" s="8">
        <v>5224.762</v>
      </c>
      <c r="AF6" s="8" t="str">
        <v>4,472.56</v>
      </c>
      <c r="AH6" s="6" t="str">
        <v>True</v>
      </c>
      <c r="AJ6" s="6" t="str">
        <v>Intended</v>
      </c>
      <c r="AK6" s="8">
        <v>5224.762</v>
      </c>
      <c r="AL6" s="8">
        <v>5</v>
      </c>
      <c r="AM6" s="6" t="str">
        <v>Open Market Purchase;Repurchase</v>
      </c>
      <c r="AO6" s="6" t="str">
        <v>Apple Computer's board authorized the repurchase of up to 5 mil common shares, or about 4% of the company's common stock outstanding. Based on Apple Computers' closing share price of $41.75 on 7/19/90, the last full trading day prior to the announcement, the buyback had an indicated value of $208.8 mil.</v>
      </c>
    </row>
    <row r="7">
      <c r="A7" s="6" t="str">
        <v>037833</v>
      </c>
      <c r="B7" s="6" t="str">
        <v>United States</v>
      </c>
      <c r="C7" s="6" t="str">
        <v>Apple Computer Inc</v>
      </c>
      <c r="D7" s="6" t="str">
        <v>Apple Computer Inc</v>
      </c>
      <c r="F7" s="6" t="str">
        <v>United States</v>
      </c>
      <c r="G7" s="6" t="str">
        <v>Apple Computer Inc</v>
      </c>
      <c r="H7" s="6" t="str">
        <v>Computer and Office Equipment</v>
      </c>
      <c r="I7" s="6" t="str">
        <v>037833</v>
      </c>
      <c r="J7" s="6" t="str">
        <v>Apple Computer Inc</v>
      </c>
      <c r="K7" s="6" t="str">
        <v>Apple Computer Inc</v>
      </c>
      <c r="L7" s="7">
        <f>=DATE(1990,9,27)</f>
        <v>33142.99949074074</v>
      </c>
      <c r="N7" s="8">
        <v>300</v>
      </c>
      <c r="O7" s="8">
        <v>300</v>
      </c>
      <c r="P7" s="8" t="str">
        <v>104,430.89</v>
      </c>
      <c r="R7" s="8">
        <v>454.033</v>
      </c>
      <c r="S7" s="8">
        <v>5284.013</v>
      </c>
      <c r="W7" s="6" t="str">
        <v>Printers;Monitors/Terminals;Disk Drives;Other Peripherals;Mainframes &amp; Super Computers;Other Software (inq. Games);Micro-Computers (PCs);Portable Computers</v>
      </c>
      <c r="X7" s="6" t="str">
        <v>Other Peripherals;Disk Drives;Mainframes &amp; Super Computers;Monitors/Terminals;Micro-Computers (PCs);Other Software (inq. Games);Portable Computers;Printers</v>
      </c>
      <c r="Y7" s="6" t="str">
        <v>Disk Drives;Other Software (inq. Games);Printers;Other Peripherals;Micro-Computers (PCs);Portable Computers;Monitors/Terminals;Mainframes &amp; Super Computers</v>
      </c>
      <c r="Z7" s="6" t="str">
        <v>Other Peripherals;Portable Computers;Disk Drives;Mainframes &amp; Super Computers;Other Software (inq. Games);Monitors/Terminals;Printers;Micro-Computers (PCs)</v>
      </c>
      <c r="AA7" s="6" t="str">
        <v>Other Software (inq. Games);Portable Computers;Other Peripherals;Micro-Computers (PCs);Mainframes &amp; Super Computers;Printers;Monitors/Terminals;Disk Drives</v>
      </c>
      <c r="AB7" s="6" t="str">
        <v>Micro-Computers (PCs);Other Peripherals;Monitors/Terminals;Other Software (inq. Games);Disk Drives;Printers;Portable Computers;Mainframes &amp; Super Computers</v>
      </c>
      <c r="AC7" s="8">
        <v>300</v>
      </c>
      <c r="AE7" s="8">
        <v>3570</v>
      </c>
      <c r="AF7" s="8" t="str">
        <v>2,817.80</v>
      </c>
      <c r="AH7" s="6" t="str">
        <v>True</v>
      </c>
      <c r="AJ7" s="6" t="str">
        <v>Intended</v>
      </c>
      <c r="AK7" s="8">
        <v>3570</v>
      </c>
      <c r="AL7" s="8">
        <v>10</v>
      </c>
      <c r="AM7" s="6" t="str">
        <v>Repurchase;Open Market Purchase</v>
      </c>
      <c r="AO7" s="6" t="str">
        <v>In September 1990, the board of Apple Computer approved the repurchase of up to 10 mil, or about 8.3% of the company's outstanding common shares. Based on Apple's closing stock price of $29.75 on Sep 26, the last full trading day prior to the announcement, the repurchase had an indicated value of up to $300 mil. As of September 1992, 8.6 mil shares, or 6.7%, had been bought back.</v>
      </c>
    </row>
    <row r="8">
      <c r="A8" s="6" t="str">
        <v>594918</v>
      </c>
      <c r="B8" s="6" t="str">
        <v>United States</v>
      </c>
      <c r="C8" s="6" t="str">
        <v>Microsoft Corp</v>
      </c>
      <c r="D8" s="6" t="str">
        <v>Microsoft Corp</v>
      </c>
      <c r="F8" s="6" t="str">
        <v>Canada</v>
      </c>
      <c r="G8" s="6" t="str">
        <v>Consumers Software Inc</v>
      </c>
      <c r="H8" s="6" t="str">
        <v>Prepackaged Software</v>
      </c>
      <c r="I8" s="6" t="str">
        <v>21070T</v>
      </c>
      <c r="J8" s="6" t="str">
        <v>Consumers Software Inc</v>
      </c>
      <c r="K8" s="6" t="str">
        <v>Consumers Software Inc</v>
      </c>
      <c r="L8" s="7">
        <f>=DATE(1991,3,6)</f>
        <v>33302.99949074074</v>
      </c>
      <c r="M8" s="7">
        <f>=DATE(1991,3,31)</f>
        <v>33327.99949074074</v>
      </c>
      <c r="N8" s="8">
        <v>19.8532585239534</v>
      </c>
      <c r="O8" s="8">
        <v>19.8532585239534</v>
      </c>
      <c r="W8" s="6" t="str">
        <v>Computer Consulting Services;Other Peripherals;Monitors/Terminals;Internet Services &amp; Software;Operating Systems;Applications Software(Business</v>
      </c>
      <c r="X8" s="6" t="str">
        <v>Other Software (inq. Games);Database Software/Programming</v>
      </c>
      <c r="Y8" s="6" t="str">
        <v>Database Software/Programming;Other Software (inq. Games)</v>
      </c>
      <c r="Z8" s="6" t="str">
        <v>Database Software/Programming;Other Software (inq. Games)</v>
      </c>
      <c r="AA8" s="6" t="str">
        <v>Monitors/Terminals;Operating Systems;Computer Consulting Services;Other Peripherals;Internet Services &amp; Software;Applications Software(Business</v>
      </c>
      <c r="AB8" s="6" t="str">
        <v>Operating Systems;Internet Services &amp; Software;Other Peripherals;Applications Software(Business;Computer Consulting Services;Monitors/Terminals</v>
      </c>
      <c r="AC8" s="8">
        <v>19.8532585239534</v>
      </c>
      <c r="AH8" s="6" t="str">
        <v>False</v>
      </c>
      <c r="AI8" s="6" t="str">
        <v>1991</v>
      </c>
      <c r="AJ8" s="6" t="str">
        <v>Completed</v>
      </c>
      <c r="AM8" s="6" t="str">
        <v>Not Applicable</v>
      </c>
      <c r="AO8" s="6" t="str">
        <v>Microsoft acquired Consumers Software. Terms were not disclosed, but sources close to the firm estimated the value of the transaction to be between 21-27 mil Canadian dollars ($18-23 mil US).</v>
      </c>
    </row>
    <row r="9">
      <c r="A9" s="6" t="str">
        <v>594918</v>
      </c>
      <c r="B9" s="6" t="str">
        <v>United States</v>
      </c>
      <c r="C9" s="6" t="str">
        <v>Microsoft Corp</v>
      </c>
      <c r="D9" s="6" t="str">
        <v>Microsoft Corp</v>
      </c>
      <c r="F9" s="6" t="str">
        <v>United States</v>
      </c>
      <c r="G9" s="6" t="str">
        <v>Fox Software Inc</v>
      </c>
      <c r="H9" s="6" t="str">
        <v>Computer and Office Equipment</v>
      </c>
      <c r="I9" s="6" t="str">
        <v>35158A</v>
      </c>
      <c r="J9" s="6" t="str">
        <v>Fox Software Inc</v>
      </c>
      <c r="K9" s="6" t="str">
        <v>Fox Software Inc</v>
      </c>
      <c r="L9" s="7">
        <f>=DATE(1992,3,23)</f>
        <v>33685.99949074074</v>
      </c>
      <c r="M9" s="7">
        <f>=DATE(1992,6,29)</f>
        <v>33783.99949074074</v>
      </c>
      <c r="N9" s="8">
        <v>136.2</v>
      </c>
      <c r="O9" s="8">
        <v>174.8</v>
      </c>
      <c r="P9" s="8" t="str">
        <v>174.80</v>
      </c>
      <c r="S9" s="8">
        <v>75</v>
      </c>
      <c r="W9" s="6" t="str">
        <v>Applications Software(Business;Operating Systems;Internet Services &amp; Software;Computer Consulting Services;Monitors/Terminals;Other Peripherals</v>
      </c>
      <c r="X9" s="6" t="str">
        <v>Other Software (inq. Games);Applications Software(Business;Database Software/Programming;Other Peripherals</v>
      </c>
      <c r="Y9" s="6" t="str">
        <v>Applications Software(Business;Other Peripherals;Database Software/Programming;Other Software (inq. Games)</v>
      </c>
      <c r="Z9" s="6" t="str">
        <v>Other Peripherals;Applications Software(Business;Other Software (inq. Games);Database Software/Programming</v>
      </c>
      <c r="AA9" s="6" t="str">
        <v>Internet Services &amp; Software;Monitors/Terminals;Other Peripherals;Applications Software(Business;Computer Consulting Services;Operating Systems</v>
      </c>
      <c r="AB9" s="6" t="str">
        <v>Computer Consulting Services;Monitors/Terminals;Other Peripherals;Internet Services &amp; Software;Operating Systems;Applications Software(Business</v>
      </c>
      <c r="AC9" s="8">
        <v>174.8</v>
      </c>
      <c r="AF9" s="8" t="str">
        <v>174.80</v>
      </c>
      <c r="AG9" s="8" t="str">
        <v>136.20</v>
      </c>
      <c r="AH9" s="6" t="str">
        <v>True</v>
      </c>
      <c r="AI9" s="6" t="str">
        <v>1992</v>
      </c>
      <c r="AJ9" s="6" t="str">
        <v>Completed</v>
      </c>
      <c r="AM9" s="6" t="str">
        <v>Pooling of Interests;Stock Swap</v>
      </c>
      <c r="AO9" s="6" t="str">
        <v>Microsoft acquired the outstanding stock of Fox Software in exchange for 1.36 mil common shares in a stock swap, to be accounted for as a pooling of interest, valued at $174.8 mil. The value was based on Microsoft's closing stock price of $128.5 on Mar 23, the last full trading day prior to the announcement of the terms. The transaction required regulatory approval.</v>
      </c>
    </row>
    <row r="10">
      <c r="A10" s="6" t="str">
        <v>127646</v>
      </c>
      <c r="B10" s="6" t="str">
        <v>United States</v>
      </c>
      <c r="C10" s="6" t="str">
        <v>Caere Corp</v>
      </c>
      <c r="D10" s="6" t="str">
        <v>Caere Corp</v>
      </c>
      <c r="F10" s="6" t="str">
        <v>United States</v>
      </c>
      <c r="G10" s="6" t="str">
        <v>Caere Corp</v>
      </c>
      <c r="H10" s="6" t="str">
        <v>Prepackaged Software</v>
      </c>
      <c r="I10" s="6" t="str">
        <v>127646</v>
      </c>
      <c r="J10" s="6" t="str">
        <v>Caere Corp</v>
      </c>
      <c r="K10" s="6" t="str">
        <v>Caere Corp</v>
      </c>
      <c r="L10" s="7">
        <f>=DATE(1992,7,21)</f>
        <v>33805.99949074074</v>
      </c>
      <c r="N10" s="8">
        <v>3.15</v>
      </c>
      <c r="O10" s="8">
        <v>3.15</v>
      </c>
      <c r="P10" s="8" t="str">
        <v>132.64</v>
      </c>
      <c r="R10" s="8">
        <v>5.69</v>
      </c>
      <c r="S10" s="8">
        <v>32.417</v>
      </c>
      <c r="T10" s="8">
        <v>0.269</v>
      </c>
      <c r="U10" s="8">
        <v>-2.22</v>
      </c>
      <c r="V10" s="8">
        <v>6.904</v>
      </c>
      <c r="W10" s="6" t="str">
        <v>Data Processing Services;Applications Software(Business</v>
      </c>
      <c r="X10" s="6" t="str">
        <v>Applications Software(Business;Data Processing Services</v>
      </c>
      <c r="Y10" s="6" t="str">
        <v>Applications Software(Business;Data Processing Services</v>
      </c>
      <c r="Z10" s="6" t="str">
        <v>Data Processing Services;Applications Software(Business</v>
      </c>
      <c r="AA10" s="6" t="str">
        <v>Applications Software(Business;Data Processing Services</v>
      </c>
      <c r="AB10" s="6" t="str">
        <v>Data Processing Services;Applications Software(Business</v>
      </c>
      <c r="AC10" s="8">
        <v>3.15</v>
      </c>
      <c r="AE10" s="8">
        <v>81.8055</v>
      </c>
      <c r="AF10" s="8" t="str">
        <v>50.83</v>
      </c>
      <c r="AH10" s="6" t="str">
        <v>True</v>
      </c>
      <c r="AJ10" s="6" t="str">
        <v>Intended</v>
      </c>
      <c r="AK10" s="8">
        <v>81.8055</v>
      </c>
      <c r="AL10" s="8">
        <v>0.2</v>
      </c>
      <c r="AM10" s="6" t="str">
        <v>Open Market Purchase;Repurchase</v>
      </c>
      <c r="AO10" s="6" t="str">
        <v>In July 1992, Caere's board authorized the repurchase of up to 0.2 mil common shares, or about 3.85% of the company's common stock outstanding in open market transactions. Based on Caere's closing stock price of $15.75 on Jul 20, the last full trading day prior to the announcement of the board's approval, the buyback had an indicated value of up to $3.15 mil.</v>
      </c>
    </row>
    <row r="11">
      <c r="A11" s="6" t="str">
        <v>037833</v>
      </c>
      <c r="B11" s="6" t="str">
        <v>United States</v>
      </c>
      <c r="C11" s="6" t="str">
        <v>Apple Computer Inc</v>
      </c>
      <c r="D11" s="6" t="str">
        <v>Apple Computer Inc</v>
      </c>
      <c r="F11" s="6" t="str">
        <v>United States</v>
      </c>
      <c r="G11" s="6" t="str">
        <v>Apple Computer Inc</v>
      </c>
      <c r="H11" s="6" t="str">
        <v>Computer and Office Equipment</v>
      </c>
      <c r="I11" s="6" t="str">
        <v>037833</v>
      </c>
      <c r="J11" s="6" t="str">
        <v>Apple Computer Inc</v>
      </c>
      <c r="K11" s="6" t="str">
        <v>Apple Computer Inc</v>
      </c>
      <c r="L11" s="7">
        <f>=DATE(1992,11,18)</f>
        <v>33925.99949074074</v>
      </c>
      <c r="N11" s="8">
        <v>552.5</v>
      </c>
      <c r="O11" s="8">
        <v>552.5</v>
      </c>
      <c r="P11" s="8" t="str">
        <v>182,035.70</v>
      </c>
      <c r="R11" s="8">
        <v>530.373</v>
      </c>
      <c r="S11" s="8">
        <v>7086.542</v>
      </c>
      <c r="T11" s="8">
        <v>-76.702</v>
      </c>
      <c r="U11" s="8">
        <v>-897.947</v>
      </c>
      <c r="V11" s="8">
        <v>869.059</v>
      </c>
      <c r="W11" s="6" t="str">
        <v>Micro-Computers (PCs);Portable Computers;Other Peripherals;Mainframes &amp; Super Computers;Monitors/Terminals;Other Software (inq. Games);Printers;Disk Drives</v>
      </c>
      <c r="X11" s="6" t="str">
        <v>Micro-Computers (PCs);Portable Computers;Mainframes &amp; Super Computers;Disk Drives;Monitors/Terminals;Printers;Other Software (inq. Games);Other Peripherals</v>
      </c>
      <c r="Y11" s="6" t="str">
        <v>Disk Drives;Other Software (inq. Games);Micro-Computers (PCs);Portable Computers;Other Peripherals;Printers;Monitors/Terminals;Mainframes &amp; Super Computers</v>
      </c>
      <c r="Z11" s="6" t="str">
        <v>Printers;Monitors/Terminals;Mainframes &amp; Super Computers;Other Peripherals;Portable Computers;Disk Drives;Other Software (inq. Games);Micro-Computers (PCs)</v>
      </c>
      <c r="AA11" s="6" t="str">
        <v>Disk Drives;Printers;Monitors/Terminals;Other Peripherals;Micro-Computers (PCs);Portable Computers;Other Software (inq. Games);Mainframes &amp; Super Computers</v>
      </c>
      <c r="AB11" s="6" t="str">
        <v>Portable Computers;Other Peripherals;Other Software (inq. Games);Monitors/Terminals;Disk Drives;Micro-Computers (PCs);Mainframes &amp; Super Computers;Printers</v>
      </c>
      <c r="AC11" s="8">
        <v>552.5</v>
      </c>
      <c r="AE11" s="8">
        <v>6547.125</v>
      </c>
      <c r="AF11" s="8" t="str">
        <v>5,296.09</v>
      </c>
      <c r="AH11" s="6" t="str">
        <v>True</v>
      </c>
      <c r="AJ11" s="6" t="str">
        <v>Intended</v>
      </c>
      <c r="AK11" s="8">
        <v>6547.125</v>
      </c>
      <c r="AL11" s="8">
        <v>10</v>
      </c>
      <c r="AM11" s="6" t="str">
        <v>Open Market Purchase;Repurchase</v>
      </c>
      <c r="AO11" s="6" t="str">
        <v>In November 1992, Apple Computer's board authorized the repurchase of up to 10 mil common shares, or about 8.4% of the company's common stock outstanding in open market transactions. Based on Apple Computer's closing stock price of $55.25 on Nov 17, the last full trading day prior to the announcement of the board's approval, the buyback had an indicated value of up to $552.5 mil.</v>
      </c>
    </row>
    <row r="12">
      <c r="A12" s="6" t="str">
        <v>594918</v>
      </c>
      <c r="B12" s="6" t="str">
        <v>United States</v>
      </c>
      <c r="C12" s="6" t="str">
        <v>Microsoft Corp</v>
      </c>
      <c r="D12" s="6" t="str">
        <v>Microsoft Corp</v>
      </c>
      <c r="E12" s="6" t="str">
        <v>Undisclosed Acquiror</v>
      </c>
      <c r="F12" s="6" t="str">
        <v>United States</v>
      </c>
      <c r="G12" s="6" t="str">
        <v>Minnesota Software Systems Development Corp</v>
      </c>
      <c r="H12" s="6" t="str">
        <v>Prepackaged Software</v>
      </c>
      <c r="I12" s="6" t="str">
        <v>60392W</v>
      </c>
      <c r="J12" s="6" t="str">
        <v>Minnesota Software Systems Development Corp</v>
      </c>
      <c r="K12" s="6" t="str">
        <v>Minnesota Software Systems Development Corp</v>
      </c>
      <c r="L12" s="7">
        <f>=DATE(1993,6,11)</f>
        <v>34130.99949074074</v>
      </c>
      <c r="Q12" s="8" t="str">
        <v>95.00</v>
      </c>
      <c r="W12" s="6" t="str">
        <v>Other Peripherals;Internet Services &amp; Software;Computer Consulting Services;Applications Software(Business;Operating Systems;Monitors/Terminals</v>
      </c>
      <c r="X12" s="6" t="str">
        <v>Other Software (inq. Games);Database Software/Programming;Applications Software(Business</v>
      </c>
      <c r="Y12" s="6" t="str">
        <v>Applications Software(Business;Other Software (inq. Games);Database Software/Programming</v>
      </c>
      <c r="Z12" s="6" t="str">
        <v>Applications Software(Business;Other Software (inq. Games);Database Software/Programming</v>
      </c>
      <c r="AA12" s="6" t="str">
        <v>Computer Consulting Services;Operating Systems;Monitors/Terminals;Internet Services &amp; Software;Other Peripherals;Applications Software(Business</v>
      </c>
      <c r="AB12" s="6" t="str">
        <v>Monitors/Terminals;Computer Consulting Services;Other Peripherals;Operating Systems;Applications Software(Business;Internet Services &amp; Software</v>
      </c>
      <c r="AH12" s="6" t="str">
        <v>True</v>
      </c>
      <c r="AJ12" s="6" t="str">
        <v>Dismissed Rumor</v>
      </c>
      <c r="AM12" s="6" t="str">
        <v>Rumored Deal</v>
      </c>
      <c r="AO12" s="6" t="str">
        <v>Minnesota Software Systems Development denied rumors that it was being acquired by Microsoft. However, it did disclosed that it had agreed to be acquired by an undisclosed software company.</v>
      </c>
    </row>
    <row r="13">
      <c r="A13" s="6" t="str">
        <v>594918</v>
      </c>
      <c r="B13" s="6" t="str">
        <v>United States</v>
      </c>
      <c r="C13" s="6" t="str">
        <v>Microsoft Corp</v>
      </c>
      <c r="D13" s="6" t="str">
        <v>Microsoft Corp</v>
      </c>
      <c r="F13" s="6" t="str">
        <v>United States</v>
      </c>
      <c r="G13" s="6" t="str">
        <v>Continuum Productions Corp-Technology Assets</v>
      </c>
      <c r="H13" s="6" t="str">
        <v>Prepackaged Software</v>
      </c>
      <c r="I13" s="6" t="str">
        <v>21218Z</v>
      </c>
      <c r="J13" s="6" t="str">
        <v>Continuum Productions Corp</v>
      </c>
      <c r="K13" s="6" t="str">
        <v>Continuum Productions Corp</v>
      </c>
      <c r="L13" s="7">
        <f>=DATE(1993,8,4)</f>
        <v>34184.99949074074</v>
      </c>
      <c r="W13" s="6" t="str">
        <v>Applications Software(Business;Operating Systems;Internet Services &amp; Software;Other Peripherals;Computer Consulting Services;Monitors/Terminals</v>
      </c>
      <c r="X13" s="6" t="str">
        <v>Other Software (inq. Games);Applications Software(Business</v>
      </c>
      <c r="Y13" s="6" t="str">
        <v>Applications Software(Business;Other Software (inq. Games)</v>
      </c>
      <c r="Z13" s="6" t="str">
        <v>Other Software (inq. Games);Applications Software(Business</v>
      </c>
      <c r="AA13" s="6" t="str">
        <v>Internet Services &amp; Software;Applications Software(Business;Other Peripherals;Operating Systems;Computer Consulting Services;Monitors/Terminals</v>
      </c>
      <c r="AB13" s="6" t="str">
        <v>Operating Systems;Computer Consulting Services;Other Peripherals;Applications Software(Business;Monitors/Terminals;Internet Services &amp; Software</v>
      </c>
      <c r="AH13" s="6" t="str">
        <v>True</v>
      </c>
      <c r="AJ13" s="6" t="str">
        <v>Status Unknown</v>
      </c>
      <c r="AM13" s="6" t="str">
        <v>Divestiture</v>
      </c>
      <c r="AO13" s="6" t="str">
        <v>Microsoft agreed to acquire certain technology and product development assets of Continuum Productions. Terms were not disclosed.</v>
      </c>
    </row>
    <row r="14">
      <c r="A14" s="6" t="str">
        <v>594918</v>
      </c>
      <c r="B14" s="6" t="str">
        <v>United States</v>
      </c>
      <c r="C14" s="6" t="str">
        <v>Microsoft Corp</v>
      </c>
      <c r="D14" s="6" t="str">
        <v>Microsoft Corp</v>
      </c>
      <c r="F14" s="6" t="str">
        <v>Canada</v>
      </c>
      <c r="G14" s="6" t="str">
        <v>Softimage Co</v>
      </c>
      <c r="H14" s="6" t="str">
        <v>Prepackaged Software</v>
      </c>
      <c r="I14" s="6" t="str">
        <v>833961</v>
      </c>
      <c r="J14" s="6" t="str">
        <v>Softimage Co</v>
      </c>
      <c r="K14" s="6" t="str">
        <v>Softimage Co</v>
      </c>
      <c r="L14" s="7">
        <f>=DATE(1994,2,14)</f>
        <v>34378.99949074074</v>
      </c>
      <c r="M14" s="7">
        <f>=DATE(1994,2,28)</f>
        <v>34392.99949074074</v>
      </c>
      <c r="N14" s="8">
        <v>139.24285079271</v>
      </c>
      <c r="O14" s="8">
        <v>139.24285079271</v>
      </c>
      <c r="P14" s="8" t="str">
        <v>142.65</v>
      </c>
      <c r="R14" s="8">
        <v>3.552</v>
      </c>
      <c r="S14" s="8">
        <v>24.563</v>
      </c>
      <c r="W14" s="6" t="str">
        <v>Applications Software(Business;Other Peripherals;Monitors/Terminals;Computer Consulting Services;Internet Services &amp; Software;Operating Systems</v>
      </c>
      <c r="X14" s="6" t="str">
        <v>Other Software (inq. Games)</v>
      </c>
      <c r="Y14" s="6" t="str">
        <v>Other Software (inq. Games)</v>
      </c>
      <c r="Z14" s="6" t="str">
        <v>Other Software (inq. Games)</v>
      </c>
      <c r="AA14" s="6" t="str">
        <v>Monitors/Terminals;Internet Services &amp; Software;Other Peripherals;Applications Software(Business;Computer Consulting Services;Operating Systems</v>
      </c>
      <c r="AB14" s="6" t="str">
        <v>Applications Software(Business;Operating Systems;Monitors/Terminals;Internet Services &amp; Software;Computer Consulting Services;Other Peripherals</v>
      </c>
      <c r="AC14" s="8">
        <v>139.24285079271</v>
      </c>
      <c r="AD14" s="7">
        <f>=DATE(1994,6,28)</f>
        <v>34512.99949074074</v>
      </c>
      <c r="AE14" s="8">
        <v>139.242984145799</v>
      </c>
      <c r="AF14" s="8" t="str">
        <v>170.34</v>
      </c>
      <c r="AG14" s="8" t="str">
        <v>142.64</v>
      </c>
      <c r="AH14" s="6" t="str">
        <v>True</v>
      </c>
      <c r="AI14" s="6" t="str">
        <v>1994</v>
      </c>
      <c r="AJ14" s="6" t="str">
        <v>Completed</v>
      </c>
      <c r="AK14" s="8">
        <v>139.242984145799</v>
      </c>
      <c r="AL14" s="8">
        <v>5.8515</v>
      </c>
      <c r="AM14" s="6" t="str">
        <v>Stock Swap</v>
      </c>
      <c r="AN14" s="8">
        <v>4.127</v>
      </c>
      <c r="AO14" s="6" t="str">
        <v>Microsoft (MSF) acquired SOFTIMAGE (SI) in a stock swap valued at an amended 187.95 mil Canadian dollars ($139 mil US). SI shareholders received .458 shares of a new class of SI exchangeable stock for each share held. The shares were exchangeable for an equal amount of MSF common stock. MSF had originally offered .279 shares of MSF common stock for each SI share held, subject to a collar. Based on MSF's closing stock price of C$70.12 mil ($51.875 US) on Jun 27, the last full trading day prior to the announcement, each share of SI was valued at C$32.12 ($23.76 US).</v>
      </c>
    </row>
    <row r="15">
      <c r="A15" s="6" t="str">
        <v>594918</v>
      </c>
      <c r="B15" s="6" t="str">
        <v>United States</v>
      </c>
      <c r="C15" s="6" t="str">
        <v>Microsoft Corp</v>
      </c>
      <c r="D15" s="6" t="str">
        <v>Microsoft Corp</v>
      </c>
      <c r="E15" s="6" t="str">
        <v>Microsoft Corp</v>
      </c>
      <c r="F15" s="6" t="str">
        <v>United States</v>
      </c>
      <c r="G15" s="6" t="str">
        <v>Metricom Inc</v>
      </c>
      <c r="H15" s="6" t="str">
        <v>Communications Equipment</v>
      </c>
      <c r="I15" s="6" t="str">
        <v>591596</v>
      </c>
      <c r="J15" s="6" t="str">
        <v>Metricom Inc</v>
      </c>
      <c r="K15" s="6" t="str">
        <v>Metricom Inc</v>
      </c>
      <c r="L15" s="7">
        <f>=DATE(1994,2,21)</f>
        <v>34385.99949074074</v>
      </c>
      <c r="Q15" s="8" t="str">
        <v>2.80</v>
      </c>
      <c r="R15" s="8">
        <v>-6.149</v>
      </c>
      <c r="S15" s="8">
        <v>10.057</v>
      </c>
      <c r="T15" s="8">
        <v>19.581</v>
      </c>
      <c r="U15" s="8">
        <v>-15.231</v>
      </c>
      <c r="V15" s="8">
        <v>-6.054</v>
      </c>
      <c r="W15" s="6" t="str">
        <v>Computer Consulting Services;Monitors/Terminals;Internet Services &amp; Software;Applications Software(Business;Operating Systems;Other Peripherals</v>
      </c>
      <c r="X15" s="6" t="str">
        <v>Other Telecommunications Equip</v>
      </c>
      <c r="Y15" s="6" t="str">
        <v>Other Telecommunications Equip</v>
      </c>
      <c r="Z15" s="6" t="str">
        <v>Other Telecommunications Equip</v>
      </c>
      <c r="AA15" s="6" t="str">
        <v>Other Peripherals;Computer Consulting Services;Monitors/Terminals;Operating Systems;Applications Software(Business;Internet Services &amp; Software</v>
      </c>
      <c r="AB15" s="6" t="str">
        <v>Computer Consulting Services;Internet Services &amp; Software;Operating Systems;Applications Software(Business;Monitors/Terminals;Other Peripherals</v>
      </c>
      <c r="AH15" s="6" t="str">
        <v>True</v>
      </c>
      <c r="AJ15" s="6" t="str">
        <v>Status Unknown</v>
      </c>
      <c r="AL15" s="8">
        <v>0.2</v>
      </c>
      <c r="AM15" s="6" t="str">
        <v>Privately Negotiated Purchase</v>
      </c>
      <c r="AO15" s="6" t="str">
        <v>Microsoft agreed to acquire .2 mil common shares or 2% of Metricom's total common stock outstanding. Concurrently, Microsoft was granted a warrant to acquire an additional .075 mil shares at an exercise price of $37.50 per share or a total of $2.8 mil.</v>
      </c>
    </row>
    <row r="16">
      <c r="A16" s="6" t="str">
        <v>594918</v>
      </c>
      <c r="B16" s="6" t="str">
        <v>United States</v>
      </c>
      <c r="C16" s="6" t="str">
        <v>Microsoft Corp</v>
      </c>
      <c r="D16" s="6" t="str">
        <v>Microsoft Corp</v>
      </c>
      <c r="E16" s="6" t="str">
        <v>Microsoft Corp</v>
      </c>
      <c r="F16" s="6" t="str">
        <v>United States</v>
      </c>
      <c r="G16" s="6" t="str">
        <v>Metricom Inc</v>
      </c>
      <c r="H16" s="6" t="str">
        <v>Communications Equipment</v>
      </c>
      <c r="I16" s="6" t="str">
        <v>591596</v>
      </c>
      <c r="J16" s="6" t="str">
        <v>Metricom Inc</v>
      </c>
      <c r="K16" s="6" t="str">
        <v>Metricom Inc</v>
      </c>
      <c r="L16" s="7">
        <f>=DATE(1994,2,21)</f>
        <v>34385.99949074074</v>
      </c>
      <c r="N16" s="8">
        <v>2.8</v>
      </c>
      <c r="O16" s="8">
        <v>2.8</v>
      </c>
      <c r="P16" s="8" t="str">
        <v>329.89</v>
      </c>
      <c r="R16" s="8">
        <v>-6.149</v>
      </c>
      <c r="S16" s="8">
        <v>10.057</v>
      </c>
      <c r="T16" s="8">
        <v>19.581</v>
      </c>
      <c r="U16" s="8">
        <v>-15.231</v>
      </c>
      <c r="V16" s="8">
        <v>-6.054</v>
      </c>
      <c r="W16" s="6" t="str">
        <v>Applications Software(Business;Monitors/Terminals;Other Peripherals;Computer Consulting Services;Operating Systems;Internet Services &amp; Software</v>
      </c>
      <c r="X16" s="6" t="str">
        <v>Other Telecommunications Equip</v>
      </c>
      <c r="Y16" s="6" t="str">
        <v>Other Telecommunications Equip</v>
      </c>
      <c r="Z16" s="6" t="str">
        <v>Other Telecommunications Equip</v>
      </c>
      <c r="AA16" s="6" t="str">
        <v>Computer Consulting Services;Internet Services &amp; Software;Monitors/Terminals;Other Peripherals;Operating Systems;Applications Software(Business</v>
      </c>
      <c r="AB16" s="6" t="str">
        <v>Operating Systems;Computer Consulting Services;Internet Services &amp; Software;Applications Software(Business;Monitors/Terminals;Other Peripherals</v>
      </c>
      <c r="AC16" s="8">
        <v>2.8</v>
      </c>
      <c r="AD16" s="7">
        <f>=DATE(1994,2,21)</f>
        <v>34385.99949074074</v>
      </c>
      <c r="AE16" s="8">
        <v>352.8225</v>
      </c>
      <c r="AF16" s="8" t="str">
        <v>330.60</v>
      </c>
      <c r="AH16" s="6" t="str">
        <v>True</v>
      </c>
      <c r="AJ16" s="6" t="str">
        <v>Intended</v>
      </c>
      <c r="AK16" s="8">
        <v>352.8225</v>
      </c>
      <c r="AL16" s="8">
        <v>0.075</v>
      </c>
      <c r="AM16" s="6" t="str">
        <v>Privately Negotiated Purchase</v>
      </c>
      <c r="AO16" s="6" t="str">
        <v>Microsoft was granted a warrant to acquire .075 mil shares of Metricom at an exercise price of $37.50 per share or a total of $2.8 mil. Concurrently, Microsoft agreed to acquire .2 mil common shares or 2% of Metricom's total common stock outstanding.</v>
      </c>
    </row>
    <row r="17">
      <c r="A17" s="6" t="str">
        <v>594918</v>
      </c>
      <c r="B17" s="6" t="str">
        <v>United States</v>
      </c>
      <c r="C17" s="6" t="str">
        <v>Microsoft Corp</v>
      </c>
      <c r="D17" s="6" t="str">
        <v>Microsoft Corp</v>
      </c>
      <c r="F17" s="6" t="str">
        <v>United States</v>
      </c>
      <c r="G17" s="6" t="str">
        <v>Stac Electronics Inc</v>
      </c>
      <c r="H17" s="6" t="str">
        <v>Prepackaged Software</v>
      </c>
      <c r="I17" s="6" t="str">
        <v>852323</v>
      </c>
      <c r="J17" s="6" t="str">
        <v>Stac Electronics Inc</v>
      </c>
      <c r="K17" s="6" t="str">
        <v>Stac Electronics Inc</v>
      </c>
      <c r="L17" s="7">
        <f>=DATE(1994,6,21)</f>
        <v>34505.99949074074</v>
      </c>
      <c r="M17" s="7">
        <f>=DATE(1994,6,21)</f>
        <v>34505.99949074074</v>
      </c>
      <c r="N17" s="8">
        <v>39.9</v>
      </c>
      <c r="O17" s="8">
        <v>39.9</v>
      </c>
      <c r="P17" s="8" t="str">
        <v>267.99</v>
      </c>
      <c r="R17" s="8">
        <v>0.415</v>
      </c>
      <c r="S17" s="8">
        <v>36.984</v>
      </c>
      <c r="T17" s="8">
        <v>0.441</v>
      </c>
      <c r="U17" s="8">
        <v>-24.954</v>
      </c>
      <c r="V17" s="8">
        <v>-4.242</v>
      </c>
      <c r="W17" s="6" t="str">
        <v>Monitors/Terminals;Internet Services &amp; Software;Operating Systems;Computer Consulting Services;Applications Software(Business;Other Peripherals</v>
      </c>
      <c r="X17" s="6" t="str">
        <v>Data Processing Services;Communication/Network Software</v>
      </c>
      <c r="Y17" s="6" t="str">
        <v>Data Processing Services;Communication/Network Software</v>
      </c>
      <c r="Z17" s="6" t="str">
        <v>Data Processing Services;Communication/Network Software</v>
      </c>
      <c r="AA17" s="6" t="str">
        <v>Other Peripherals;Internet Services &amp; Software;Applications Software(Business;Computer Consulting Services;Operating Systems;Monitors/Terminals</v>
      </c>
      <c r="AB17" s="6" t="str">
        <v>Operating Systems;Computer Consulting Services;Internet Services &amp; Software;Applications Software(Business;Monitors/Terminals;Other Peripherals</v>
      </c>
      <c r="AC17" s="8">
        <v>39.9</v>
      </c>
      <c r="AD17" s="7">
        <f>=DATE(1994,6,21)</f>
        <v>34505.99949074074</v>
      </c>
      <c r="AF17" s="8" t="str">
        <v>267.99</v>
      </c>
      <c r="AG17" s="8" t="str">
        <v>267.99</v>
      </c>
      <c r="AH17" s="6" t="str">
        <v>True</v>
      </c>
      <c r="AI17" s="6" t="str">
        <v>1994</v>
      </c>
      <c r="AJ17" s="6" t="str">
        <v>Completed</v>
      </c>
      <c r="AL17" s="8">
        <v>4.44</v>
      </c>
      <c r="AM17" s="6" t="str">
        <v>Privately Negotiated Purchase</v>
      </c>
      <c r="AO17" s="6" t="str">
        <v>Microsoft acquired a 15.5% stake in Stac Electronics for $39.9 mil by acquiring non-voting convertible preferred stock that converted at $9 per share into a total of 4.44 mil common shares. The transaction resulted in the settlement of their patent infringement dispute, which included the signing of a broad cross-licensing agreement.</v>
      </c>
    </row>
    <row r="18">
      <c r="A18" s="6" t="str">
        <v>594918</v>
      </c>
      <c r="B18" s="6" t="str">
        <v>United States</v>
      </c>
      <c r="C18" s="6" t="str">
        <v>Microsoft Corp</v>
      </c>
      <c r="D18" s="6" t="str">
        <v>Microsoft Corp</v>
      </c>
      <c r="F18" s="6" t="str">
        <v>United States</v>
      </c>
      <c r="G18" s="6" t="str">
        <v>Microsoft Corp</v>
      </c>
      <c r="H18" s="6" t="str">
        <v>Prepackaged Software</v>
      </c>
      <c r="I18" s="6" t="str">
        <v>594918</v>
      </c>
      <c r="J18" s="6" t="str">
        <v>Microsoft Corp</v>
      </c>
      <c r="K18" s="6" t="str">
        <v>Microsoft Corp</v>
      </c>
      <c r="L18" s="7">
        <f>=DATE(1994,7,6)</f>
        <v>34520.99949074074</v>
      </c>
      <c r="M18" s="7">
        <f>=DATE(1994,7,6)</f>
        <v>34520.99949074074</v>
      </c>
      <c r="N18" s="8">
        <v>348</v>
      </c>
      <c r="O18" s="8">
        <v>348</v>
      </c>
      <c r="P18" s="8" t="str">
        <v>8,037.85</v>
      </c>
      <c r="R18" s="8">
        <v>1146</v>
      </c>
      <c r="S18" s="8">
        <v>4649</v>
      </c>
      <c r="T18" s="8">
        <v>83</v>
      </c>
      <c r="U18" s="8">
        <v>-1202</v>
      </c>
      <c r="V18" s="8">
        <v>1593</v>
      </c>
      <c r="W18" s="6" t="str">
        <v>Operating Systems;Monitors/Terminals;Computer Consulting Services;Other Peripherals;Internet Services &amp; Software;Applications Software(Business</v>
      </c>
      <c r="X18" s="6" t="str">
        <v>Other Peripherals;Internet Services &amp; Software;Monitors/Terminals;Operating Systems;Computer Consulting Services;Applications Software(Business</v>
      </c>
      <c r="Y18" s="6" t="str">
        <v>Other Peripherals;Applications Software(Business;Operating Systems;Computer Consulting Services;Monitors/Terminals;Internet Services &amp; Software</v>
      </c>
      <c r="Z18" s="6" t="str">
        <v>Monitors/Terminals;Applications Software(Business;Internet Services &amp; Software;Computer Consulting Services;Other Peripherals;Operating Systems</v>
      </c>
      <c r="AA18" s="6" t="str">
        <v>Applications Software(Business;Other Peripherals;Internet Services &amp; Software;Monitors/Terminals;Operating Systems;Computer Consulting Services</v>
      </c>
      <c r="AB18" s="6" t="str">
        <v>Computer Consulting Services;Internet Services &amp; Software;Other Peripherals;Applications Software(Business;Operating Systems;Monitors/Terminals</v>
      </c>
      <c r="AC18" s="8">
        <v>348</v>
      </c>
      <c r="AD18" s="7">
        <f>=DATE(1994,7,6)</f>
        <v>34520.99949074074</v>
      </c>
      <c r="AF18" s="8" t="str">
        <v>8,037.85</v>
      </c>
      <c r="AG18" s="8" t="str">
        <v>8,037.85</v>
      </c>
      <c r="AH18" s="6" t="str">
        <v>True</v>
      </c>
      <c r="AI18" s="6" t="str">
        <v>1994</v>
      </c>
      <c r="AJ18" s="6" t="str">
        <v>Completed</v>
      </c>
      <c r="AL18" s="8">
        <v>8.6</v>
      </c>
      <c r="AM18" s="6" t="str">
        <v>Open Market Purchase;Repurchase</v>
      </c>
      <c r="AO18" s="6" t="str">
        <v>Microsoft repurchased 8.6 mil shares or about 3% of the company's common stock outstanding for $348 mil in cash in the open market.</v>
      </c>
    </row>
    <row r="19">
      <c r="A19" s="6" t="str">
        <v>594918</v>
      </c>
      <c r="B19" s="6" t="str">
        <v>United States</v>
      </c>
      <c r="C19" s="6" t="str">
        <v>Microsoft Corp</v>
      </c>
      <c r="D19" s="6" t="str">
        <v>Microsoft Corp</v>
      </c>
      <c r="F19" s="6" t="str">
        <v>United States</v>
      </c>
      <c r="G19" s="6" t="str">
        <v>Altamira Software Corp</v>
      </c>
      <c r="H19" s="6" t="str">
        <v>Business Services</v>
      </c>
      <c r="I19" s="6" t="str">
        <v>02138C</v>
      </c>
      <c r="J19" s="6" t="str">
        <v>Altamira Software Corp</v>
      </c>
      <c r="K19" s="6" t="str">
        <v>Altamira Software Corp</v>
      </c>
      <c r="L19" s="7">
        <f>=DATE(1994,9,27)</f>
        <v>34603.99949074074</v>
      </c>
      <c r="M19" s="7">
        <f>=DATE(1994,9,27)</f>
        <v>34603.99949074074</v>
      </c>
      <c r="W19" s="6" t="str">
        <v>Internet Services &amp; Software;Other Peripherals;Operating Systems;Applications Software(Business;Monitors/Terminals;Computer Consulting Services</v>
      </c>
      <c r="X19" s="6" t="str">
        <v>Other Software (inq. Games);Other Computer Related Svcs;Applications Software(Business</v>
      </c>
      <c r="Y19" s="6" t="str">
        <v>Applications Software(Business;Other Computer Related Svcs;Other Software (inq. Games)</v>
      </c>
      <c r="Z19" s="6" t="str">
        <v>Applications Software(Business;Other Software (inq. Games);Other Computer Related Svcs</v>
      </c>
      <c r="AA19" s="6" t="str">
        <v>Monitors/Terminals;Computer Consulting Services;Applications Software(Business;Other Peripherals;Operating Systems;Internet Services &amp; Software</v>
      </c>
      <c r="AB19" s="6" t="str">
        <v>Internet Services &amp; Software;Other Peripherals;Computer Consulting Services;Applications Software(Business;Operating Systems;Monitors/Terminals</v>
      </c>
      <c r="AH19" s="6" t="str">
        <v>False</v>
      </c>
      <c r="AI19" s="6" t="str">
        <v>1994</v>
      </c>
      <c r="AJ19" s="6" t="str">
        <v>Completed</v>
      </c>
      <c r="AM19" s="6" t="str">
        <v>Stock Swap</v>
      </c>
      <c r="AO19" s="6" t="str">
        <v>Microsoft acquired Altamira Software in a stock swap transaction.</v>
      </c>
    </row>
    <row r="20">
      <c r="A20" s="6" t="str">
        <v>594918</v>
      </c>
      <c r="B20" s="6" t="str">
        <v>United States</v>
      </c>
      <c r="C20" s="6" t="str">
        <v>Microsoft Corp</v>
      </c>
      <c r="D20" s="6" t="str">
        <v>Microsoft Corp</v>
      </c>
      <c r="E20" s="6" t="str">
        <v>Novell Inc</v>
      </c>
      <c r="F20" s="6" t="str">
        <v>United States</v>
      </c>
      <c r="G20" s="6" t="str">
        <v>Intuit Inc</v>
      </c>
      <c r="H20" s="6" t="str">
        <v>Prepackaged Software</v>
      </c>
      <c r="I20" s="6" t="str">
        <v>461202</v>
      </c>
      <c r="J20" s="6" t="str">
        <v>Intuit Inc</v>
      </c>
      <c r="K20" s="6" t="str">
        <v>Intuit Inc</v>
      </c>
      <c r="L20" s="7">
        <f>=DATE(1994,10,13)</f>
        <v>34619.99949074074</v>
      </c>
      <c r="N20" s="8">
        <v>1559.17</v>
      </c>
      <c r="O20" s="8">
        <v>1559.17</v>
      </c>
      <c r="P20" s="8" t="str">
        <v>17,571.53</v>
      </c>
      <c r="R20" s="8">
        <v>-174.911</v>
      </c>
      <c r="S20" s="8">
        <v>214.354</v>
      </c>
      <c r="T20" s="8">
        <v>0.854</v>
      </c>
      <c r="U20" s="8">
        <v>1.719</v>
      </c>
      <c r="V20" s="8">
        <v>9.278</v>
      </c>
      <c r="W20" s="6" t="str">
        <v>Internet Services &amp; Software;Applications Software(Business;Computer Consulting Services;Operating Systems;Other Peripherals;Monitors/Terminals</v>
      </c>
      <c r="X20" s="6" t="str">
        <v>Internet Services &amp; Software;Applications Software(Business;Communication/Network Software</v>
      </c>
      <c r="Y20" s="6" t="str">
        <v>Internet Services &amp; Software;Applications Software(Business;Communication/Network Software</v>
      </c>
      <c r="Z20" s="6" t="str">
        <v>Internet Services &amp; Software;Applications Software(Business;Communication/Network Software</v>
      </c>
      <c r="AA20" s="6" t="str">
        <v>Other Peripherals;Internet Services &amp; Software;Computer Consulting Services;Monitors/Terminals;Applications Software(Business;Operating Systems</v>
      </c>
      <c r="AB20" s="6" t="str">
        <v>Other Peripherals;Computer Consulting Services;Internet Services &amp; Software;Operating Systems;Applications Software(Business;Monitors/Terminals</v>
      </c>
      <c r="AC20" s="8">
        <v>1559.17</v>
      </c>
      <c r="AD20" s="7">
        <f>=DATE(1994,10,13)</f>
        <v>34619.99949074074</v>
      </c>
      <c r="AE20" s="8">
        <v>1793.293509496</v>
      </c>
      <c r="AF20" s="8" t="str">
        <v>1,475.28</v>
      </c>
      <c r="AH20" s="6" t="str">
        <v>True</v>
      </c>
      <c r="AJ20" s="6" t="str">
        <v>Withdrawn</v>
      </c>
      <c r="AK20" s="8">
        <v>1793.293509496</v>
      </c>
      <c r="AL20" s="8">
        <v>23.446036</v>
      </c>
      <c r="AM20" s="6" t="str">
        <v>Litigation;Litigation Delay;Stock Swap;Pooling of Interests</v>
      </c>
      <c r="AN20" s="8">
        <v>98.691</v>
      </c>
      <c r="AO20" s="6" t="str">
        <v>Microsoft (MS) terminated its agreement to merge with Intuit (IT) in a stock swap valued at $1.559 bil. IT shareholders were to received 1.336 MS common shares for each IT share held. Based on MS's closing stock price of $57.25 on Oct 12, the last full trading day prior to the announcement, each IT share was valued at $76.486. The transaction had been subject to regulatory approval and was to be accounted for as a pooling of interests. Earlier, Novell agreed to acquire the Microsoft Money product line of MS.</v>
      </c>
    </row>
    <row r="21">
      <c r="A21" s="6" t="str">
        <v>127646</v>
      </c>
      <c r="B21" s="6" t="str">
        <v>United States</v>
      </c>
      <c r="C21" s="6" t="str">
        <v>Caere Corp</v>
      </c>
      <c r="D21" s="6" t="str">
        <v>Caere Corp</v>
      </c>
      <c r="F21" s="6" t="str">
        <v>United States</v>
      </c>
      <c r="G21" s="6" t="str">
        <v>Calera Recognition Systems Inc</v>
      </c>
      <c r="H21" s="6" t="str">
        <v>Measuring, Medical, Photo Equipment; Clocks</v>
      </c>
      <c r="I21" s="6" t="str">
        <v>12945R</v>
      </c>
      <c r="J21" s="6" t="str">
        <v>Calera Recognition Systems Inc</v>
      </c>
      <c r="K21" s="6" t="str">
        <v>Calera Recognition Systems Inc</v>
      </c>
      <c r="L21" s="7">
        <f>=DATE(1994,10,14)</f>
        <v>34620.99949074074</v>
      </c>
      <c r="M21" s="7">
        <f>=DATE(1994,12,20)</f>
        <v>34687.99949074074</v>
      </c>
      <c r="N21" s="8">
        <v>41.72</v>
      </c>
      <c r="O21" s="8">
        <v>32.5</v>
      </c>
      <c r="P21" s="8" t="str">
        <v>32.50</v>
      </c>
      <c r="R21" s="8">
        <v>1.04</v>
      </c>
      <c r="S21" s="8">
        <v>15.93</v>
      </c>
      <c r="T21" s="8">
        <v>0.005</v>
      </c>
      <c r="U21" s="8">
        <v>-0.21</v>
      </c>
      <c r="V21" s="8">
        <v>0.9</v>
      </c>
      <c r="W21" s="6" t="str">
        <v>Applications Software(Business;Data Processing Services</v>
      </c>
      <c r="X21" s="6" t="str">
        <v>Monitors/Terminals;Other Peripherals;Lab Equipment</v>
      </c>
      <c r="Y21" s="6" t="str">
        <v>Other Peripherals;Monitors/Terminals;Lab Equipment</v>
      </c>
      <c r="Z21" s="6" t="str">
        <v>Lab Equipment;Monitors/Terminals;Other Peripherals</v>
      </c>
      <c r="AA21" s="6" t="str">
        <v>Data Processing Services;Applications Software(Business</v>
      </c>
      <c r="AB21" s="6" t="str">
        <v>Data Processing Services;Applications Software(Business</v>
      </c>
      <c r="AC21" s="8">
        <v>32.5</v>
      </c>
      <c r="AD21" s="7">
        <f>=DATE(1994,10,17)</f>
        <v>34623.99949074074</v>
      </c>
      <c r="AF21" s="8" t="str">
        <v>32.50</v>
      </c>
      <c r="AG21" s="8" t="str">
        <v>41.72</v>
      </c>
      <c r="AH21" s="6" t="str">
        <v>True</v>
      </c>
      <c r="AI21" s="6" t="str">
        <v>1994</v>
      </c>
      <c r="AJ21" s="6" t="str">
        <v>Completed</v>
      </c>
      <c r="AL21" s="8">
        <v>7.063087</v>
      </c>
      <c r="AM21" s="6" t="str">
        <v>Pooling of Interests;Stock Swap;Restructuring</v>
      </c>
      <c r="AO21" s="6" t="str">
        <v>Caere acquired Calera Recognition System (CR) in exchange for 2.5 mil common shares valued at $32.5 mil. The shares were valued based on Caere's closing price of $13 on Oct 13, the last full trading day prior to the announcement. The transaction was part of CRS' restructuring program and was accounted for as a pooling of interests.</v>
      </c>
    </row>
    <row r="22">
      <c r="A22" s="6" t="str">
        <v>594918</v>
      </c>
      <c r="B22" s="6" t="str">
        <v>United States</v>
      </c>
      <c r="C22" s="6" t="str">
        <v>Microsoft Corp</v>
      </c>
      <c r="D22" s="6" t="str">
        <v>Microsoft Corp</v>
      </c>
      <c r="F22" s="6" t="str">
        <v>United Kingdom</v>
      </c>
      <c r="G22" s="6" t="str">
        <v>NextBase Ltd</v>
      </c>
      <c r="H22" s="6" t="str">
        <v>Prepackaged Software</v>
      </c>
      <c r="I22" s="6" t="str">
        <v>65333L</v>
      </c>
      <c r="J22" s="6" t="str">
        <v>NextBase Ltd</v>
      </c>
      <c r="K22" s="6" t="str">
        <v>NextBase Ltd</v>
      </c>
      <c r="L22" s="7">
        <f>=DATE(1994,11,1)</f>
        <v>34638.99949074074</v>
      </c>
      <c r="M22" s="7">
        <f>=DATE(1994,11,1)</f>
        <v>34638.99949074074</v>
      </c>
      <c r="W22" s="6" t="str">
        <v>Internet Services &amp; Software;Applications Software(Business;Computer Consulting Services;Monitors/Terminals;Operating Systems;Other Peripherals</v>
      </c>
      <c r="X22" s="6" t="str">
        <v>Applications Software(Business;Applications Software(Home)</v>
      </c>
      <c r="Y22" s="6" t="str">
        <v>Applications Software(Business;Applications Software(Home)</v>
      </c>
      <c r="Z22" s="6" t="str">
        <v>Applications Software(Home);Applications Software(Business</v>
      </c>
      <c r="AA22" s="6" t="str">
        <v>Internet Services &amp; Software;Applications Software(Business;Monitors/Terminals;Computer Consulting Services;Other Peripherals;Operating Systems</v>
      </c>
      <c r="AB22" s="6" t="str">
        <v>Computer Consulting Services;Internet Services &amp; Software;Operating Systems;Other Peripherals;Monitors/Terminals;Applications Software(Business</v>
      </c>
      <c r="AH22" s="6" t="str">
        <v>False</v>
      </c>
      <c r="AI22" s="6" t="str">
        <v>1994</v>
      </c>
      <c r="AJ22" s="6" t="str">
        <v>Completed</v>
      </c>
      <c r="AM22" s="6" t="str">
        <v>Not Applicable</v>
      </c>
      <c r="AO22" s="6" t="str">
        <v>Microsoft acquired NextBase. Terms were not disclosed.</v>
      </c>
    </row>
    <row r="23">
      <c r="A23" s="6" t="str">
        <v>594918</v>
      </c>
      <c r="B23" s="6" t="str">
        <v>United States</v>
      </c>
      <c r="C23" s="6" t="str">
        <v>Microsoft Corp</v>
      </c>
      <c r="D23" s="6" t="str">
        <v>Microsoft Corp</v>
      </c>
      <c r="F23" s="6" t="str">
        <v>United States</v>
      </c>
      <c r="G23" s="6" t="str">
        <v>One Tree Software</v>
      </c>
      <c r="H23" s="6" t="str">
        <v>Prepackaged Software</v>
      </c>
      <c r="I23" s="6" t="str">
        <v>68242R</v>
      </c>
      <c r="J23" s="6" t="str">
        <v>One Tree Software</v>
      </c>
      <c r="K23" s="6" t="str">
        <v>One Tree Software</v>
      </c>
      <c r="L23" s="7">
        <f>=DATE(1994,11,15)</f>
        <v>34652.99949074074</v>
      </c>
      <c r="M23" s="7">
        <f>=DATE(1994,11,15)</f>
        <v>34652.99949074074</v>
      </c>
      <c r="W23" s="6" t="str">
        <v>Computer Consulting Services;Monitors/Terminals;Applications Software(Business;Internet Services &amp; Software;Other Peripherals;Operating Systems</v>
      </c>
      <c r="X23" s="6" t="str">
        <v>Database Software/Programming</v>
      </c>
      <c r="Y23" s="6" t="str">
        <v>Database Software/Programming</v>
      </c>
      <c r="Z23" s="6" t="str">
        <v>Database Software/Programming</v>
      </c>
      <c r="AA23" s="6" t="str">
        <v>Computer Consulting Services;Internet Services &amp; Software;Applications Software(Business;Operating Systems;Monitors/Terminals;Other Peripherals</v>
      </c>
      <c r="AB23" s="6" t="str">
        <v>Computer Consulting Services;Other Peripherals;Applications Software(Business;Internet Services &amp; Software;Operating Systems;Monitors/Terminals</v>
      </c>
      <c r="AH23" s="6" t="str">
        <v>True</v>
      </c>
      <c r="AI23" s="6" t="str">
        <v>1994</v>
      </c>
      <c r="AJ23" s="6" t="str">
        <v>Completed</v>
      </c>
      <c r="AM23" s="6" t="str">
        <v>Not Applicable</v>
      </c>
      <c r="AO23" s="6" t="str">
        <v>Microsoft acquired One Tree Software. Terms were not disclosed.</v>
      </c>
    </row>
    <row r="24">
      <c r="A24" s="6" t="str">
        <v>594918</v>
      </c>
      <c r="B24" s="6" t="str">
        <v>United States</v>
      </c>
      <c r="C24" s="6" t="str">
        <v>Microsoft Corp</v>
      </c>
      <c r="D24" s="6" t="str">
        <v>Microsoft Corp</v>
      </c>
      <c r="F24" s="6" t="str">
        <v>United States</v>
      </c>
      <c r="G24" s="6" t="str">
        <v>UUNet Technologies Inc</v>
      </c>
      <c r="H24" s="6" t="str">
        <v>Business Services</v>
      </c>
      <c r="I24" s="6" t="str">
        <v>918096</v>
      </c>
      <c r="J24" s="6" t="str">
        <v>UUNet Technologies Inc</v>
      </c>
      <c r="K24" s="6" t="str">
        <v>UUNet Technologies Inc</v>
      </c>
      <c r="L24" s="7">
        <f>=DATE(1995,1,12)</f>
        <v>34710.99949074074</v>
      </c>
      <c r="M24" s="7">
        <f>=DATE(1995,1,19)</f>
        <v>34717.99949074074</v>
      </c>
      <c r="W24" s="6" t="str">
        <v>Applications Software(Business;Operating Systems;Internet Services &amp; Software;Computer Consulting Services;Other Peripherals;Monitors/Terminals</v>
      </c>
      <c r="X24" s="6" t="str">
        <v>Internet Services &amp; Software;Communication/Network Software</v>
      </c>
      <c r="Y24" s="6" t="str">
        <v>Communication/Network Software;Internet Services &amp; Software</v>
      </c>
      <c r="Z24" s="6" t="str">
        <v>Internet Services &amp; Software;Communication/Network Software</v>
      </c>
      <c r="AA24" s="6" t="str">
        <v>Internet Services &amp; Software;Operating Systems;Other Peripherals;Monitors/Terminals;Computer Consulting Services;Applications Software(Business</v>
      </c>
      <c r="AB24" s="6" t="str">
        <v>Monitors/Terminals;Internet Services &amp; Software;Applications Software(Business;Operating Systems;Computer Consulting Services;Other Peripherals</v>
      </c>
      <c r="AH24" s="6" t="str">
        <v>False</v>
      </c>
      <c r="AI24" s="6" t="str">
        <v>1995</v>
      </c>
      <c r="AJ24" s="6" t="str">
        <v>Completed</v>
      </c>
      <c r="AM24" s="6" t="str">
        <v>Privately Negotiated Purchase</v>
      </c>
      <c r="AO24" s="6" t="str">
        <v>Microsoft acquired an undisclosed minority stake in Uunet Technologies. Terms were not disclosed.</v>
      </c>
    </row>
    <row r="25">
      <c r="A25" s="6" t="str">
        <v>594918</v>
      </c>
      <c r="B25" s="6" t="str">
        <v>United States</v>
      </c>
      <c r="C25" s="6" t="str">
        <v>Microsoft Corp</v>
      </c>
      <c r="D25" s="6" t="str">
        <v>Microsoft Corp</v>
      </c>
      <c r="F25" s="6" t="str">
        <v>United Kingdom</v>
      </c>
      <c r="G25" s="6" t="str">
        <v>RenderMorphics Ltd</v>
      </c>
      <c r="H25" s="6" t="str">
        <v>Computer and Office Equipment</v>
      </c>
      <c r="I25" s="6" t="str">
        <v>75992X</v>
      </c>
      <c r="J25" s="6" t="str">
        <v>RenderMorphics Ltd</v>
      </c>
      <c r="K25" s="6" t="str">
        <v>RenderMorphics Ltd</v>
      </c>
      <c r="L25" s="7">
        <f>=DATE(1995,2,23)</f>
        <v>34752.99949074074</v>
      </c>
      <c r="M25" s="7">
        <f>=DATE(1995,2,23)</f>
        <v>34752.99949074074</v>
      </c>
      <c r="W25" s="6" t="str">
        <v>Internet Services &amp; Software;Monitors/Terminals;Applications Software(Business;Operating Systems;Other Peripherals;Computer Consulting Services</v>
      </c>
      <c r="X25" s="6" t="str">
        <v>CAD/CAM/CAE/Graphics Systems</v>
      </c>
      <c r="Y25" s="6" t="str">
        <v>CAD/CAM/CAE/Graphics Systems</v>
      </c>
      <c r="Z25" s="6" t="str">
        <v>CAD/CAM/CAE/Graphics Systems</v>
      </c>
      <c r="AA25" s="6" t="str">
        <v>Applications Software(Business;Operating Systems;Computer Consulting Services;Monitors/Terminals;Other Peripherals;Internet Services &amp; Software</v>
      </c>
      <c r="AB25" s="6" t="str">
        <v>Monitors/Terminals;Operating Systems;Internet Services &amp; Software;Computer Consulting Services;Applications Software(Business;Other Peripherals</v>
      </c>
      <c r="AH25" s="6" t="str">
        <v>False</v>
      </c>
      <c r="AI25" s="6" t="str">
        <v>1995</v>
      </c>
      <c r="AJ25" s="6" t="str">
        <v>Completed</v>
      </c>
      <c r="AM25" s="6" t="str">
        <v>Not Applicable</v>
      </c>
      <c r="AO25" s="6" t="str">
        <v>Microsoft acquired Render Morphics. Terms were not disclosed.</v>
      </c>
    </row>
    <row r="26">
      <c r="A26" s="6" t="str">
        <v>594918</v>
      </c>
      <c r="B26" s="6" t="str">
        <v>United States</v>
      </c>
      <c r="C26" s="6" t="str">
        <v>Microsoft Corp</v>
      </c>
      <c r="D26" s="6" t="str">
        <v>Microsoft Corp</v>
      </c>
      <c r="F26" s="6" t="str">
        <v>United States</v>
      </c>
      <c r="G26" s="6" t="str">
        <v>Wang Laboratories Inc</v>
      </c>
      <c r="H26" s="6" t="str">
        <v>Prepackaged Software</v>
      </c>
      <c r="I26" s="6" t="str">
        <v>93369N</v>
      </c>
      <c r="J26" s="6" t="str">
        <v>Wang Laboratories Inc</v>
      </c>
      <c r="K26" s="6" t="str">
        <v>Wang Laboratories Inc</v>
      </c>
      <c r="L26" s="7">
        <f>=DATE(1995,4,12)</f>
        <v>34800.99949074074</v>
      </c>
      <c r="M26" s="7">
        <f>=DATE(1995,5,30)</f>
        <v>34848.99949074074</v>
      </c>
      <c r="N26" s="8">
        <v>90</v>
      </c>
      <c r="O26" s="8">
        <v>90</v>
      </c>
      <c r="P26" s="8" t="str">
        <v>866.20</v>
      </c>
      <c r="R26" s="8">
        <v>-12.4</v>
      </c>
      <c r="S26" s="8">
        <v>855.3</v>
      </c>
      <c r="T26" s="8">
        <v>58.9</v>
      </c>
      <c r="U26" s="8">
        <v>-15.3</v>
      </c>
      <c r="V26" s="8">
        <v>33.7</v>
      </c>
      <c r="W26" s="6" t="str">
        <v>Other Peripherals;Applications Software(Business;Internet Services &amp; Software;Computer Consulting Services;Operating Systems;Monitors/Terminals</v>
      </c>
      <c r="X26" s="6" t="str">
        <v>Other Computer Related Svcs;Networking Systems (LAN,WAN);Computer Consulting Services;Workstations;Applications Software(Business;Communication/Network Software;Other Software (inq. Games)</v>
      </c>
      <c r="Y26" s="6" t="str">
        <v>Other Computer Related Svcs;Workstations;Computer Consulting Services;Communication/Network Software;Other Software (inq. Games);Applications Software(Business;Networking Systems (LAN,WAN)</v>
      </c>
      <c r="Z26" s="6" t="str">
        <v>Workstations;Communication/Network Software;Other Software (inq. Games);Other Computer Related Svcs;Computer Consulting Services;Networking Systems (LAN,WAN);Applications Software(Business</v>
      </c>
      <c r="AA26" s="6" t="str">
        <v>Operating Systems;Monitors/Terminals;Computer Consulting Services;Other Peripherals;Applications Software(Business;Internet Services &amp; Software</v>
      </c>
      <c r="AB26" s="6" t="str">
        <v>Applications Software(Business;Internet Services &amp; Software;Operating Systems;Other Peripherals;Monitors/Terminals;Computer Consulting Services</v>
      </c>
      <c r="AC26" s="8">
        <v>90</v>
      </c>
      <c r="AD26" s="7">
        <f>=DATE(1995,4,12)</f>
        <v>34800.99949074074</v>
      </c>
      <c r="AF26" s="8" t="str">
        <v>866.20</v>
      </c>
      <c r="AG26" s="8" t="str">
        <v>866.20</v>
      </c>
      <c r="AH26" s="6" t="str">
        <v>True</v>
      </c>
      <c r="AI26" s="6" t="str">
        <v>1995</v>
      </c>
      <c r="AJ26" s="6" t="str">
        <v>Completed</v>
      </c>
      <c r="AM26" s="6" t="str">
        <v>Privately Negotiated Purchase</v>
      </c>
      <c r="AN26" s="8">
        <v>197.6</v>
      </c>
      <c r="AO26" s="6" t="str">
        <v>Microsoft acquired an undisclosed amount of Wang Laboratories' convertible preferred stock for $90 mil, in a privately negotiated transaction. The preferred stock was convertible into common shares at an exercise price of $23 per share, and was equal to approximately a 10% stake in Wang Laboratories.</v>
      </c>
    </row>
    <row r="27">
      <c r="A27" s="6" t="str">
        <v>594918</v>
      </c>
      <c r="B27" s="6" t="str">
        <v>United States</v>
      </c>
      <c r="C27" s="6" t="str">
        <v>Microsoft Corp</v>
      </c>
      <c r="D27" s="6" t="str">
        <v>Microsoft Corp</v>
      </c>
      <c r="F27" s="6" t="str">
        <v>United Kingdom</v>
      </c>
      <c r="G27" s="6" t="str">
        <v>Network Managers PLC</v>
      </c>
      <c r="H27" s="6" t="str">
        <v>Business Services</v>
      </c>
      <c r="I27" s="6" t="str">
        <v>64121I</v>
      </c>
      <c r="J27" s="6" t="str">
        <v>Network Managers PLC</v>
      </c>
      <c r="K27" s="6" t="str">
        <v>Network Managers PLC</v>
      </c>
      <c r="L27" s="7">
        <f>=DATE(1995,7,10)</f>
        <v>34889.99949074074</v>
      </c>
      <c r="M27" s="7">
        <f>=DATE(1995,7,10)</f>
        <v>34889.99949074074</v>
      </c>
      <c r="W27" s="6" t="str">
        <v>Operating Systems;Computer Consulting Services;Monitors/Terminals;Other Peripherals;Internet Services &amp; Software;Applications Software(Business</v>
      </c>
      <c r="X27" s="6" t="str">
        <v>Applications Software(Business;Operating Systems;Other Computer Systems;Applications Software(Home);Networking Systems (LAN,WAN);CAD/CAM/CAE/Graphics Systems</v>
      </c>
      <c r="Y27" s="6" t="str">
        <v>Applications Software(Business;Operating Systems;Networking Systems (LAN,WAN);Applications Software(Home);Other Computer Systems;CAD/CAM/CAE/Graphics Systems</v>
      </c>
      <c r="Z27" s="6" t="str">
        <v>CAD/CAM/CAE/Graphics Systems;Networking Systems (LAN,WAN);Other Computer Systems;Applications Software(Business;Operating Systems;Applications Software(Home)</v>
      </c>
      <c r="AA27" s="6" t="str">
        <v>Computer Consulting Services;Applications Software(Business;Other Peripherals;Monitors/Terminals;Operating Systems;Internet Services &amp; Software</v>
      </c>
      <c r="AB27" s="6" t="str">
        <v>Internet Services &amp; Software;Monitors/Terminals;Computer Consulting Services;Applications Software(Business;Other Peripherals;Operating Systems</v>
      </c>
      <c r="AH27" s="6" t="str">
        <v>False</v>
      </c>
      <c r="AI27" s="6" t="str">
        <v>1995</v>
      </c>
      <c r="AJ27" s="6" t="str">
        <v>Completed</v>
      </c>
      <c r="AM27" s="6" t="str">
        <v>Not Applicable</v>
      </c>
      <c r="AO27" s="6" t="str">
        <v>Microsoft acquired the entire ordinary share capital of Network Managers.</v>
      </c>
    </row>
    <row r="28">
      <c r="A28" s="6" t="str">
        <v>127646</v>
      </c>
      <c r="B28" s="6" t="str">
        <v>United States</v>
      </c>
      <c r="C28" s="6" t="str">
        <v>Caere Corp</v>
      </c>
      <c r="D28" s="6" t="str">
        <v>Caere Corp</v>
      </c>
      <c r="F28" s="6" t="str">
        <v>United States</v>
      </c>
      <c r="G28" s="6" t="str">
        <v>ViewStar Corp</v>
      </c>
      <c r="H28" s="6" t="str">
        <v>Business Services</v>
      </c>
      <c r="I28" s="6" t="str">
        <v>92672Y</v>
      </c>
      <c r="J28" s="6" t="str">
        <v>ViewStar Corp</v>
      </c>
      <c r="K28" s="6" t="str">
        <v>ViewStar Corp</v>
      </c>
      <c r="L28" s="7">
        <f>=DATE(1995,10,9)</f>
        <v>34980.99949074074</v>
      </c>
      <c r="N28" s="8">
        <v>37.68</v>
      </c>
      <c r="O28" s="8">
        <v>38.685</v>
      </c>
      <c r="W28" s="6" t="str">
        <v>Data Processing Services;Applications Software(Business</v>
      </c>
      <c r="X28" s="6" t="str">
        <v>Other Peripherals</v>
      </c>
      <c r="Y28" s="6" t="str">
        <v>Other Peripherals</v>
      </c>
      <c r="Z28" s="6" t="str">
        <v>Other Peripherals</v>
      </c>
      <c r="AA28" s="6" t="str">
        <v>Data Processing Services;Applications Software(Business</v>
      </c>
      <c r="AB28" s="6" t="str">
        <v>Data Processing Services;Applications Software(Business</v>
      </c>
      <c r="AC28" s="8">
        <v>38.685</v>
      </c>
      <c r="AD28" s="7">
        <f>=DATE(1995,10,9)</f>
        <v>34980.99949074074</v>
      </c>
      <c r="AH28" s="6" t="str">
        <v>False</v>
      </c>
      <c r="AJ28" s="6" t="str">
        <v>Withdrawn</v>
      </c>
      <c r="AL28" s="8">
        <v>4.233174</v>
      </c>
      <c r="AM28" s="6" t="str">
        <v>Stock Swap;Pooling of Interests;Collar</v>
      </c>
      <c r="AO28" s="6" t="str">
        <v>Caere (CA) terminated its agreement to acquire all the outstanding common shares, preferred shares and options of ViewStar (VS) in a stock swap merger valued at $38.685 mil. Consideration was to consist of 3,418,496 common shares and options valued at $34.185 mil, and $4.5 mil in the assumption of liabilities. The shares were valued based on CA's closing stock price of $10.00 on Oct 6, the last full trading day prior to the announcement. The transaction was to be accounted for as a pooling of interests.</v>
      </c>
    </row>
    <row r="29">
      <c r="A29" s="6" t="str">
        <v>594918</v>
      </c>
      <c r="B29" s="6" t="str">
        <v>United States</v>
      </c>
      <c r="C29" s="6" t="str">
        <v>Microsoft Corp</v>
      </c>
      <c r="D29" s="6" t="str">
        <v>Microsoft Corp</v>
      </c>
      <c r="F29" s="6" t="str">
        <v>United States</v>
      </c>
      <c r="G29" s="6" t="str">
        <v>Individual Inc</v>
      </c>
      <c r="H29" s="6" t="str">
        <v>Business Services</v>
      </c>
      <c r="I29" s="6" t="str">
        <v>455912</v>
      </c>
      <c r="J29" s="6" t="str">
        <v>Individual Inc</v>
      </c>
      <c r="K29" s="6" t="str">
        <v>Individual Inc</v>
      </c>
      <c r="L29" s="7">
        <f>=DATE(1995,10,11)</f>
        <v>34982.99949074074</v>
      </c>
      <c r="M29" s="7">
        <f>=DATE(1995,10,12)</f>
        <v>34983.99949074074</v>
      </c>
      <c r="W29" s="6" t="str">
        <v>Operating Systems;Monitors/Terminals;Applications Software(Business;Computer Consulting Services;Internet Services &amp; Software;Other Peripherals</v>
      </c>
      <c r="X29" s="6" t="str">
        <v>Satellite Communications</v>
      </c>
      <c r="Y29" s="6" t="str">
        <v>Satellite Communications</v>
      </c>
      <c r="Z29" s="6" t="str">
        <v>Satellite Communications</v>
      </c>
      <c r="AA29" s="6" t="str">
        <v>Applications Software(Business;Other Peripherals;Internet Services &amp; Software;Monitors/Terminals;Computer Consulting Services;Operating Systems</v>
      </c>
      <c r="AB29" s="6" t="str">
        <v>Monitors/Terminals;Applications Software(Business;Operating Systems;Internet Services &amp; Software;Computer Consulting Services;Other Peripherals</v>
      </c>
      <c r="AH29" s="6" t="str">
        <v>True</v>
      </c>
      <c r="AI29" s="6" t="str">
        <v>1995</v>
      </c>
      <c r="AJ29" s="6" t="str">
        <v>Completed</v>
      </c>
      <c r="AM29" s="6" t="str">
        <v>Not Applicable</v>
      </c>
      <c r="AO29" s="6" t="str">
        <v>Microsoft acquired a minority stake in Individual. Terms were not disclosed.</v>
      </c>
    </row>
    <row r="30">
      <c r="A30" s="6" t="str">
        <v>302131</v>
      </c>
      <c r="B30" s="6" t="str">
        <v>United States</v>
      </c>
      <c r="C30" s="6" t="str">
        <v>Expert Software Inc</v>
      </c>
      <c r="D30" s="6" t="str">
        <v>Expert Software Inc</v>
      </c>
      <c r="F30" s="6" t="str">
        <v>United States</v>
      </c>
      <c r="G30" s="6" t="str">
        <v>Swfte International Ltd</v>
      </c>
      <c r="H30" s="6" t="str">
        <v>Prepackaged Software</v>
      </c>
      <c r="I30" s="6" t="str">
        <v>87070W</v>
      </c>
      <c r="J30" s="6" t="str">
        <v>Swfte International Ltd</v>
      </c>
      <c r="K30" s="6" t="str">
        <v>Swfte International Ltd</v>
      </c>
      <c r="L30" s="7">
        <f>=DATE(1995,10,16)</f>
        <v>34987.99949074074</v>
      </c>
      <c r="M30" s="7">
        <f>=DATE(1995,11,2)</f>
        <v>35004.99949074074</v>
      </c>
      <c r="W30" s="6" t="str">
        <v>Applications Software(Business;Other Software (inq. Games);Applications Software(Home)</v>
      </c>
      <c r="X30" s="6" t="str">
        <v>Applications Software(Home);Other Software (inq. Games)</v>
      </c>
      <c r="Y30" s="6" t="str">
        <v>Other Software (inq. Games);Applications Software(Home)</v>
      </c>
      <c r="Z30" s="6" t="str">
        <v>Applications Software(Home);Other Software (inq. Games)</v>
      </c>
      <c r="AA30" s="6" t="str">
        <v>Applications Software(Business;Applications Software(Home);Other Software (inq. Games)</v>
      </c>
      <c r="AB30" s="6" t="str">
        <v>Applications Software(Business;Other Software (inq. Games);Applications Software(Home)</v>
      </c>
      <c r="AH30" s="6" t="str">
        <v>True</v>
      </c>
      <c r="AI30" s="6" t="str">
        <v>1995</v>
      </c>
      <c r="AJ30" s="6" t="str">
        <v>Completed</v>
      </c>
      <c r="AM30" s="6" t="str">
        <v>Not Applicable</v>
      </c>
      <c r="AO30" s="6" t="str">
        <v>Expert Software acquired Swfte International for an undisclosed amount of cash and common shares.</v>
      </c>
    </row>
    <row r="31">
      <c r="A31" s="6" t="str">
        <v>594918</v>
      </c>
      <c r="B31" s="6" t="str">
        <v>United States</v>
      </c>
      <c r="C31" s="6" t="str">
        <v>Microsoft Corp</v>
      </c>
      <c r="D31" s="6" t="str">
        <v>Microsoft Corp</v>
      </c>
      <c r="F31" s="6" t="str">
        <v>United States</v>
      </c>
      <c r="G31" s="6" t="str">
        <v>Blue Ribbon SoundWorks Ltd</v>
      </c>
      <c r="H31" s="6" t="str">
        <v>Business Services</v>
      </c>
      <c r="I31" s="6" t="str">
        <v>09590W</v>
      </c>
      <c r="J31" s="6" t="str">
        <v>Blue Ribbon SoundWorks Ltd</v>
      </c>
      <c r="K31" s="6" t="str">
        <v>Blue Ribbon SoundWorks Ltd</v>
      </c>
      <c r="L31" s="7">
        <f>=DATE(1995,10,17)</f>
        <v>34988.99949074074</v>
      </c>
      <c r="M31" s="7">
        <f>=DATE(1995,10,17)</f>
        <v>34988.99949074074</v>
      </c>
      <c r="W31" s="6" t="str">
        <v>Applications Software(Business;Operating Systems;Monitors/Terminals;Computer Consulting Services;Other Peripherals;Internet Services &amp; Software</v>
      </c>
      <c r="X31" s="6" t="str">
        <v>Operating Systems</v>
      </c>
      <c r="Y31" s="6" t="str">
        <v>Operating Systems</v>
      </c>
      <c r="Z31" s="6" t="str">
        <v>Operating Systems</v>
      </c>
      <c r="AA31" s="6" t="str">
        <v>Monitors/Terminals;Internet Services &amp; Software;Operating Systems;Computer Consulting Services;Applications Software(Business;Other Peripherals</v>
      </c>
      <c r="AB31" s="6" t="str">
        <v>Operating Systems;Monitors/Terminals;Applications Software(Business;Computer Consulting Services;Other Peripherals;Internet Services &amp; Software</v>
      </c>
      <c r="AH31" s="6" t="str">
        <v>False</v>
      </c>
      <c r="AI31" s="6" t="str">
        <v>1995</v>
      </c>
      <c r="AJ31" s="6" t="str">
        <v>Completed</v>
      </c>
      <c r="AM31" s="6" t="str">
        <v>Not Applicable</v>
      </c>
      <c r="AO31" s="6" t="str">
        <v>Microsoft acquired Blue Ribbon SoundWorks. Terms were not disclosed.</v>
      </c>
    </row>
    <row r="32">
      <c r="A32" s="6" t="str">
        <v>127646</v>
      </c>
      <c r="B32" s="6" t="str">
        <v>United States</v>
      </c>
      <c r="C32" s="6" t="str">
        <v>Caere Corp</v>
      </c>
      <c r="D32" s="6" t="str">
        <v>Caere Corp</v>
      </c>
      <c r="F32" s="6" t="str">
        <v>United States</v>
      </c>
      <c r="G32" s="6" t="str">
        <v>ZyLAB North America LLC</v>
      </c>
      <c r="H32" s="6" t="str">
        <v>Business Services</v>
      </c>
      <c r="I32" s="6" t="str">
        <v>4L2195</v>
      </c>
      <c r="J32" s="6" t="str">
        <v>C-CUBED Corp</v>
      </c>
      <c r="K32" s="6" t="str">
        <v>ZyCo Inc</v>
      </c>
      <c r="L32" s="7">
        <f>=DATE(1995,11,2)</f>
        <v>35004.99949074074</v>
      </c>
      <c r="N32" s="8">
        <v>2.4</v>
      </c>
      <c r="O32" s="8">
        <v>2.4</v>
      </c>
      <c r="W32" s="6" t="str">
        <v>Data Processing Services;Applications Software(Business</v>
      </c>
      <c r="X32" s="6" t="str">
        <v>Programming Services</v>
      </c>
      <c r="Y32" s="6" t="str">
        <v>Other Software (inq. Games)</v>
      </c>
      <c r="Z32" s="6" t="str">
        <v>Primary Business not Hi-Tech</v>
      </c>
      <c r="AA32" s="6" t="str">
        <v>Data Processing Services;Applications Software(Business</v>
      </c>
      <c r="AB32" s="6" t="str">
        <v>Data Processing Services;Applications Software(Business</v>
      </c>
      <c r="AC32" s="8">
        <v>2.4</v>
      </c>
      <c r="AH32" s="6" t="str">
        <v>False</v>
      </c>
      <c r="AJ32" s="6" t="str">
        <v>Status Unknown</v>
      </c>
      <c r="AM32" s="6" t="str">
        <v>Not Applicable</v>
      </c>
      <c r="AO32" s="6" t="str">
        <v>Caere agreed to acquire a 20% stake in C-Cubed Corp'sl. ZyLAB unit for $2.4 mil.</v>
      </c>
    </row>
    <row r="33">
      <c r="A33" s="6" t="str">
        <v>594918</v>
      </c>
      <c r="B33" s="6" t="str">
        <v>United States</v>
      </c>
      <c r="C33" s="6" t="str">
        <v>Microsoft Corp</v>
      </c>
      <c r="D33" s="6" t="str">
        <v>Microsoft Corp</v>
      </c>
      <c r="F33" s="6" t="str">
        <v>United States</v>
      </c>
      <c r="G33" s="6" t="str">
        <v>Netwise Inc</v>
      </c>
      <c r="H33" s="6" t="str">
        <v>Prepackaged Software</v>
      </c>
      <c r="I33" s="6" t="str">
        <v>64158W</v>
      </c>
      <c r="J33" s="6" t="str">
        <v>Netwise Inc</v>
      </c>
      <c r="K33" s="6" t="str">
        <v>Netwise Inc</v>
      </c>
      <c r="L33" s="7">
        <f>=DATE(1995,11,6)</f>
        <v>35008.99949074074</v>
      </c>
      <c r="M33" s="7">
        <f>=DATE(1995,11,6)</f>
        <v>35008.99949074074</v>
      </c>
      <c r="S33" s="8">
        <v>10</v>
      </c>
      <c r="W33" s="6" t="str">
        <v>Computer Consulting Services;Operating Systems;Applications Software(Business;Monitors/Terminals;Internet Services &amp; Software;Other Peripherals</v>
      </c>
      <c r="X33" s="6" t="str">
        <v>Communication/Network Software;Utilities/File Mgmt Software;Database Software/Programming;Other Computer Systems</v>
      </c>
      <c r="Y33" s="6" t="str">
        <v>Communication/Network Software;Utilities/File Mgmt Software;Database Software/Programming;Other Computer Systems</v>
      </c>
      <c r="Z33" s="6" t="str">
        <v>Other Computer Systems;Database Software/Programming;Communication/Network Software;Utilities/File Mgmt Software</v>
      </c>
      <c r="AA33" s="6" t="str">
        <v>Applications Software(Business;Computer Consulting Services;Operating Systems;Other Peripherals;Internet Services &amp; Software;Monitors/Terminals</v>
      </c>
      <c r="AB33" s="6" t="str">
        <v>Operating Systems;Computer Consulting Services;Other Peripherals;Applications Software(Business;Monitors/Terminals;Internet Services &amp; Software</v>
      </c>
      <c r="AH33" s="6" t="str">
        <v>True</v>
      </c>
      <c r="AI33" s="6" t="str">
        <v>1995</v>
      </c>
      <c r="AJ33" s="6" t="str">
        <v>Completed</v>
      </c>
      <c r="AM33" s="6" t="str">
        <v>Not Applicable</v>
      </c>
      <c r="AO33" s="6" t="str">
        <v>Microsoft acquired Netwise. Terms were not disclosed.</v>
      </c>
    </row>
    <row r="34">
      <c r="A34" s="6" t="str">
        <v>594918</v>
      </c>
      <c r="B34" s="6" t="str">
        <v>United States</v>
      </c>
      <c r="C34" s="6" t="str">
        <v>Microsoft Corp</v>
      </c>
      <c r="D34" s="6" t="str">
        <v>Microsoft Corp</v>
      </c>
      <c r="F34" s="6" t="str">
        <v>United States</v>
      </c>
      <c r="G34" s="6" t="str">
        <v>Bruce Artwick Organization</v>
      </c>
      <c r="H34" s="6" t="str">
        <v>Business Services</v>
      </c>
      <c r="I34" s="6" t="str">
        <v>04315M</v>
      </c>
      <c r="J34" s="6" t="str">
        <v>Bruce Artwick Organization</v>
      </c>
      <c r="K34" s="6" t="str">
        <v>Bruce Artwick Organization</v>
      </c>
      <c r="L34" s="7">
        <f>=DATE(1995,12,11)</f>
        <v>35043.99949074074</v>
      </c>
      <c r="M34" s="7">
        <f>=DATE(1995,12,12)</f>
        <v>35044.99949074074</v>
      </c>
      <c r="W34" s="6" t="str">
        <v>Applications Software(Business;Operating Systems;Other Peripherals;Monitors/Terminals;Internet Services &amp; Software;Computer Consulting Services</v>
      </c>
      <c r="X34" s="6" t="str">
        <v>Programming Services</v>
      </c>
      <c r="Y34" s="6" t="str">
        <v>Programming Services</v>
      </c>
      <c r="Z34" s="6" t="str">
        <v>Programming Services</v>
      </c>
      <c r="AA34" s="6" t="str">
        <v>Internet Services &amp; Software;Monitors/Terminals;Operating Systems;Applications Software(Business;Computer Consulting Services;Other Peripherals</v>
      </c>
      <c r="AB34" s="6" t="str">
        <v>Computer Consulting Services;Monitors/Terminals;Internet Services &amp; Software;Other Peripherals;Operating Systems;Applications Software(Business</v>
      </c>
      <c r="AH34" s="6" t="str">
        <v>True</v>
      </c>
      <c r="AI34" s="6" t="str">
        <v>1995</v>
      </c>
      <c r="AJ34" s="6" t="str">
        <v>Completed</v>
      </c>
      <c r="AM34" s="6" t="str">
        <v>Not Applicable</v>
      </c>
      <c r="AO34" s="6" t="str">
        <v>Microsoft acquired Bruce Artwick Organization. Terms were not disclosed.</v>
      </c>
    </row>
    <row r="35">
      <c r="A35" s="6" t="str">
        <v>68628K</v>
      </c>
      <c r="B35" s="6" t="str">
        <v>United States</v>
      </c>
      <c r="C35" s="6" t="str">
        <v>Orion Network Systems Inc</v>
      </c>
      <c r="D35" s="6" t="str">
        <v>Orion Network Systems Inc</v>
      </c>
      <c r="F35" s="6" t="str">
        <v>United States</v>
      </c>
      <c r="G35" s="6" t="str">
        <v>Orion Atlantic</v>
      </c>
      <c r="H35" s="6" t="str">
        <v>Telecommunications</v>
      </c>
      <c r="I35" s="6" t="str">
        <v>68626Z</v>
      </c>
      <c r="J35" s="6" t="str">
        <v>Orion Atlantic</v>
      </c>
      <c r="K35" s="6" t="str">
        <v>Orion Atlantic</v>
      </c>
      <c r="L35" s="7">
        <f>=DATE(1995,12,15)</f>
        <v>35047.99949074074</v>
      </c>
      <c r="M35" s="7">
        <f>=DATE(1995,12,15)</f>
        <v>35047.99949074074</v>
      </c>
      <c r="N35" s="8">
        <v>8</v>
      </c>
      <c r="O35" s="8">
        <v>8</v>
      </c>
      <c r="W35" s="6" t="str">
        <v>Primary Business not Hi-Tech</v>
      </c>
      <c r="X35" s="6" t="str">
        <v>Communication/Network Software;Cellular Communications</v>
      </c>
      <c r="Y35" s="6" t="str">
        <v>Communication/Network Software;Cellular Communications</v>
      </c>
      <c r="Z35" s="6" t="str">
        <v>Communication/Network Software;Cellular Communications</v>
      </c>
      <c r="AA35" s="6" t="str">
        <v>Primary Business not Hi-Tech</v>
      </c>
      <c r="AB35" s="6" t="str">
        <v>Primary Business not Hi-Tech</v>
      </c>
      <c r="AC35" s="8">
        <v>8</v>
      </c>
      <c r="AD35" s="7">
        <f>=DATE(1995,12,15)</f>
        <v>35047.99949074074</v>
      </c>
      <c r="AF35" s="8" t="str">
        <v>96.39</v>
      </c>
      <c r="AG35" s="8" t="str">
        <v>96.39</v>
      </c>
      <c r="AH35" s="6" t="str">
        <v>False</v>
      </c>
      <c r="AI35" s="6" t="str">
        <v>1995</v>
      </c>
      <c r="AJ35" s="6" t="str">
        <v>Completed</v>
      </c>
      <c r="AM35" s="6" t="str">
        <v>Not Applicable</v>
      </c>
      <c r="AO35" s="6" t="str">
        <v>Orion Network Systems (ONS) raised its stake to 41.6% from 33.3% in Orion Atlantic by acquiring a 8.3% stake in Orion Atlantic's limited partnership units valued at $8 mil. The consideration consisted of $3.5 mil cash and $4.5 mil in a promissory note.</v>
      </c>
    </row>
    <row r="36">
      <c r="A36" s="6" t="str">
        <v>594918</v>
      </c>
      <c r="B36" s="6" t="str">
        <v>United States</v>
      </c>
      <c r="C36" s="6" t="str">
        <v>Microsoft Corp</v>
      </c>
      <c r="D36" s="6" t="str">
        <v>Microsoft Corp</v>
      </c>
      <c r="F36" s="6" t="str">
        <v>India</v>
      </c>
      <c r="G36" s="6" t="str">
        <v>Microsoft Corp(I)Pvt Ltd</v>
      </c>
      <c r="H36" s="6" t="str">
        <v>Prepackaged Software</v>
      </c>
      <c r="I36" s="6" t="str">
        <v>59494N</v>
      </c>
      <c r="J36" s="6" t="str">
        <v>Microsoft Corp</v>
      </c>
      <c r="K36" s="6" t="str">
        <v>Microsoft Corp</v>
      </c>
      <c r="L36" s="7">
        <f>=DATE(1995,12,27)</f>
        <v>35059.99949074074</v>
      </c>
      <c r="W36" s="6" t="str">
        <v>Internet Services &amp; Software;Monitors/Terminals;Operating Systems;Applications Software(Business;Computer Consulting Services;Other Peripherals</v>
      </c>
      <c r="X36" s="6" t="str">
        <v>Database Software/Programming;Applications Software(Business;Communication/Network Software;Operating Systems;Networking Systems (LAN,WAN);Computer Consulting Services;Other Peripherals;Monitors/Terminals</v>
      </c>
      <c r="Y36" s="6" t="str">
        <v>Internet Services &amp; Software;Monitors/Terminals;Operating Systems;Other Peripherals;Applications Software(Business;Computer Consulting Services</v>
      </c>
      <c r="Z36" s="6" t="str">
        <v>Other Peripherals;Applications Software(Business;Internet Services &amp; Software;Monitors/Terminals;Computer Consulting Services;Operating Systems</v>
      </c>
      <c r="AA36" s="6" t="str">
        <v>Computer Consulting Services;Monitors/Terminals;Operating Systems;Applications Software(Business;Internet Services &amp; Software;Other Peripherals</v>
      </c>
      <c r="AB36" s="6" t="str">
        <v>Internet Services &amp; Software;Monitors/Terminals;Operating Systems;Applications Software(Business;Computer Consulting Services;Other Peripherals</v>
      </c>
      <c r="AH36" s="6" t="str">
        <v>False</v>
      </c>
      <c r="AJ36" s="6" t="str">
        <v>Status Unknown</v>
      </c>
      <c r="AM36" s="6" t="str">
        <v>Not Applicable</v>
      </c>
      <c r="AO36" s="6" t="str">
        <v>Microsoft planned to acquire the remaining 49% stake in Microsoft India that it did not already own. The transaction was subject to approval by the Empowered Committee on Foreign Investment.</v>
      </c>
    </row>
    <row r="37">
      <c r="A37" s="6" t="str">
        <v>594918</v>
      </c>
      <c r="B37" s="6" t="str">
        <v>United States</v>
      </c>
      <c r="C37" s="6" t="str">
        <v>Microsoft Corp</v>
      </c>
      <c r="D37" s="6" t="str">
        <v>Microsoft Corp</v>
      </c>
      <c r="F37" s="6" t="str">
        <v>United States</v>
      </c>
      <c r="G37" s="6" t="str">
        <v>Vermeer Technologies</v>
      </c>
      <c r="H37" s="6" t="str">
        <v>Prepackaged Software</v>
      </c>
      <c r="I37" s="6" t="str">
        <v>92346C</v>
      </c>
      <c r="J37" s="6" t="str">
        <v>Vermeer Technologies</v>
      </c>
      <c r="K37" s="6" t="str">
        <v>Vermeer Technologies</v>
      </c>
      <c r="L37" s="7">
        <f>=DATE(1996,1,16)</f>
        <v>35079.99949074074</v>
      </c>
      <c r="M37" s="7">
        <f>=DATE(1996,1,16)</f>
        <v>35079.99949074074</v>
      </c>
      <c r="W37" s="6" t="str">
        <v>Other Peripherals;Operating Systems;Applications Software(Business;Internet Services &amp; Software;Computer Consulting Services;Monitors/Terminals</v>
      </c>
      <c r="X37" s="6" t="str">
        <v>Communication/Network Software</v>
      </c>
      <c r="Y37" s="6" t="str">
        <v>Communication/Network Software</v>
      </c>
      <c r="Z37" s="6" t="str">
        <v>Communication/Network Software</v>
      </c>
      <c r="AA37" s="6" t="str">
        <v>Operating Systems;Computer Consulting Services;Monitors/Terminals;Other Peripherals;Internet Services &amp; Software;Applications Software(Business</v>
      </c>
      <c r="AB37" s="6" t="str">
        <v>Internet Services &amp; Software;Applications Software(Business;Computer Consulting Services;Other Peripherals;Operating Systems;Monitors/Terminals</v>
      </c>
      <c r="AH37" s="6" t="str">
        <v>False</v>
      </c>
      <c r="AI37" s="6" t="str">
        <v>1996</v>
      </c>
      <c r="AJ37" s="6" t="str">
        <v>Completed</v>
      </c>
      <c r="AM37" s="6" t="str">
        <v>Rumored Deal</v>
      </c>
      <c r="AO37" s="6" t="str">
        <v>Microsoft acquired Vermeer Technologies. Terms were not disclosed.</v>
      </c>
    </row>
    <row r="38">
      <c r="A38" s="6" t="str">
        <v>35158A</v>
      </c>
      <c r="B38" s="6" t="str">
        <v>United States</v>
      </c>
      <c r="C38" s="6" t="str">
        <v>Fox Software Inc(Microsoft Corp)</v>
      </c>
      <c r="D38" s="6" t="str">
        <v>Microsoft Corp</v>
      </c>
      <c r="F38" s="6" t="str">
        <v>Germany</v>
      </c>
      <c r="G38" s="6" t="str">
        <v>VGA-Animation Software Division</v>
      </c>
      <c r="H38" s="6" t="str">
        <v>Prepackaged Software</v>
      </c>
      <c r="I38" s="6" t="str">
        <v>91791Y</v>
      </c>
      <c r="J38" s="6" t="str">
        <v>VGA</v>
      </c>
      <c r="K38" s="6" t="str">
        <v>VGA</v>
      </c>
      <c r="L38" s="7">
        <f>=DATE(1996,3,6)</f>
        <v>35129.99949074074</v>
      </c>
      <c r="M38" s="7">
        <f>=DATE(1996,3,6)</f>
        <v>35129.99949074074</v>
      </c>
      <c r="W38" s="6" t="str">
        <v>Other Peripherals;Other Software (inq. Games);Applications Software(Business;Database Software/Programming</v>
      </c>
      <c r="X38" s="6" t="str">
        <v>Other Software (inq. Games)</v>
      </c>
      <c r="Y38" s="6" t="str">
        <v>Other Software (inq. Games)</v>
      </c>
      <c r="Z38" s="6" t="str">
        <v>Other Software (inq. Games)</v>
      </c>
      <c r="AA38" s="6" t="str">
        <v>Other Peripherals;Operating Systems;Applications Software(Business;Computer Consulting Services;Internet Services &amp; Software;Monitors/Terminals</v>
      </c>
      <c r="AB38" s="6" t="str">
        <v>Applications Software(Business;Internet Services &amp; Software;Computer Consulting Services;Monitors/Terminals;Other Peripherals;Operating Systems</v>
      </c>
      <c r="AH38" s="6" t="str">
        <v>False</v>
      </c>
      <c r="AI38" s="6" t="str">
        <v>1996</v>
      </c>
      <c r="AJ38" s="6" t="str">
        <v>Completed</v>
      </c>
      <c r="AM38" s="6" t="str">
        <v>Divestiture</v>
      </c>
      <c r="AO38" s="6" t="str">
        <v>Microsoft Corporation, US software company, via its German subsidiary Fox Software based in Hamburg, has acquired the animation software division of VGA Gesellschaft fuer Entwicklung und Vertrieb von Systemloesungen fuer Video Grafik und Animation based in Koblenz. Terms were not disclosed.</v>
      </c>
    </row>
    <row r="39">
      <c r="A39" s="6" t="str">
        <v>594918</v>
      </c>
      <c r="B39" s="6" t="str">
        <v>United States</v>
      </c>
      <c r="C39" s="6" t="str">
        <v>Microsoft Corp</v>
      </c>
      <c r="D39" s="6" t="str">
        <v>Microsoft Corp</v>
      </c>
      <c r="F39" s="6" t="str">
        <v>United States</v>
      </c>
      <c r="G39" s="6" t="str">
        <v>Aspect Software Engineering</v>
      </c>
      <c r="H39" s="6" t="str">
        <v>Prepackaged Software</v>
      </c>
      <c r="I39" s="6" t="str">
        <v>04524Y</v>
      </c>
      <c r="J39" s="6" t="str">
        <v>Aspect Software Engineering</v>
      </c>
      <c r="K39" s="6" t="str">
        <v>Aspect Software Engineering</v>
      </c>
      <c r="L39" s="7">
        <f>=DATE(1996,3,12)</f>
        <v>35135.99949074074</v>
      </c>
      <c r="M39" s="7">
        <f>=DATE(1996,4,23)</f>
        <v>35177.99949074074</v>
      </c>
      <c r="N39" s="8">
        <v>14.15</v>
      </c>
      <c r="O39" s="8">
        <v>14.15</v>
      </c>
      <c r="W39" s="6" t="str">
        <v>Applications Software(Business;Computer Consulting Services;Operating Systems;Other Peripherals;Monitors/Terminals;Internet Services &amp; Software</v>
      </c>
      <c r="X39" s="6" t="str">
        <v>Other Software (inq. Games)</v>
      </c>
      <c r="Y39" s="6" t="str">
        <v>Other Software (inq. Games)</v>
      </c>
      <c r="Z39" s="6" t="str">
        <v>Other Software (inq. Games)</v>
      </c>
      <c r="AA39" s="6" t="str">
        <v>Operating Systems;Applications Software(Business;Internet Services &amp; Software;Computer Consulting Services;Monitors/Terminals;Other Peripherals</v>
      </c>
      <c r="AB39" s="6" t="str">
        <v>Monitors/Terminals;Internet Services &amp; Software;Applications Software(Business;Computer Consulting Services;Operating Systems;Other Peripherals</v>
      </c>
      <c r="AC39" s="8">
        <v>14.15</v>
      </c>
      <c r="AD39" s="7">
        <f>=DATE(1996,4,23)</f>
        <v>35177.99949074074</v>
      </c>
      <c r="AF39" s="8" t="str">
        <v>14.15</v>
      </c>
      <c r="AG39" s="8" t="str">
        <v>14.15</v>
      </c>
      <c r="AH39" s="6" t="str">
        <v>False</v>
      </c>
      <c r="AI39" s="6" t="str">
        <v>1996</v>
      </c>
      <c r="AJ39" s="6" t="str">
        <v>Completed</v>
      </c>
      <c r="AM39" s="6" t="str">
        <v>Stock Swap</v>
      </c>
      <c r="AO39" s="6" t="str">
        <v>Microsoft acquired all of the outstanding shares of Aspect Software Engineering in exchange for 125,502 common shares valued at $14.15 mil. The shares were valued based on Microsoft's closing stock price of $112.75 on Apr 22, the last full trading day prior to the announcement.</v>
      </c>
    </row>
    <row r="40">
      <c r="A40" s="6" t="str">
        <v>594918</v>
      </c>
      <c r="B40" s="6" t="str">
        <v>United States</v>
      </c>
      <c r="C40" s="6" t="str">
        <v>Microsoft Corp</v>
      </c>
      <c r="D40" s="6" t="str">
        <v>Microsoft Corp</v>
      </c>
      <c r="F40" s="6" t="str">
        <v>United States</v>
      </c>
      <c r="G40" s="6" t="str">
        <v>Colusa Software Inc</v>
      </c>
      <c r="H40" s="6" t="str">
        <v>Prepackaged Software</v>
      </c>
      <c r="I40" s="6" t="str">
        <v>19690W</v>
      </c>
      <c r="J40" s="6" t="str">
        <v>Colusa Software Inc</v>
      </c>
      <c r="K40" s="6" t="str">
        <v>Colusa Software Inc</v>
      </c>
      <c r="L40" s="7">
        <f>=DATE(1996,3,12)</f>
        <v>35135.99949074074</v>
      </c>
      <c r="M40" s="7">
        <f>=DATE(1996,3,12)</f>
        <v>35135.99949074074</v>
      </c>
      <c r="W40" s="6" t="str">
        <v>Other Peripherals;Applications Software(Business;Computer Consulting Services;Operating Systems;Internet Services &amp; Software;Monitors/Terminals</v>
      </c>
      <c r="X40" s="6" t="str">
        <v>Applications Software(Home);Applications Software(Business;Database Software/Programming;Other Software (inq. Games)</v>
      </c>
      <c r="Y40" s="6" t="str">
        <v>Applications Software(Home);Applications Software(Business;Other Software (inq. Games);Database Software/Programming</v>
      </c>
      <c r="Z40" s="6" t="str">
        <v>Applications Software(Home);Applications Software(Business;Database Software/Programming;Other Software (inq. Games)</v>
      </c>
      <c r="AA40" s="6" t="str">
        <v>Computer Consulting Services;Operating Systems;Other Peripherals;Monitors/Terminals;Applications Software(Business;Internet Services &amp; Software</v>
      </c>
      <c r="AB40" s="6" t="str">
        <v>Monitors/Terminals;Other Peripherals;Applications Software(Business;Internet Services &amp; Software;Computer Consulting Services;Operating Systems</v>
      </c>
      <c r="AH40" s="6" t="str">
        <v>False</v>
      </c>
      <c r="AI40" s="6" t="str">
        <v>1996</v>
      </c>
      <c r="AJ40" s="6" t="str">
        <v>Completed</v>
      </c>
      <c r="AM40" s="6" t="str">
        <v>Not Applicable</v>
      </c>
      <c r="AO40" s="6" t="str">
        <v>Microsoft acquired Colusa Software for an undisclosed amount of cash.</v>
      </c>
    </row>
    <row r="41">
      <c r="A41" s="6" t="str">
        <v>594918</v>
      </c>
      <c r="B41" s="6" t="str">
        <v>United States</v>
      </c>
      <c r="C41" s="6" t="str">
        <v>Microsoft Corp</v>
      </c>
      <c r="D41" s="6" t="str">
        <v>Microsoft Corp</v>
      </c>
      <c r="F41" s="6" t="str">
        <v>United States</v>
      </c>
      <c r="G41" s="6" t="str">
        <v>Mobile Telecommunications Technologies Corp</v>
      </c>
      <c r="H41" s="6" t="str">
        <v>Telecommunications</v>
      </c>
      <c r="I41" s="6" t="str">
        <v>607406</v>
      </c>
      <c r="J41" s="6" t="str">
        <v>Mobile Telecommunications Technologies Corp</v>
      </c>
      <c r="K41" s="6" t="str">
        <v>Mobile Telecommunications Technologies Corp</v>
      </c>
      <c r="L41" s="7">
        <f>=DATE(1996,4,1)</f>
        <v>35155.99949074074</v>
      </c>
      <c r="M41" s="7">
        <f>=DATE(1996,4,1)</f>
        <v>35155.99949074074</v>
      </c>
      <c r="N41" s="8">
        <v>25</v>
      </c>
      <c r="O41" s="8">
        <v>25</v>
      </c>
      <c r="P41" s="8" t="str">
        <v>1,512.48</v>
      </c>
      <c r="R41" s="8">
        <v>-52.027</v>
      </c>
      <c r="S41" s="8">
        <v>245.991</v>
      </c>
      <c r="T41" s="8">
        <v>61.119</v>
      </c>
      <c r="U41" s="8">
        <v>-207.686</v>
      </c>
      <c r="V41" s="8">
        <v>10.559</v>
      </c>
      <c r="W41" s="6" t="str">
        <v>Internet Services &amp; Software;Monitors/Terminals;Operating Systems;Other Peripherals;Computer Consulting Services;Applications Software(Business</v>
      </c>
      <c r="X41" s="6" t="str">
        <v>Cellular Communications</v>
      </c>
      <c r="Y41" s="6" t="str">
        <v>Cellular Communications</v>
      </c>
      <c r="Z41" s="6" t="str">
        <v>Cellular Communications</v>
      </c>
      <c r="AA41" s="6" t="str">
        <v>Computer Consulting Services;Internet Services &amp; Software;Monitors/Terminals;Applications Software(Business;Other Peripherals;Operating Systems</v>
      </c>
      <c r="AB41" s="6" t="str">
        <v>Operating Systems;Internet Services &amp; Software;Monitors/Terminals;Other Peripherals;Computer Consulting Services;Applications Software(Business</v>
      </c>
      <c r="AC41" s="8">
        <v>25</v>
      </c>
      <c r="AD41" s="7">
        <f>=DATE(1996,4,1)</f>
        <v>35155.99949074074</v>
      </c>
      <c r="AF41" s="8" t="str">
        <v>1,512.42</v>
      </c>
      <c r="AG41" s="8" t="str">
        <v>1,512.42</v>
      </c>
      <c r="AH41" s="6" t="str">
        <v>True</v>
      </c>
      <c r="AI41" s="6" t="str">
        <v>1996</v>
      </c>
      <c r="AJ41" s="6" t="str">
        <v>Completed</v>
      </c>
      <c r="AL41" s="8">
        <v>1.35125</v>
      </c>
      <c r="AM41" s="6" t="str">
        <v>Privately Negotiated Purchase</v>
      </c>
      <c r="AN41" s="8">
        <v>247.246</v>
      </c>
      <c r="AO41" s="6" t="str">
        <v>Microsoft acquired convertible preferred shares convertible to 1,351,250 common shares, or a 2.5% stake, in Mobile Telecommunications Technologies, for $25 mil, in a privately negotiated transaction.</v>
      </c>
    </row>
    <row r="42">
      <c r="A42" s="6" t="str">
        <v>594918</v>
      </c>
      <c r="B42" s="6" t="str">
        <v>United States</v>
      </c>
      <c r="C42" s="6" t="str">
        <v>Microsoft Corp</v>
      </c>
      <c r="D42" s="6" t="str">
        <v>Microsoft Corp</v>
      </c>
      <c r="F42" s="6" t="str">
        <v>United States</v>
      </c>
      <c r="G42" s="6" t="str">
        <v>Aha! Software Corp</v>
      </c>
      <c r="H42" s="6" t="str">
        <v>Prepackaged Software</v>
      </c>
      <c r="I42" s="6" t="str">
        <v>00868X</v>
      </c>
      <c r="J42" s="6" t="str">
        <v>Aha! Software Corp</v>
      </c>
      <c r="K42" s="6" t="str">
        <v>Aha! Software Corp</v>
      </c>
      <c r="L42" s="7">
        <f>=DATE(1996,4,8)</f>
        <v>35162.99949074074</v>
      </c>
      <c r="W42" s="6" t="str">
        <v>Applications Software(Business;Other Peripherals;Operating Systems;Internet Services &amp; Software;Computer Consulting Services;Monitors/Terminals</v>
      </c>
      <c r="X42" s="6" t="str">
        <v>Other Software (inq. Games)</v>
      </c>
      <c r="Y42" s="6" t="str">
        <v>Other Software (inq. Games)</v>
      </c>
      <c r="Z42" s="6" t="str">
        <v>Other Software (inq. Games)</v>
      </c>
      <c r="AA42" s="6" t="str">
        <v>Operating Systems;Other Peripherals;Internet Services &amp; Software;Applications Software(Business;Computer Consulting Services;Monitors/Terminals</v>
      </c>
      <c r="AB42" s="6" t="str">
        <v>Applications Software(Business;Monitors/Terminals;Internet Services &amp; Software;Computer Consulting Services;Operating Systems;Other Peripherals</v>
      </c>
      <c r="AH42" s="6" t="str">
        <v>False</v>
      </c>
      <c r="AJ42" s="6" t="str">
        <v>Pending</v>
      </c>
      <c r="AM42" s="6" t="str">
        <v>Not Applicable</v>
      </c>
      <c r="AO42" s="6" t="str">
        <v>Microsoft signed a definitive agreement to acquire Aha! Software. Terms were not disclosed.</v>
      </c>
    </row>
    <row r="43">
      <c r="A43" s="6" t="str">
        <v>127646</v>
      </c>
      <c r="B43" s="6" t="str">
        <v>United States</v>
      </c>
      <c r="C43" s="6" t="str">
        <v>Caere Corp</v>
      </c>
      <c r="D43" s="6" t="str">
        <v>Caere Corp</v>
      </c>
      <c r="F43" s="6" t="str">
        <v>United States</v>
      </c>
      <c r="G43" s="6" t="str">
        <v>Caere Corp</v>
      </c>
      <c r="H43" s="6" t="str">
        <v>Prepackaged Software</v>
      </c>
      <c r="I43" s="6" t="str">
        <v>127646</v>
      </c>
      <c r="J43" s="6" t="str">
        <v>Caere Corp</v>
      </c>
      <c r="K43" s="6" t="str">
        <v>Caere Corp</v>
      </c>
      <c r="L43" s="7">
        <f>=DATE(1996,4,15)</f>
        <v>35169.99949074074</v>
      </c>
      <c r="N43" s="8">
        <v>10.0625</v>
      </c>
      <c r="O43" s="8">
        <v>10.0625</v>
      </c>
      <c r="P43" s="8" t="str">
        <v>85.90</v>
      </c>
      <c r="R43" s="8">
        <v>2.397</v>
      </c>
      <c r="S43" s="8">
        <v>51.939</v>
      </c>
      <c r="T43" s="8">
        <v>1.529</v>
      </c>
      <c r="U43" s="8">
        <v>1.959</v>
      </c>
      <c r="V43" s="8">
        <v>3.181</v>
      </c>
      <c r="W43" s="6" t="str">
        <v>Data Processing Services;Applications Software(Business</v>
      </c>
      <c r="X43" s="6" t="str">
        <v>Applications Software(Business;Data Processing Services</v>
      </c>
      <c r="Y43" s="6" t="str">
        <v>Data Processing Services;Applications Software(Business</v>
      </c>
      <c r="Z43" s="6" t="str">
        <v>Applications Software(Business;Data Processing Services</v>
      </c>
      <c r="AA43" s="6" t="str">
        <v>Data Processing Services;Applications Software(Business</v>
      </c>
      <c r="AB43" s="6" t="str">
        <v>Applications Software(Business;Data Processing Services</v>
      </c>
      <c r="AC43" s="8">
        <v>10.0625</v>
      </c>
      <c r="AD43" s="7">
        <f>=DATE(1996,4,15)</f>
        <v>35169.99949074074</v>
      </c>
      <c r="AE43" s="8">
        <v>133.147</v>
      </c>
      <c r="AF43" s="8" t="str">
        <v>85.38</v>
      </c>
      <c r="AH43" s="6" t="str">
        <v>True</v>
      </c>
      <c r="AJ43" s="6" t="str">
        <v>Intended</v>
      </c>
      <c r="AK43" s="8">
        <v>133.147</v>
      </c>
      <c r="AL43" s="8">
        <v>1</v>
      </c>
      <c r="AM43" s="6" t="str">
        <v>Repurchase;Open Market Purchase</v>
      </c>
      <c r="AO43" s="6" t="str">
        <v>In April 1996, Caere's board authorized the repurchase of up to 1 mil common shares, or about 7.56% of the company's common stock outstanding, in open market transactions. Based on Caere's closing stock price of $10.0625 on Apr 12, the last full trading day prior to the announcement of the board's approval, the buyback had an indicated value of up to $10.06 mil in cash.</v>
      </c>
    </row>
    <row r="44">
      <c r="A44" s="6" t="str">
        <v>594918</v>
      </c>
      <c r="B44" s="6" t="str">
        <v>United States</v>
      </c>
      <c r="C44" s="6" t="str">
        <v>Microsoft Corp</v>
      </c>
      <c r="D44" s="6" t="str">
        <v>Microsoft Corp</v>
      </c>
      <c r="F44" s="6" t="str">
        <v>United States</v>
      </c>
      <c r="G44" s="6" t="str">
        <v>Exos Inc</v>
      </c>
      <c r="H44" s="6" t="str">
        <v>Miscellaneous Manufacturing</v>
      </c>
      <c r="I44" s="6" t="str">
        <v>30222N</v>
      </c>
      <c r="J44" s="6" t="str">
        <v>Exos Inc</v>
      </c>
      <c r="K44" s="6" t="str">
        <v>Exos Inc</v>
      </c>
      <c r="L44" s="7">
        <f>=DATE(1996,4,16)</f>
        <v>35170.99949074074</v>
      </c>
      <c r="M44" s="7">
        <f>=DATE(1996,4,16)</f>
        <v>35170.99949074074</v>
      </c>
      <c r="W44" s="6" t="str">
        <v>Other Peripherals;Internet Services &amp; Software;Applications Software(Business;Operating Systems;Computer Consulting Services;Monitors/Terminals</v>
      </c>
      <c r="X44" s="6" t="str">
        <v>Other Electronics</v>
      </c>
      <c r="Y44" s="6" t="str">
        <v>Other Electronics</v>
      </c>
      <c r="Z44" s="6" t="str">
        <v>Other Electronics</v>
      </c>
      <c r="AA44" s="6" t="str">
        <v>Internet Services &amp; Software;Operating Systems;Other Peripherals;Monitors/Terminals;Computer Consulting Services;Applications Software(Business</v>
      </c>
      <c r="AB44" s="6" t="str">
        <v>Computer Consulting Services;Other Peripherals;Monitors/Terminals;Internet Services &amp; Software;Applications Software(Business;Operating Systems</v>
      </c>
      <c r="AH44" s="6" t="str">
        <v>True</v>
      </c>
      <c r="AI44" s="6" t="str">
        <v>1996</v>
      </c>
      <c r="AJ44" s="6" t="str">
        <v>Completed</v>
      </c>
      <c r="AM44" s="6" t="str">
        <v>Not Applicable</v>
      </c>
      <c r="AO44" s="6" t="str">
        <v>Microsoft acquired Exos. Terms were not disclosed.</v>
      </c>
    </row>
    <row r="45">
      <c r="A45" s="6" t="str">
        <v>594918</v>
      </c>
      <c r="B45" s="6" t="str">
        <v>United States</v>
      </c>
      <c r="C45" s="6" t="str">
        <v>Microsoft Corp</v>
      </c>
      <c r="D45" s="6" t="str">
        <v>Microsoft Corp</v>
      </c>
      <c r="F45" s="6" t="str">
        <v>United States</v>
      </c>
      <c r="G45" s="6" t="str">
        <v>eShop Inc</v>
      </c>
      <c r="H45" s="6" t="str">
        <v>Prepackaged Software</v>
      </c>
      <c r="I45" s="6" t="str">
        <v>88074N</v>
      </c>
      <c r="J45" s="6" t="str">
        <v>eShop Inc</v>
      </c>
      <c r="K45" s="6" t="str">
        <v>eShop Inc</v>
      </c>
      <c r="L45" s="7">
        <f>=DATE(1996,6,10)</f>
        <v>35225.99949074074</v>
      </c>
      <c r="M45" s="7">
        <f>=DATE(1996,6,11)</f>
        <v>35226.99949074074</v>
      </c>
      <c r="W45" s="6" t="str">
        <v>Internet Services &amp; Software;Operating Systems;Monitors/Terminals;Applications Software(Business;Other Peripherals;Computer Consulting Services</v>
      </c>
      <c r="X45" s="6" t="str">
        <v>Applications Software(Business;Applications Software(Home)</v>
      </c>
      <c r="Y45" s="6" t="str">
        <v>Applications Software(Business;Applications Software(Home)</v>
      </c>
      <c r="Z45" s="6" t="str">
        <v>Applications Software(Business;Applications Software(Home)</v>
      </c>
      <c r="AA45" s="6" t="str">
        <v>Internet Services &amp; Software;Monitors/Terminals;Other Peripherals;Computer Consulting Services;Applications Software(Business;Operating Systems</v>
      </c>
      <c r="AB45" s="6" t="str">
        <v>Applications Software(Business;Other Peripherals;Computer Consulting Services;Monitors/Terminals;Internet Services &amp; Software;Operating Systems</v>
      </c>
      <c r="AH45" s="6" t="str">
        <v>False</v>
      </c>
      <c r="AI45" s="6" t="str">
        <v>1996</v>
      </c>
      <c r="AJ45" s="6" t="str">
        <v>Completed</v>
      </c>
      <c r="AM45" s="6" t="str">
        <v>Not Applicable</v>
      </c>
      <c r="AO45" s="6" t="str">
        <v>Microsoft acquired eShop. Terms were not disclosed.</v>
      </c>
    </row>
    <row r="46">
      <c r="A46" s="6" t="str">
        <v>594918</v>
      </c>
      <c r="B46" s="6" t="str">
        <v>United States</v>
      </c>
      <c r="C46" s="6" t="str">
        <v>Microsoft Corp</v>
      </c>
      <c r="D46" s="6" t="str">
        <v>Microsoft Corp</v>
      </c>
      <c r="E46" s="6" t="str">
        <v>Microsoft Corp</v>
      </c>
      <c r="F46" s="6" t="str">
        <v>United States</v>
      </c>
      <c r="G46" s="6" t="str">
        <v>Microsoft Corp</v>
      </c>
      <c r="H46" s="6" t="str">
        <v>Prepackaged Software</v>
      </c>
      <c r="I46" s="6" t="str">
        <v>594918</v>
      </c>
      <c r="J46" s="6" t="str">
        <v>Microsoft Corp</v>
      </c>
      <c r="K46" s="6" t="str">
        <v>Microsoft Corp</v>
      </c>
      <c r="L46" s="7">
        <f>=DATE(1996,7,3)</f>
        <v>35248.99949074074</v>
      </c>
      <c r="Q46" s="8" t="str">
        <v>1,374.91</v>
      </c>
      <c r="R46" s="8">
        <v>2195</v>
      </c>
      <c r="S46" s="8">
        <v>8671</v>
      </c>
      <c r="T46" s="8">
        <v>-405</v>
      </c>
      <c r="U46" s="8">
        <v>-2670</v>
      </c>
      <c r="V46" s="8">
        <v>3719</v>
      </c>
      <c r="W46" s="6" t="str">
        <v>Applications Software(Business;Monitors/Terminals;Operating Systems;Other Peripherals;Computer Consulting Services;Internet Services &amp; Software</v>
      </c>
      <c r="X46" s="6" t="str">
        <v>Applications Software(Business;Monitors/Terminals;Other Peripherals;Operating Systems;Computer Consulting Services;Internet Services &amp; Software</v>
      </c>
      <c r="Y46" s="6" t="str">
        <v>Computer Consulting Services;Other Peripherals;Internet Services &amp; Software;Applications Software(Business;Monitors/Terminals;Operating Systems</v>
      </c>
      <c r="Z46" s="6" t="str">
        <v>Monitors/Terminals;Internet Services &amp; Software;Computer Consulting Services;Operating Systems;Other Peripherals;Applications Software(Business</v>
      </c>
      <c r="AA46" s="6" t="str">
        <v>Operating Systems;Computer Consulting Services;Internet Services &amp; Software;Other Peripherals;Applications Software(Business;Monitors/Terminals</v>
      </c>
      <c r="AB46" s="6" t="str">
        <v>Applications Software(Business;Monitors/Terminals;Computer Consulting Services;Internet Services &amp; Software;Other Peripherals;Operating Systems</v>
      </c>
      <c r="AH46" s="6" t="str">
        <v>True</v>
      </c>
      <c r="AJ46" s="6" t="str">
        <v>Withdrawn</v>
      </c>
      <c r="AM46" s="6" t="str">
        <v>Repurchase;Open Market Purchase</v>
      </c>
      <c r="AO46" s="6" t="str">
        <v>In June 1996, Microsoft's (MI) board authorized the repurchase of up to $1.38 bil of its common shares, in open market transactions. Subsequently in June 1997 and June 1998, MI continued the repurchase authorization for undisclosed amounts of common stock. The repurchase authorization was terminated in January 2000 after MI's acquisition of Visio Corp.</v>
      </c>
    </row>
    <row r="47">
      <c r="A47" s="6" t="str">
        <v>037833</v>
      </c>
      <c r="B47" s="6" t="str">
        <v>United States</v>
      </c>
      <c r="C47" s="6" t="str">
        <v>Apple Computer Inc</v>
      </c>
      <c r="D47" s="6" t="str">
        <v>Apple Computer Inc</v>
      </c>
      <c r="F47" s="6" t="str">
        <v>United States</v>
      </c>
      <c r="G47" s="6" t="str">
        <v>Be Inc</v>
      </c>
      <c r="H47" s="6" t="str">
        <v>Prepackaged Software</v>
      </c>
      <c r="I47" s="6" t="str">
        <v>073309</v>
      </c>
      <c r="J47" s="6" t="str">
        <v>Be Inc</v>
      </c>
      <c r="K47" s="6" t="str">
        <v>Be Inc</v>
      </c>
      <c r="L47" s="7">
        <f>=DATE(1996,8,29)</f>
        <v>35305.99949074074</v>
      </c>
      <c r="W47" s="6" t="str">
        <v>Monitors/Terminals;Mainframes &amp; Super Computers;Other Software (inq. Games);Micro-Computers (PCs);Portable Computers;Printers;Other Peripherals;Disk Drives</v>
      </c>
      <c r="X47" s="6" t="str">
        <v>Applications Software(Business</v>
      </c>
      <c r="Y47" s="6" t="str">
        <v>Applications Software(Business</v>
      </c>
      <c r="Z47" s="6" t="str">
        <v>Applications Software(Business</v>
      </c>
      <c r="AA47" s="6" t="str">
        <v>Other Peripherals;Other Software (inq. Games);Micro-Computers (PCs);Printers;Monitors/Terminals;Portable Computers;Disk Drives;Mainframes &amp; Super Computers</v>
      </c>
      <c r="AB47" s="6" t="str">
        <v>Disk Drives;Other Software (inq. Games);Micro-Computers (PCs);Portable Computers;Monitors/Terminals;Mainframes &amp; Super Computers;Other Peripherals;Printers</v>
      </c>
      <c r="AH47" s="6" t="str">
        <v>False</v>
      </c>
      <c r="AJ47" s="6" t="str">
        <v>Dismissed Rumor</v>
      </c>
      <c r="AM47" s="6" t="str">
        <v>Rumored Deal</v>
      </c>
      <c r="AO47" s="6" t="str">
        <v>Apple Computer was rumored to be in negotiations to acquire Be. The Current status of this deal is unknown.</v>
      </c>
    </row>
    <row r="48">
      <c r="A48" s="6" t="str">
        <v>594918</v>
      </c>
      <c r="B48" s="6" t="str">
        <v>United States</v>
      </c>
      <c r="C48" s="6" t="str">
        <v>Microsoft Corp</v>
      </c>
      <c r="D48" s="6" t="str">
        <v>Microsoft Corp</v>
      </c>
      <c r="F48" s="6" t="str">
        <v>United States</v>
      </c>
      <c r="G48" s="6" t="str">
        <v>SingleTrac Entertainment Technologies Inc</v>
      </c>
      <c r="H48" s="6" t="str">
        <v>Prepackaged Software</v>
      </c>
      <c r="I48" s="6" t="str">
        <v>82932Y</v>
      </c>
      <c r="J48" s="6" t="str">
        <v>SingleTrac Entertainment Technologies Inc</v>
      </c>
      <c r="K48" s="6" t="str">
        <v>SingleTrac Entertainment Technologies Inc</v>
      </c>
      <c r="L48" s="7">
        <f>=DATE(1996,9,9)</f>
        <v>35316.99949074074</v>
      </c>
      <c r="M48" s="7">
        <f>=DATE(1996,9,9)</f>
        <v>35316.99949074074</v>
      </c>
      <c r="W48" s="6" t="str">
        <v>Operating Systems;Computer Consulting Services;Applications Software(Business;Monitors/Terminals;Internet Services &amp; Software;Other Peripherals</v>
      </c>
      <c r="X48" s="6" t="str">
        <v>Other Software (inq. Games)</v>
      </c>
      <c r="Y48" s="6" t="str">
        <v>Other Software (inq. Games)</v>
      </c>
      <c r="Z48" s="6" t="str">
        <v>Other Software (inq. Games)</v>
      </c>
      <c r="AA48" s="6" t="str">
        <v>Monitors/Terminals;Applications Software(Business;Internet Services &amp; Software;Computer Consulting Services;Other Peripherals;Operating Systems</v>
      </c>
      <c r="AB48" s="6" t="str">
        <v>Computer Consulting Services;Other Peripherals;Internet Services &amp; Software;Operating Systems;Applications Software(Business;Monitors/Terminals</v>
      </c>
      <c r="AH48" s="6" t="str">
        <v>True</v>
      </c>
      <c r="AI48" s="6" t="str">
        <v>1996</v>
      </c>
      <c r="AJ48" s="6" t="str">
        <v>Completed</v>
      </c>
      <c r="AM48" s="6" t="str">
        <v>Open Market Purchase</v>
      </c>
      <c r="AO48" s="6" t="str">
        <v>Microsoft acquired a minority stake in SingleTrac Entertainment Technologies.</v>
      </c>
    </row>
    <row r="49">
      <c r="A49" s="6" t="str">
        <v>25433J</v>
      </c>
      <c r="B49" s="6" t="str">
        <v>United States</v>
      </c>
      <c r="C49" s="6" t="str">
        <v>Dimension X Inc</v>
      </c>
      <c r="D49" s="6" t="str">
        <v>Dimension X Inc</v>
      </c>
      <c r="F49" s="6" t="str">
        <v>United States</v>
      </c>
      <c r="G49" s="6" t="str">
        <v>Anyware Fast Inc</v>
      </c>
      <c r="H49" s="6" t="str">
        <v>Business Services</v>
      </c>
      <c r="I49" s="6" t="str">
        <v>03690X</v>
      </c>
      <c r="J49" s="6" t="str">
        <v>Anyware Fast Inc</v>
      </c>
      <c r="K49" s="6" t="str">
        <v>Anyware Fast Inc</v>
      </c>
      <c r="L49" s="7">
        <f>=DATE(1996,9,25)</f>
        <v>35332.99949074074</v>
      </c>
      <c r="M49" s="7">
        <f>=DATE(1996,9,25)</f>
        <v>35332.99949074074</v>
      </c>
      <c r="W49" s="6" t="str">
        <v>Other Software (inq. Games)</v>
      </c>
      <c r="X49" s="6" t="str">
        <v>Programming Services;Database Software/Programming</v>
      </c>
      <c r="Y49" s="6" t="str">
        <v>Database Software/Programming;Programming Services</v>
      </c>
      <c r="Z49" s="6" t="str">
        <v>Database Software/Programming;Programming Services</v>
      </c>
      <c r="AA49" s="6" t="str">
        <v>Other Software (inq. Games)</v>
      </c>
      <c r="AB49" s="6" t="str">
        <v>Other Software (inq. Games)</v>
      </c>
      <c r="AH49" s="6" t="str">
        <v>False</v>
      </c>
      <c r="AI49" s="6" t="str">
        <v>1996</v>
      </c>
      <c r="AJ49" s="6" t="str">
        <v>Completed</v>
      </c>
      <c r="AM49" s="6" t="str">
        <v>Not Applicable</v>
      </c>
      <c r="AO49" s="6" t="str">
        <v>Dimension X acquires Anywhere Fast.</v>
      </c>
    </row>
    <row r="50">
      <c r="A50" s="6" t="str">
        <v>594918</v>
      </c>
      <c r="B50" s="6" t="str">
        <v>United States</v>
      </c>
      <c r="C50" s="6" t="str">
        <v>Microsoft Corp</v>
      </c>
      <c r="D50" s="6" t="str">
        <v>Microsoft Corp</v>
      </c>
      <c r="E50" s="6" t="str">
        <v>Microsoft Corp</v>
      </c>
      <c r="F50" s="6" t="str">
        <v>United States</v>
      </c>
      <c r="G50" s="6" t="str">
        <v>WebTV Networks Inc</v>
      </c>
      <c r="H50" s="6" t="str">
        <v>Business Services</v>
      </c>
      <c r="I50" s="6" t="str">
        <v>94733N</v>
      </c>
      <c r="J50" s="6" t="str">
        <v>WebTV Networks Inc</v>
      </c>
      <c r="K50" s="6" t="str">
        <v>WebTV Networks Inc</v>
      </c>
      <c r="L50" s="7">
        <f>=DATE(1996,10,1)</f>
        <v>35338.99949074074</v>
      </c>
      <c r="M50" s="7">
        <f>=DATE(1996,10,1)</f>
        <v>35338.99949074074</v>
      </c>
      <c r="Q50" s="8" t="str">
        <v>425.00</v>
      </c>
      <c r="W50" s="6" t="str">
        <v>Operating Systems;Computer Consulting Services;Other Peripherals;Applications Software(Business;Internet Services &amp; Software;Monitors/Terminals</v>
      </c>
      <c r="X50" s="6" t="str">
        <v>Communication/Network Software;Internet Services &amp; Software</v>
      </c>
      <c r="Y50" s="6" t="str">
        <v>Internet Services &amp; Software;Communication/Network Software</v>
      </c>
      <c r="Z50" s="6" t="str">
        <v>Communication/Network Software;Internet Services &amp; Software</v>
      </c>
      <c r="AA50" s="6" t="str">
        <v>Computer Consulting Services;Applications Software(Business;Internet Services &amp; Software;Other Peripherals;Operating Systems;Monitors/Terminals</v>
      </c>
      <c r="AB50" s="6" t="str">
        <v>Operating Systems;Monitors/Terminals;Computer Consulting Services;Applications Software(Business;Other Peripherals;Internet Services &amp; Software</v>
      </c>
      <c r="AH50" s="6" t="str">
        <v>False</v>
      </c>
      <c r="AI50" s="6" t="str">
        <v>1996</v>
      </c>
      <c r="AJ50" s="6" t="str">
        <v>Completed</v>
      </c>
      <c r="AM50" s="6" t="str">
        <v>Not Applicable</v>
      </c>
      <c r="AO50" s="6" t="str">
        <v>Microsoft acquired an undisclosed minority stake in WebTV Networks (WN). Terms were not disclosed. Later, Microsoft acquired the remaining majority interest, which it did not already own, in WN.</v>
      </c>
    </row>
    <row r="51">
      <c r="A51" s="6" t="str">
        <v>594918</v>
      </c>
      <c r="B51" s="6" t="str">
        <v>United States</v>
      </c>
      <c r="C51" s="6" t="str">
        <v>Microsoft Corp</v>
      </c>
      <c r="D51" s="6" t="str">
        <v>Microsoft Corp</v>
      </c>
      <c r="F51" s="6" t="str">
        <v>United States</v>
      </c>
      <c r="G51" s="6" t="str">
        <v>VDOnet Corp Ltd</v>
      </c>
      <c r="H51" s="6" t="str">
        <v>Business Services</v>
      </c>
      <c r="I51" s="6" t="str">
        <v>91839F</v>
      </c>
      <c r="J51" s="6" t="str">
        <v>VDOnet Corp Ltd</v>
      </c>
      <c r="K51" s="6" t="str">
        <v>VDOnet Corp Ltd</v>
      </c>
      <c r="L51" s="7">
        <f>=DATE(1996,10,28)</f>
        <v>35365.99949074074</v>
      </c>
      <c r="M51" s="7">
        <f>=DATE(1996,10,28)</f>
        <v>35365.99949074074</v>
      </c>
      <c r="W51" s="6" t="str">
        <v>Applications Software(Business;Monitors/Terminals;Other Peripherals;Operating Systems;Computer Consulting Services;Internet Services &amp; Software</v>
      </c>
      <c r="X51" s="6" t="str">
        <v>Applications Software(Business;Communication/Network Software;Internet Services &amp; Software</v>
      </c>
      <c r="Y51" s="6" t="str">
        <v>Internet Services &amp; Software;Communication/Network Software;Applications Software(Business</v>
      </c>
      <c r="Z51" s="6" t="str">
        <v>Communication/Network Software;Applications Software(Business;Internet Services &amp; Software</v>
      </c>
      <c r="AA51" s="6" t="str">
        <v>Computer Consulting Services;Operating Systems;Internet Services &amp; Software;Monitors/Terminals;Applications Software(Business;Other Peripherals</v>
      </c>
      <c r="AB51" s="6" t="str">
        <v>Computer Consulting Services;Applications Software(Business;Monitors/Terminals;Operating Systems;Other Peripherals;Internet Services &amp; Software</v>
      </c>
      <c r="AH51" s="6" t="str">
        <v>False</v>
      </c>
      <c r="AI51" s="6" t="str">
        <v>1996</v>
      </c>
      <c r="AJ51" s="6" t="str">
        <v>Completed</v>
      </c>
      <c r="AM51" s="6" t="str">
        <v>Not Applicable</v>
      </c>
      <c r="AO51" s="6" t="str">
        <v>Microsoft acquired an undisclosed minority stake in VDOnet.</v>
      </c>
    </row>
    <row r="52">
      <c r="A52" s="6" t="str">
        <v>594918</v>
      </c>
      <c r="B52" s="6" t="str">
        <v>United States</v>
      </c>
      <c r="C52" s="6" t="str">
        <v>Microsoft Corp</v>
      </c>
      <c r="D52" s="6" t="str">
        <v>Microsoft Corp</v>
      </c>
      <c r="F52" s="6" t="str">
        <v>Israel</v>
      </c>
      <c r="G52" s="6" t="str">
        <v>Panorama Software Systems- On-Line Analytical Software Technology</v>
      </c>
      <c r="H52" s="6" t="str">
        <v>Prepackaged Software</v>
      </c>
      <c r="I52" s="6" t="str">
        <v>69974Y</v>
      </c>
      <c r="J52" s="6" t="str">
        <v>Panorama Software Systems</v>
      </c>
      <c r="K52" s="6" t="str">
        <v>Panorama Software Systems</v>
      </c>
      <c r="L52" s="7">
        <f>=DATE(1996,11,1)</f>
        <v>35369.99949074074</v>
      </c>
      <c r="M52" s="7">
        <f>=DATE(1996,11,1)</f>
        <v>35369.99949074074</v>
      </c>
      <c r="W52" s="6" t="str">
        <v>Other Peripherals;Computer Consulting Services;Internet Services &amp; Software;Monitors/Terminals;Operating Systems;Applications Software(Business</v>
      </c>
      <c r="X52" s="6" t="str">
        <v>Applications Software(Home);Database Software/Programming;Applications Software(Business</v>
      </c>
      <c r="Y52" s="6" t="str">
        <v>Database Software/Programming;Programming Services;Applications Software(Business;Applications Software(Home)</v>
      </c>
      <c r="Z52" s="6" t="str">
        <v>Applications Software(Home);Applications Software(Business;Programming Services;Database Software/Programming</v>
      </c>
      <c r="AA52" s="6" t="str">
        <v>Monitors/Terminals;Computer Consulting Services;Other Peripherals;Internet Services &amp; Software;Operating Systems;Applications Software(Business</v>
      </c>
      <c r="AB52" s="6" t="str">
        <v>Internet Services &amp; Software;Applications Software(Business;Computer Consulting Services;Monitors/Terminals;Other Peripherals;Operating Systems</v>
      </c>
      <c r="AH52" s="6" t="str">
        <v>False</v>
      </c>
      <c r="AI52" s="6" t="str">
        <v>1996</v>
      </c>
      <c r="AJ52" s="6" t="str">
        <v>Completed</v>
      </c>
      <c r="AM52" s="6" t="str">
        <v>Divestiture</v>
      </c>
      <c r="AO52" s="6" t="str">
        <v>Microsoft acquired the on-line analytical software technology of Panorama Software Systems. Terms were not disclosed.</v>
      </c>
    </row>
    <row r="53">
      <c r="A53" s="6" t="str">
        <v>594918</v>
      </c>
      <c r="B53" s="6" t="str">
        <v>United States</v>
      </c>
      <c r="C53" s="6" t="str">
        <v>Microsoft Corp</v>
      </c>
      <c r="D53" s="6" t="str">
        <v>Microsoft Corp</v>
      </c>
      <c r="F53" s="6" t="str">
        <v>United States</v>
      </c>
      <c r="G53" s="6" t="str">
        <v>Microsoft Network LLC{MSN}</v>
      </c>
      <c r="H53" s="6" t="str">
        <v>Business Services</v>
      </c>
      <c r="I53" s="6" t="str">
        <v>59493Z</v>
      </c>
      <c r="J53" s="6" t="str">
        <v>Microsoft Corp</v>
      </c>
      <c r="K53" s="6" t="str">
        <v>Microsoft Corp</v>
      </c>
      <c r="L53" s="7">
        <f>=DATE(1996,11,15)</f>
        <v>35383.99949074074</v>
      </c>
      <c r="M53" s="7">
        <f>=DATE(1996,11,15)</f>
        <v>35383.99949074074</v>
      </c>
      <c r="N53" s="8">
        <v>125</v>
      </c>
      <c r="O53" s="8">
        <v>125</v>
      </c>
      <c r="W53" s="6" t="str">
        <v>Internet Services &amp; Software;Operating Systems;Computer Consulting Services;Applications Software(Business;Monitors/Terminals;Other Peripherals</v>
      </c>
      <c r="X53" s="6" t="str">
        <v>Communication/Network Software;Internet Services &amp; Software</v>
      </c>
      <c r="Y53" s="6" t="str">
        <v>Other Peripherals;Monitors/Terminals;Internet Services &amp; Software;Operating Systems;Applications Software(Business;Computer Consulting Services</v>
      </c>
      <c r="Z53" s="6" t="str">
        <v>Computer Consulting Services;Internet Services &amp; Software;Other Peripherals;Operating Systems;Applications Software(Business;Monitors/Terminals</v>
      </c>
      <c r="AA53" s="6" t="str">
        <v>Monitors/Terminals;Applications Software(Business;Other Peripherals;Internet Services &amp; Software;Operating Systems;Computer Consulting Services</v>
      </c>
      <c r="AB53" s="6" t="str">
        <v>Internet Services &amp; Software;Applications Software(Business;Monitors/Terminals;Operating Systems;Other Peripherals;Computer Consulting Services</v>
      </c>
      <c r="AC53" s="8">
        <v>125</v>
      </c>
      <c r="AD53" s="7">
        <f>=DATE(1996,11,15)</f>
        <v>35383.99949074074</v>
      </c>
      <c r="AF53" s="8" t="str">
        <v>625.00</v>
      </c>
      <c r="AG53" s="8" t="str">
        <v>625.00</v>
      </c>
      <c r="AH53" s="6" t="str">
        <v>False</v>
      </c>
      <c r="AI53" s="6" t="str">
        <v>1996</v>
      </c>
      <c r="AJ53" s="6" t="str">
        <v>Completed</v>
      </c>
      <c r="AM53" s="6" t="str">
        <v>Not Applicable</v>
      </c>
      <c r="AO53" s="6" t="str">
        <v>US - Microsoft Corp acquired the remaining 20% stake, which it did not already own, in Microsoft Network, an Internet Service Provider, from Tele-Communications Inc (TCI), for $125 mil in TCI common shares, previously invested in the company.</v>
      </c>
    </row>
    <row r="54">
      <c r="A54" s="6" t="str">
        <v>127646</v>
      </c>
      <c r="B54" s="6" t="str">
        <v>United States</v>
      </c>
      <c r="C54" s="6" t="str">
        <v>Caere Corp</v>
      </c>
      <c r="D54" s="6" t="str">
        <v>Caere Corp</v>
      </c>
      <c r="F54" s="6" t="str">
        <v>Hungary</v>
      </c>
      <c r="G54" s="6" t="str">
        <v>Recognita Rt</v>
      </c>
      <c r="H54" s="6" t="str">
        <v>Measuring, Medical, Photo Equipment; Clocks</v>
      </c>
      <c r="I54" s="6" t="str">
        <v>75627J</v>
      </c>
      <c r="J54" s="6" t="str">
        <v>Recognita Rt</v>
      </c>
      <c r="K54" s="6" t="str">
        <v>Recognita Rt</v>
      </c>
      <c r="L54" s="7">
        <f>=DATE(1996,12,3)</f>
        <v>35401.99949074074</v>
      </c>
      <c r="M54" s="7">
        <f>=DATE(1997,1,9)</f>
        <v>35438.99949074074</v>
      </c>
      <c r="N54" s="8">
        <v>4.8047681621926</v>
      </c>
      <c r="O54" s="8">
        <v>4.8047681621926</v>
      </c>
      <c r="W54" s="6" t="str">
        <v>Applications Software(Business;Data Processing Services</v>
      </c>
      <c r="X54" s="6" t="str">
        <v>Other Software (inq. Games)</v>
      </c>
      <c r="Y54" s="6" t="str">
        <v>Other Software (inq. Games)</v>
      </c>
      <c r="Z54" s="6" t="str">
        <v>Other Software (inq. Games)</v>
      </c>
      <c r="AA54" s="6" t="str">
        <v>Applications Software(Business;Data Processing Services</v>
      </c>
      <c r="AB54" s="6" t="str">
        <v>Data Processing Services;Applications Software(Business</v>
      </c>
      <c r="AC54" s="8">
        <v>4.8047681621926</v>
      </c>
      <c r="AD54" s="7">
        <f>=DATE(1996,12,3)</f>
        <v>35401.99949074074</v>
      </c>
      <c r="AH54" s="6" t="str">
        <v>False</v>
      </c>
      <c r="AI54" s="6" t="str">
        <v>1997</v>
      </c>
      <c r="AJ54" s="6" t="str">
        <v>Completed</v>
      </c>
      <c r="AM54" s="6" t="str">
        <v>Not Applicable</v>
      </c>
      <c r="AO54" s="6" t="str">
        <v>Caere acquired Recognita for 767.85 mil Hungarian forints ($4.7 mil US) in cash.</v>
      </c>
    </row>
    <row r="55">
      <c r="A55" s="6" t="str">
        <v>594918</v>
      </c>
      <c r="B55" s="6" t="str">
        <v>United States</v>
      </c>
      <c r="C55" s="6" t="str">
        <v>Microsoft Corp</v>
      </c>
      <c r="D55" s="6" t="str">
        <v>Microsoft Corp</v>
      </c>
      <c r="E55" s="6" t="str">
        <v>Microsoft Corp</v>
      </c>
      <c r="F55" s="6" t="str">
        <v>United States</v>
      </c>
      <c r="G55" s="6" t="str">
        <v>CMG Information Services Inc</v>
      </c>
      <c r="H55" s="6" t="str">
        <v>Business Services</v>
      </c>
      <c r="I55" s="6" t="str">
        <v>125750</v>
      </c>
      <c r="J55" s="6" t="str">
        <v>CMG Information Services Inc</v>
      </c>
      <c r="K55" s="6" t="str">
        <v>CMG Information Services Inc</v>
      </c>
      <c r="L55" s="7">
        <f>=DATE(1996,12,10)</f>
        <v>35408.99949074074</v>
      </c>
      <c r="M55" s="7">
        <f>=DATE(1997,2,3)</f>
        <v>35463.99949074074</v>
      </c>
      <c r="Q55" s="8" t="str">
        <v>20.00</v>
      </c>
      <c r="R55" s="8">
        <v>14.322</v>
      </c>
      <c r="S55" s="8">
        <v>28.485</v>
      </c>
      <c r="T55" s="8">
        <v>48.043</v>
      </c>
      <c r="U55" s="8">
        <v>10.693</v>
      </c>
      <c r="V55" s="8">
        <v>-4.772</v>
      </c>
      <c r="W55" s="6" t="str">
        <v>Other Peripherals;Operating Systems;Internet Services &amp; Software;Applications Software(Business;Monitors/Terminals;Computer Consulting Services</v>
      </c>
      <c r="X55" s="6" t="str">
        <v>Communication/Network Software;Primary Business not Hi-Tech;Internet Services &amp; Software</v>
      </c>
      <c r="Y55" s="6" t="str">
        <v>Primary Business not Hi-Tech;Communication/Network Software;Internet Services &amp; Software</v>
      </c>
      <c r="Z55" s="6" t="str">
        <v>Primary Business not Hi-Tech;Internet Services &amp; Software;Communication/Network Software</v>
      </c>
      <c r="AA55" s="6" t="str">
        <v>Operating Systems;Internet Services &amp; Software;Monitors/Terminals;Other Peripherals;Computer Consulting Services;Applications Software(Business</v>
      </c>
      <c r="AB55" s="6" t="str">
        <v>Applications Software(Business;Computer Consulting Services;Operating Systems;Monitors/Terminals;Internet Services &amp; Software;Other Peripherals</v>
      </c>
      <c r="AH55" s="6" t="str">
        <v>True</v>
      </c>
      <c r="AI55" s="6" t="str">
        <v>1997</v>
      </c>
      <c r="AJ55" s="6" t="str">
        <v>Completed</v>
      </c>
      <c r="AL55" s="8">
        <v>0.445906</v>
      </c>
      <c r="AM55" s="6" t="str">
        <v>Privately Negotiated Purchase</v>
      </c>
      <c r="AN55" s="8">
        <v>2.299</v>
      </c>
      <c r="AO55" s="6" t="str">
        <v>Microsoft acquired a 4.9% stake in CMG Information Services (CMG) by acquiring 445,906 common shares. Concurrently, Microsoft acquired Netcarta from CMG for $20 mil in cash.</v>
      </c>
    </row>
    <row r="56">
      <c r="A56" s="6" t="str">
        <v>594918</v>
      </c>
      <c r="B56" s="6" t="str">
        <v>United States</v>
      </c>
      <c r="C56" s="6" t="str">
        <v>Microsoft Corp</v>
      </c>
      <c r="D56" s="6" t="str">
        <v>Microsoft Corp</v>
      </c>
      <c r="E56" s="6" t="str">
        <v>Microsoft Corp</v>
      </c>
      <c r="F56" s="6" t="str">
        <v>United States</v>
      </c>
      <c r="G56" s="6" t="str">
        <v>NetCarta Corp(CMG Information Service Inc)</v>
      </c>
      <c r="H56" s="6" t="str">
        <v>Prepackaged Software</v>
      </c>
      <c r="I56" s="6" t="str">
        <v>64109Q</v>
      </c>
      <c r="J56" s="6" t="str">
        <v>CMG Information Services Inc</v>
      </c>
      <c r="K56" s="6" t="str">
        <v>CMG Information Services Inc</v>
      </c>
      <c r="L56" s="7">
        <f>=DATE(1996,12,10)</f>
        <v>35408.99949074074</v>
      </c>
      <c r="M56" s="7">
        <f>=DATE(1997,2,3)</f>
        <v>35463.99949074074</v>
      </c>
      <c r="N56" s="8">
        <v>20</v>
      </c>
      <c r="O56" s="8">
        <v>20</v>
      </c>
      <c r="W56" s="6" t="str">
        <v>Applications Software(Business;Operating Systems;Computer Consulting Services;Other Peripherals;Internet Services &amp; Software;Monitors/Terminals</v>
      </c>
      <c r="X56" s="6" t="str">
        <v>Communication/Network Software;Internet Services &amp; Software</v>
      </c>
      <c r="Y56" s="6" t="str">
        <v>Internet Services &amp; Software;Primary Business not Hi-Tech;Communication/Network Software</v>
      </c>
      <c r="Z56" s="6" t="str">
        <v>Primary Business not Hi-Tech;Internet Services &amp; Software;Communication/Network Software</v>
      </c>
      <c r="AA56" s="6" t="str">
        <v>Operating Systems;Computer Consulting Services;Applications Software(Business;Internet Services &amp; Software;Other Peripherals;Monitors/Terminals</v>
      </c>
      <c r="AB56" s="6" t="str">
        <v>Monitors/Terminals;Operating Systems;Applications Software(Business;Internet Services &amp; Software;Other Peripherals;Computer Consulting Services</v>
      </c>
      <c r="AC56" s="8">
        <v>20</v>
      </c>
      <c r="AD56" s="7">
        <f>=DATE(1996,12,10)</f>
        <v>35408.99949074074</v>
      </c>
      <c r="AH56" s="6" t="str">
        <v>False</v>
      </c>
      <c r="AI56" s="6" t="str">
        <v>1997</v>
      </c>
      <c r="AJ56" s="6" t="str">
        <v>Completed</v>
      </c>
      <c r="AM56" s="6" t="str">
        <v>Divestiture</v>
      </c>
      <c r="AO56" s="6" t="str">
        <v>Microsoft acquired NetCarta, a unit of CMG Information Services, for $20 mil in cash. Concurrently, Microsoft acquired a 4.9% stake in CMG Information Services.</v>
      </c>
    </row>
    <row r="57">
      <c r="A57" s="6" t="str">
        <v>68628K</v>
      </c>
      <c r="B57" s="6" t="str">
        <v>United States</v>
      </c>
      <c r="C57" s="6" t="str">
        <v>Orion Network Systems Inc</v>
      </c>
      <c r="D57" s="6" t="str">
        <v>Orion Network Systems Inc</v>
      </c>
      <c r="F57" s="6" t="str">
        <v>United States</v>
      </c>
      <c r="G57" s="6" t="str">
        <v>Orion Atlantic</v>
      </c>
      <c r="H57" s="6" t="str">
        <v>Telecommunications</v>
      </c>
      <c r="I57" s="6" t="str">
        <v>68626Z</v>
      </c>
      <c r="J57" s="6" t="str">
        <v>Orion Atlantic</v>
      </c>
      <c r="K57" s="6" t="str">
        <v>Orion Atlantic</v>
      </c>
      <c r="L57" s="7">
        <f>=DATE(1996,12,16)</f>
        <v>35414.99949074074</v>
      </c>
      <c r="M57" s="7">
        <f>=DATE(1997,1,31)</f>
        <v>35460.99949074074</v>
      </c>
      <c r="N57" s="8">
        <v>122</v>
      </c>
      <c r="O57" s="8">
        <v>122</v>
      </c>
      <c r="W57" s="6" t="str">
        <v>Primary Business not Hi-Tech</v>
      </c>
      <c r="X57" s="6" t="str">
        <v>Communication/Network Software;Cellular Communications</v>
      </c>
      <c r="Y57" s="6" t="str">
        <v>Communication/Network Software;Cellular Communications</v>
      </c>
      <c r="Z57" s="6" t="str">
        <v>Communication/Network Software;Cellular Communications</v>
      </c>
      <c r="AA57" s="6" t="str">
        <v>Primary Business not Hi-Tech</v>
      </c>
      <c r="AB57" s="6" t="str">
        <v>Primary Business not Hi-Tech</v>
      </c>
      <c r="AC57" s="8">
        <v>122</v>
      </c>
      <c r="AD57" s="7">
        <f>=DATE(1996,12,16)</f>
        <v>35414.99949074074</v>
      </c>
      <c r="AF57" s="8" t="str">
        <v>122.00</v>
      </c>
      <c r="AG57" s="8" t="str">
        <v>122.00</v>
      </c>
      <c r="AH57" s="6" t="str">
        <v>False</v>
      </c>
      <c r="AI57" s="6" t="str">
        <v>1997</v>
      </c>
      <c r="AJ57" s="6" t="str">
        <v>Completed</v>
      </c>
      <c r="AM57" s="6" t="str">
        <v>Stock Swap</v>
      </c>
      <c r="AO57" s="6" t="str">
        <v>US - Orion Network Systems (ON) acquired the remaining 58.3% interest, which it did not already own, in Orion Atlantic for $122 mil in ON convertible preferred stock.</v>
      </c>
    </row>
    <row r="58">
      <c r="A58" s="6" t="str">
        <v>037833</v>
      </c>
      <c r="B58" s="6" t="str">
        <v>United States</v>
      </c>
      <c r="C58" s="6" t="str">
        <v>Apple Computer Inc</v>
      </c>
      <c r="D58" s="6" t="str">
        <v>Apple Computer Inc</v>
      </c>
      <c r="F58" s="6" t="str">
        <v>United States</v>
      </c>
      <c r="G58" s="6" t="str">
        <v>NeXT Computer Inc</v>
      </c>
      <c r="H58" s="6" t="str">
        <v>Business Services</v>
      </c>
      <c r="I58" s="6" t="str">
        <v>65332U</v>
      </c>
      <c r="J58" s="6" t="str">
        <v>NeXT Computer Inc</v>
      </c>
      <c r="K58" s="6" t="str">
        <v>NeXT Computer Inc</v>
      </c>
      <c r="L58" s="7">
        <f>=DATE(1996,12,20)</f>
        <v>35418.99949074074</v>
      </c>
      <c r="M58" s="7">
        <f>=DATE(1997,2,7)</f>
        <v>35467.99949074074</v>
      </c>
      <c r="N58" s="8">
        <v>404</v>
      </c>
      <c r="O58" s="8">
        <v>404</v>
      </c>
      <c r="W58" s="6" t="str">
        <v>Printers;Other Peripherals;Disk Drives;Monitors/Terminals;Other Software (inq. Games);Portable Computers;Mainframes &amp; Super Computers;Micro-Computers (PCs)</v>
      </c>
      <c r="X58" s="6" t="str">
        <v>Programming Services</v>
      </c>
      <c r="Y58" s="6" t="str">
        <v>Programming Services</v>
      </c>
      <c r="Z58" s="6" t="str">
        <v>Programming Services</v>
      </c>
      <c r="AA58" s="6" t="str">
        <v>Other Peripherals;Other Software (inq. Games);Monitors/Terminals;Printers;Portable Computers;Disk Drives;Micro-Computers (PCs);Mainframes &amp; Super Computers</v>
      </c>
      <c r="AB58" s="6" t="str">
        <v>Other Software (inq. Games);Mainframes &amp; Super Computers;Monitors/Terminals;Other Peripherals;Printers;Portable Computers;Disk Drives;Micro-Computers (PCs)</v>
      </c>
      <c r="AC58" s="8">
        <v>404</v>
      </c>
      <c r="AD58" s="7">
        <f>=DATE(1996,12,20)</f>
        <v>35418.99949074074</v>
      </c>
      <c r="AF58" s="8" t="str">
        <v>404.00</v>
      </c>
      <c r="AG58" s="8" t="str">
        <v>404.00</v>
      </c>
      <c r="AH58" s="6" t="str">
        <v>False</v>
      </c>
      <c r="AI58" s="6" t="str">
        <v>1997</v>
      </c>
      <c r="AJ58" s="6" t="str">
        <v>Completed</v>
      </c>
      <c r="AM58" s="6" t="str">
        <v>Not Applicable</v>
      </c>
      <c r="AO58" s="6" t="str">
        <v>Apple Computer (AC) acquired the entire share capital of NeXT Software, including a 20% stake held by Canon, for approximately $404 mil. The consideration consisted of $325 mil in cash, 1.5 mil AC common shares valued at $24 mil, 1.8 mil warrants and the assumption of approximately $55 mil in liabilities. The shares were valued base on AC's closing stock price of $16 per share on February 6, the last full trading day prior to announcement. The transaction had been subject to regulatory approval.</v>
      </c>
    </row>
    <row r="59">
      <c r="A59" s="6" t="str">
        <v>594918</v>
      </c>
      <c r="B59" s="6" t="str">
        <v>United States</v>
      </c>
      <c r="C59" s="6" t="str">
        <v>Microsoft Corp</v>
      </c>
      <c r="D59" s="6" t="str">
        <v>Microsoft Corp</v>
      </c>
      <c r="F59" s="6" t="str">
        <v>United States</v>
      </c>
      <c r="G59" s="6" t="str">
        <v>Digital Anvil</v>
      </c>
      <c r="H59" s="6" t="str">
        <v>Prepackaged Software</v>
      </c>
      <c r="I59" s="6" t="str">
        <v>25382K</v>
      </c>
      <c r="J59" s="6" t="str">
        <v>Digital Anvil</v>
      </c>
      <c r="K59" s="6" t="str">
        <v>Digital Anvil</v>
      </c>
      <c r="L59" s="7">
        <f>=DATE(1997,2,18)</f>
        <v>35478.99949074074</v>
      </c>
      <c r="M59" s="7">
        <f>=DATE(1997,2,18)</f>
        <v>35478.99949074074</v>
      </c>
      <c r="W59" s="6" t="str">
        <v>Computer Consulting Services;Applications Software(Business;Monitors/Terminals;Internet Services &amp; Software;Operating Systems;Other Peripherals</v>
      </c>
      <c r="X59" s="6" t="str">
        <v>Other Software (inq. Games)</v>
      </c>
      <c r="Y59" s="6" t="str">
        <v>Other Software (inq. Games)</v>
      </c>
      <c r="Z59" s="6" t="str">
        <v>Other Software (inq. Games)</v>
      </c>
      <c r="AA59" s="6" t="str">
        <v>Internet Services &amp; Software;Computer Consulting Services;Operating Systems;Monitors/Terminals;Other Peripherals;Applications Software(Business</v>
      </c>
      <c r="AB59" s="6" t="str">
        <v>Applications Software(Business;Operating Systems;Monitors/Terminals;Internet Services &amp; Software;Other Peripherals;Computer Consulting Services</v>
      </c>
      <c r="AH59" s="6" t="str">
        <v>True</v>
      </c>
      <c r="AI59" s="6" t="str">
        <v>1997</v>
      </c>
      <c r="AJ59" s="6" t="str">
        <v>Completed</v>
      </c>
      <c r="AM59" s="6" t="str">
        <v>Not Applicable</v>
      </c>
      <c r="AO59" s="6" t="str">
        <v>Microsoft acquired a minority stake in Digital Anvil. Terms were not disclosed.</v>
      </c>
    </row>
    <row r="60">
      <c r="A60" s="6" t="str">
        <v>927914</v>
      </c>
      <c r="B60" s="6" t="str">
        <v>United States</v>
      </c>
      <c r="C60" s="6" t="str">
        <v>Visio Corp</v>
      </c>
      <c r="D60" s="6" t="str">
        <v>Visio Corp</v>
      </c>
      <c r="F60" s="6" t="str">
        <v>United States</v>
      </c>
      <c r="G60" s="6" t="str">
        <v>Boomerang Technology Inc- Certain Assets</v>
      </c>
      <c r="H60" s="6" t="str">
        <v>Business Services</v>
      </c>
      <c r="I60" s="6" t="str">
        <v>09858K</v>
      </c>
      <c r="J60" s="6" t="str">
        <v>Boomerang Technology Inc</v>
      </c>
      <c r="K60" s="6" t="str">
        <v>Boomerang Technology Inc</v>
      </c>
      <c r="L60" s="7">
        <f>=DATE(1997,2,27)</f>
        <v>35487.99949074074</v>
      </c>
      <c r="M60" s="7">
        <f>=DATE(1997,2,27)</f>
        <v>35487.99949074074</v>
      </c>
      <c r="N60" s="8">
        <v>6.7</v>
      </c>
      <c r="O60" s="8">
        <v>6.7</v>
      </c>
      <c r="W60" s="6" t="str">
        <v>Applications Software(Business</v>
      </c>
      <c r="X60" s="6" t="str">
        <v>Applications Software(Business;Other Software (inq. Games)</v>
      </c>
      <c r="Y60" s="6" t="str">
        <v>Applications Software(Business;Other Software (inq. Games)</v>
      </c>
      <c r="Z60" s="6" t="str">
        <v>Applications Software(Business;Other Software (inq. Games)</v>
      </c>
      <c r="AA60" s="6" t="str">
        <v>Applications Software(Business</v>
      </c>
      <c r="AB60" s="6" t="str">
        <v>Applications Software(Business</v>
      </c>
      <c r="AC60" s="8">
        <v>6.7</v>
      </c>
      <c r="AD60" s="7">
        <f>=DATE(1997,2,27)</f>
        <v>35487.99949074074</v>
      </c>
      <c r="AH60" s="6" t="str">
        <v>False</v>
      </c>
      <c r="AI60" s="6" t="str">
        <v>1997</v>
      </c>
      <c r="AJ60" s="6" t="str">
        <v>Completed</v>
      </c>
      <c r="AM60" s="6" t="str">
        <v>Divestiture</v>
      </c>
      <c r="AO60" s="6" t="str">
        <v>Visio acquired certain assets of Boomerang Technology for $6.7 mil.</v>
      </c>
    </row>
    <row r="61">
      <c r="A61" s="6" t="str">
        <v>594918</v>
      </c>
      <c r="B61" s="6" t="str">
        <v>United States</v>
      </c>
      <c r="C61" s="6" t="str">
        <v>Microsoft Corp</v>
      </c>
      <c r="D61" s="6" t="str">
        <v>Microsoft Corp</v>
      </c>
      <c r="F61" s="6" t="str">
        <v>United States</v>
      </c>
      <c r="G61" s="6" t="str">
        <v>Interse Corp</v>
      </c>
      <c r="H61" s="6" t="str">
        <v>Prepackaged Software</v>
      </c>
      <c r="I61" s="6" t="str">
        <v>46070F</v>
      </c>
      <c r="J61" s="6" t="str">
        <v>Interse Corp</v>
      </c>
      <c r="K61" s="6" t="str">
        <v>Interse Corp</v>
      </c>
      <c r="L61" s="7">
        <f>=DATE(1997,3,3)</f>
        <v>35491.99949074074</v>
      </c>
      <c r="M61" s="7">
        <f>=DATE(1997,3,3)</f>
        <v>35491.99949074074</v>
      </c>
      <c r="W61" s="6" t="str">
        <v>Monitors/Terminals;Applications Software(Business;Other Peripherals;Operating Systems;Computer Consulting Services;Internet Services &amp; Software</v>
      </c>
      <c r="X61" s="6" t="str">
        <v>Applications Software(Business</v>
      </c>
      <c r="Y61" s="6" t="str">
        <v>Applications Software(Business</v>
      </c>
      <c r="Z61" s="6" t="str">
        <v>Applications Software(Business</v>
      </c>
      <c r="AA61" s="6" t="str">
        <v>Other Peripherals;Internet Services &amp; Software;Computer Consulting Services;Monitors/Terminals;Applications Software(Business;Operating Systems</v>
      </c>
      <c r="AB61" s="6" t="str">
        <v>Monitors/Terminals;Internet Services &amp; Software;Computer Consulting Services;Other Peripherals;Operating Systems;Applications Software(Business</v>
      </c>
      <c r="AH61" s="6" t="str">
        <v>False</v>
      </c>
      <c r="AI61" s="6" t="str">
        <v>1997</v>
      </c>
      <c r="AJ61" s="6" t="str">
        <v>Completed</v>
      </c>
      <c r="AM61" s="6" t="str">
        <v>Not Applicable</v>
      </c>
      <c r="AO61" s="6" t="str">
        <v>Microsoft acquired Interse. Terms were not disclosed.</v>
      </c>
    </row>
    <row r="62">
      <c r="A62" s="6" t="str">
        <v>68628K</v>
      </c>
      <c r="B62" s="6" t="str">
        <v>United States</v>
      </c>
      <c r="C62" s="6" t="str">
        <v>Orion Network Systems Inc (Loring Space &amp; Communications Ltd)</v>
      </c>
      <c r="D62" s="6" t="str">
        <v>Loral Space &amp; Communications Ltd</v>
      </c>
      <c r="F62" s="6" t="str">
        <v>Germany</v>
      </c>
      <c r="G62" s="6" t="str">
        <v>Teleport Europe</v>
      </c>
      <c r="H62" s="6" t="str">
        <v>Radio and Television Broadcasting Stations</v>
      </c>
      <c r="I62" s="6" t="str">
        <v>87947V</v>
      </c>
      <c r="J62" s="6" t="str">
        <v>Teleport Europe</v>
      </c>
      <c r="K62" s="6" t="str">
        <v>Teleport Europe</v>
      </c>
      <c r="L62" s="7">
        <f>=DATE(1997,3,26)</f>
        <v>35514.99949074074</v>
      </c>
      <c r="M62" s="7">
        <f>=DATE(1998,4,1)</f>
        <v>35885.99949074074</v>
      </c>
      <c r="N62" s="8">
        <v>9.00527282421944</v>
      </c>
      <c r="O62" s="8">
        <v>9.00527282421944</v>
      </c>
      <c r="W62" s="6" t="str">
        <v>Internet Services &amp; Software;Communication/Network Software;Other Telecommunications Equip;Satellite Communications</v>
      </c>
      <c r="X62" s="6" t="str">
        <v>Satellite Communications</v>
      </c>
      <c r="Y62" s="6" t="str">
        <v>Satellite Communications</v>
      </c>
      <c r="Z62" s="6" t="str">
        <v>Satellite Communications</v>
      </c>
      <c r="AA62" s="6" t="str">
        <v>Telecommunications Equipment;Satellite Communications</v>
      </c>
      <c r="AB62" s="6" t="str">
        <v>Telecommunications Equipment;Satellite Communications</v>
      </c>
      <c r="AC62" s="8">
        <v>9.00527282421944</v>
      </c>
      <c r="AD62" s="7">
        <f>=DATE(1997,3,26)</f>
        <v>35514.99949074074</v>
      </c>
      <c r="AH62" s="6" t="str">
        <v>False</v>
      </c>
      <c r="AI62" s="6" t="str">
        <v>1998</v>
      </c>
      <c r="AJ62" s="6" t="str">
        <v>Completed</v>
      </c>
      <c r="AM62" s="6" t="str">
        <v>Not Applicable</v>
      </c>
      <c r="AO62" s="6" t="str">
        <v>Orion Network Systems acquired Teleport Europe for 15.2 mil Deutsche marks ($9 mil US).</v>
      </c>
    </row>
    <row r="63">
      <c r="A63" s="6" t="str">
        <v>127646</v>
      </c>
      <c r="B63" s="6" t="str">
        <v>United States</v>
      </c>
      <c r="C63" s="6" t="str">
        <v>Caere Corp</v>
      </c>
      <c r="D63" s="6" t="str">
        <v>Caere Corp</v>
      </c>
      <c r="F63" s="6" t="str">
        <v>United States</v>
      </c>
      <c r="G63" s="6" t="str">
        <v>Forminix Inc</v>
      </c>
      <c r="H63" s="6" t="str">
        <v>Prepackaged Software</v>
      </c>
      <c r="I63" s="6" t="str">
        <v>34639Y</v>
      </c>
      <c r="J63" s="6" t="str">
        <v>Forminix Inc</v>
      </c>
      <c r="K63" s="6" t="str">
        <v>Forminix Inc</v>
      </c>
      <c r="L63" s="7">
        <f>=DATE(1997,3,31)</f>
        <v>35519.99949074074</v>
      </c>
      <c r="M63" s="7">
        <f>=DATE(1997,3,31)</f>
        <v>35519.99949074074</v>
      </c>
      <c r="N63" s="8">
        <v>4.5</v>
      </c>
      <c r="O63" s="8">
        <v>4.5</v>
      </c>
      <c r="W63" s="6" t="str">
        <v>Applications Software(Business;Data Processing Services</v>
      </c>
      <c r="X63" s="6" t="str">
        <v>Applications Software(Business</v>
      </c>
      <c r="Y63" s="6" t="str">
        <v>Applications Software(Business</v>
      </c>
      <c r="Z63" s="6" t="str">
        <v>Applications Software(Business</v>
      </c>
      <c r="AA63" s="6" t="str">
        <v>Data Processing Services;Applications Software(Business</v>
      </c>
      <c r="AB63" s="6" t="str">
        <v>Applications Software(Business;Data Processing Services</v>
      </c>
      <c r="AC63" s="8">
        <v>4.5</v>
      </c>
      <c r="AD63" s="7">
        <f>=DATE(1997,3,31)</f>
        <v>35519.99949074074</v>
      </c>
      <c r="AH63" s="6" t="str">
        <v>False</v>
      </c>
      <c r="AI63" s="6" t="str">
        <v>1997</v>
      </c>
      <c r="AJ63" s="6" t="str">
        <v>Completed</v>
      </c>
      <c r="AM63" s="6" t="str">
        <v>Not Applicable</v>
      </c>
      <c r="AO63" s="6" t="str">
        <v>Caere Corp acquired Formonix Inc for $4.5 mil.</v>
      </c>
    </row>
    <row r="64">
      <c r="A64" s="6" t="str">
        <v>594918</v>
      </c>
      <c r="B64" s="6" t="str">
        <v>United States</v>
      </c>
      <c r="C64" s="6" t="str">
        <v>Microsoft Corp</v>
      </c>
      <c r="D64" s="6" t="str">
        <v>Microsoft Corp</v>
      </c>
      <c r="E64" s="6" t="str">
        <v>Microsoft Corp</v>
      </c>
      <c r="F64" s="6" t="str">
        <v>United States</v>
      </c>
      <c r="G64" s="6" t="str">
        <v>WebTV Networks Inc</v>
      </c>
      <c r="H64" s="6" t="str">
        <v>Business Services</v>
      </c>
      <c r="I64" s="6" t="str">
        <v>94733N</v>
      </c>
      <c r="J64" s="6" t="str">
        <v>WebTV Networks Inc</v>
      </c>
      <c r="K64" s="6" t="str">
        <v>WebTV Networks Inc</v>
      </c>
      <c r="L64" s="7">
        <f>=DATE(1997,4,7)</f>
        <v>35526.99949074074</v>
      </c>
      <c r="M64" s="7">
        <f>=DATE(1997,4,30)</f>
        <v>35549.99949074074</v>
      </c>
      <c r="N64" s="8">
        <v>425</v>
      </c>
      <c r="O64" s="8">
        <v>425</v>
      </c>
      <c r="W64" s="6" t="str">
        <v>Monitors/Terminals;Other Peripherals;Operating Systems;Computer Consulting Services;Applications Software(Business;Internet Services &amp; Software</v>
      </c>
      <c r="X64" s="6" t="str">
        <v>Internet Services &amp; Software;Communication/Network Software</v>
      </c>
      <c r="Y64" s="6" t="str">
        <v>Internet Services &amp; Software;Communication/Network Software</v>
      </c>
      <c r="Z64" s="6" t="str">
        <v>Internet Services &amp; Software;Communication/Network Software</v>
      </c>
      <c r="AA64" s="6" t="str">
        <v>Applications Software(Business;Monitors/Terminals;Other Peripherals;Operating Systems;Computer Consulting Services;Internet Services &amp; Software</v>
      </c>
      <c r="AB64" s="6" t="str">
        <v>Internet Services &amp; Software;Applications Software(Business;Monitors/Terminals;Operating Systems;Other Peripherals;Computer Consulting Services</v>
      </c>
      <c r="AC64" s="8">
        <v>425</v>
      </c>
      <c r="AD64" s="7">
        <f>=DATE(1997,4,7)</f>
        <v>35526.99949074074</v>
      </c>
      <c r="AH64" s="6" t="str">
        <v>False</v>
      </c>
      <c r="AI64" s="6" t="str">
        <v>1997</v>
      </c>
      <c r="AJ64" s="6" t="str">
        <v>Completed</v>
      </c>
      <c r="AM64" s="6" t="str">
        <v>Not Applicable</v>
      </c>
      <c r="AO64" s="6" t="str">
        <v>Microsoft (MS) acquired the remaining majority interest, which it did not already own, in WebTV Networks for approximately $425 mil in a combination of cash and MS common shares. The transaction had been subject to regulatory approval under the Hart-Scott-Rodino Antitrust Act. Previously, MS acquired an undisclosed minority stake in WebTV.</v>
      </c>
    </row>
    <row r="65">
      <c r="A65" s="6" t="str">
        <v>83434X</v>
      </c>
      <c r="B65" s="6" t="str">
        <v>United States</v>
      </c>
      <c r="C65" s="6" t="str">
        <v>Solomon Software</v>
      </c>
      <c r="D65" s="6" t="str">
        <v>Solomon Software</v>
      </c>
      <c r="F65" s="6" t="str">
        <v>United States</v>
      </c>
      <c r="G65" s="6" t="str">
        <v>Smith Dennis &amp; Gaylord Inc</v>
      </c>
      <c r="H65" s="6" t="str">
        <v>Prepackaged Software</v>
      </c>
      <c r="I65" s="6" t="str">
        <v>83204X</v>
      </c>
      <c r="J65" s="6" t="str">
        <v>Smith Dennis &amp; Gaylord Inc</v>
      </c>
      <c r="K65" s="6" t="str">
        <v>Smith Dennis &amp; Gaylord Inc</v>
      </c>
      <c r="L65" s="7">
        <f>=DATE(1997,4,25)</f>
        <v>35544.99949074074</v>
      </c>
      <c r="M65" s="7">
        <f>=DATE(1997,5,20)</f>
        <v>35569.99949074074</v>
      </c>
      <c r="W65" s="6" t="str">
        <v>Applications Software(Business</v>
      </c>
      <c r="X65" s="6" t="str">
        <v>Other Software (inq. Games);Applications Software(Business</v>
      </c>
      <c r="Y65" s="6" t="str">
        <v>Other Software (inq. Games);Applications Software(Business</v>
      </c>
      <c r="Z65" s="6" t="str">
        <v>Other Software (inq. Games);Applications Software(Business</v>
      </c>
      <c r="AA65" s="6" t="str">
        <v>Applications Software(Business</v>
      </c>
      <c r="AB65" s="6" t="str">
        <v>Applications Software(Business</v>
      </c>
      <c r="AH65" s="6" t="str">
        <v>False</v>
      </c>
      <c r="AI65" s="6" t="str">
        <v>1997</v>
      </c>
      <c r="AJ65" s="6" t="str">
        <v>Completed</v>
      </c>
      <c r="AM65" s="6" t="str">
        <v>Not Applicable</v>
      </c>
      <c r="AO65" s="6" t="str">
        <v>Solomon Software acquired Smith Dennis &amp; Gaylord. Terms were not disclosed.</v>
      </c>
    </row>
    <row r="66">
      <c r="A66" s="6" t="str">
        <v>127646</v>
      </c>
      <c r="B66" s="6" t="str">
        <v>United States</v>
      </c>
      <c r="C66" s="6" t="str">
        <v>Caere Corp</v>
      </c>
      <c r="D66" s="6" t="str">
        <v>Caere Corp</v>
      </c>
      <c r="F66" s="6" t="str">
        <v>United States</v>
      </c>
      <c r="G66" s="6" t="str">
        <v>Caere Corp</v>
      </c>
      <c r="H66" s="6" t="str">
        <v>Prepackaged Software</v>
      </c>
      <c r="I66" s="6" t="str">
        <v>127646</v>
      </c>
      <c r="J66" s="6" t="str">
        <v>Caere Corp</v>
      </c>
      <c r="K66" s="6" t="str">
        <v>Caere Corp</v>
      </c>
      <c r="L66" s="7">
        <f>=DATE(1997,4,30)</f>
        <v>35549.99949074074</v>
      </c>
      <c r="N66" s="8">
        <v>6.75</v>
      </c>
      <c r="O66" s="8">
        <v>6.75</v>
      </c>
      <c r="P66" s="8" t="str">
        <v>40.97</v>
      </c>
      <c r="R66" s="8">
        <v>0.396</v>
      </c>
      <c r="S66" s="8">
        <v>54.528</v>
      </c>
      <c r="T66" s="8">
        <v>-6.972</v>
      </c>
      <c r="U66" s="8">
        <v>2.344</v>
      </c>
      <c r="V66" s="8">
        <v>5.627</v>
      </c>
      <c r="W66" s="6" t="str">
        <v>Applications Software(Business;Data Processing Services</v>
      </c>
      <c r="X66" s="6" t="str">
        <v>Data Processing Services;Applications Software(Business</v>
      </c>
      <c r="Y66" s="6" t="str">
        <v>Data Processing Services;Applications Software(Business</v>
      </c>
      <c r="Z66" s="6" t="str">
        <v>Data Processing Services;Applications Software(Business</v>
      </c>
      <c r="AA66" s="6" t="str">
        <v>Data Processing Services;Applications Software(Business</v>
      </c>
      <c r="AB66" s="6" t="str">
        <v>Applications Software(Business;Data Processing Services</v>
      </c>
      <c r="AC66" s="8">
        <v>6.75</v>
      </c>
      <c r="AD66" s="7">
        <f>=DATE(1997,4,30)</f>
        <v>35549.99949074074</v>
      </c>
      <c r="AE66" s="8">
        <v>89.1</v>
      </c>
      <c r="AF66" s="8" t="str">
        <v>44.81</v>
      </c>
      <c r="AH66" s="6" t="str">
        <v>True</v>
      </c>
      <c r="AJ66" s="6" t="str">
        <v>Intended</v>
      </c>
      <c r="AK66" s="8">
        <v>89.1</v>
      </c>
      <c r="AL66" s="8">
        <v>1</v>
      </c>
      <c r="AM66" s="6" t="str">
        <v>Open Market Purchase;Repurchase;Privately Negotiated Purchase</v>
      </c>
      <c r="AO66" s="6" t="str">
        <v>In April 1997, Caere's board authorized the repurchase of up to 1 mil common shares, or about 7.58% of the company's common stock outstanding, in open market or privately negotiated transctions. Based on Caere's closing stock price of $6.75 on Apr 29, the last full trading day prior to the announcement of the board's approval, the buyback had an indicated value of up to $6.75 mil.</v>
      </c>
    </row>
    <row r="67">
      <c r="A67" s="6" t="str">
        <v>927914</v>
      </c>
      <c r="B67" s="6" t="str">
        <v>United States</v>
      </c>
      <c r="C67" s="6" t="str">
        <v>Visio Corp</v>
      </c>
      <c r="D67" s="6" t="str">
        <v>Visio Corp</v>
      </c>
      <c r="F67" s="6" t="str">
        <v>United States</v>
      </c>
      <c r="G67" s="6" t="str">
        <v>SysDraw Software Co-Certain Assets</v>
      </c>
      <c r="H67" s="6" t="str">
        <v>Prepackaged Software</v>
      </c>
      <c r="I67" s="6" t="str">
        <v>87193H</v>
      </c>
      <c r="J67" s="6" t="str">
        <v>SysDraw Software Co</v>
      </c>
      <c r="K67" s="6" t="str">
        <v>SysDraw Software Co</v>
      </c>
      <c r="L67" s="7">
        <f>=DATE(1997,5,1)</f>
        <v>35550.99949074074</v>
      </c>
      <c r="M67" s="7">
        <f>=DATE(1997,5,1)</f>
        <v>35550.99949074074</v>
      </c>
      <c r="N67" s="8">
        <v>6.5</v>
      </c>
      <c r="O67" s="8">
        <v>6.5</v>
      </c>
      <c r="W67" s="6" t="str">
        <v>Applications Software(Business</v>
      </c>
      <c r="X67" s="6" t="str">
        <v>Communication/Network Software</v>
      </c>
      <c r="Y67" s="6" t="str">
        <v>Communication/Network Software</v>
      </c>
      <c r="Z67" s="6" t="str">
        <v>Communication/Network Software</v>
      </c>
      <c r="AA67" s="6" t="str">
        <v>Applications Software(Business</v>
      </c>
      <c r="AB67" s="6" t="str">
        <v>Applications Software(Business</v>
      </c>
      <c r="AC67" s="8">
        <v>6.5</v>
      </c>
      <c r="AD67" s="7">
        <f>=DATE(1997,5,1)</f>
        <v>35550.99949074074</v>
      </c>
      <c r="AH67" s="6" t="str">
        <v>False</v>
      </c>
      <c r="AI67" s="6" t="str">
        <v>1997</v>
      </c>
      <c r="AJ67" s="6" t="str">
        <v>Completed</v>
      </c>
      <c r="AM67" s="6" t="str">
        <v>Divestiture</v>
      </c>
      <c r="AO67" s="6" t="str">
        <v>Visio acquired certain assets of SysDraw Software for $6.5 mil and an undisclosed amount in profit-related payments.</v>
      </c>
    </row>
    <row r="68">
      <c r="A68" s="6" t="str">
        <v>594918</v>
      </c>
      <c r="B68" s="6" t="str">
        <v>United States</v>
      </c>
      <c r="C68" s="6" t="str">
        <v>Microsoft Corp</v>
      </c>
      <c r="D68" s="6" t="str">
        <v>Microsoft Corp</v>
      </c>
      <c r="F68" s="6" t="str">
        <v>United States</v>
      </c>
      <c r="G68" s="6" t="str">
        <v>Dimension X Inc</v>
      </c>
      <c r="H68" s="6" t="str">
        <v>Prepackaged Software</v>
      </c>
      <c r="I68" s="6" t="str">
        <v>25433J</v>
      </c>
      <c r="J68" s="6" t="str">
        <v>Dimension X Inc</v>
      </c>
      <c r="K68" s="6" t="str">
        <v>Dimension X Inc</v>
      </c>
      <c r="L68" s="7">
        <f>=DATE(1997,5,7)</f>
        <v>35556.99949074074</v>
      </c>
      <c r="M68" s="7">
        <f>=DATE(1997,5,7)</f>
        <v>35556.99949074074</v>
      </c>
      <c r="W68" s="6" t="str">
        <v>Internet Services &amp; Software;Applications Software(Business;Computer Consulting Services;Operating Systems;Monitors/Terminals;Other Peripherals</v>
      </c>
      <c r="X68" s="6" t="str">
        <v>Other Software (inq. Games)</v>
      </c>
      <c r="Y68" s="6" t="str">
        <v>Other Software (inq. Games)</v>
      </c>
      <c r="Z68" s="6" t="str">
        <v>Other Software (inq. Games)</v>
      </c>
      <c r="AA68" s="6" t="str">
        <v>Internet Services &amp; Software;Applications Software(Business;Computer Consulting Services;Monitors/Terminals;Operating Systems;Other Peripherals</v>
      </c>
      <c r="AB68" s="6" t="str">
        <v>Applications Software(Business;Monitors/Terminals;Other Peripherals;Operating Systems;Internet Services &amp; Software;Computer Consulting Services</v>
      </c>
      <c r="AH68" s="6" t="str">
        <v>False</v>
      </c>
      <c r="AI68" s="6" t="str">
        <v>1997</v>
      </c>
      <c r="AJ68" s="6" t="str">
        <v>Completed</v>
      </c>
      <c r="AM68" s="6" t="str">
        <v>Not Applicable</v>
      </c>
      <c r="AO68" s="6" t="str">
        <v>Microsoft acquired Dimension X. Terms were not disclosed.</v>
      </c>
    </row>
    <row r="69">
      <c r="A69" s="6" t="str">
        <v>594918</v>
      </c>
      <c r="B69" s="6" t="str">
        <v>United States</v>
      </c>
      <c r="C69" s="6" t="str">
        <v>Microsoft Corp</v>
      </c>
      <c r="D69" s="6" t="str">
        <v>Microsoft Corp</v>
      </c>
      <c r="F69" s="6" t="str">
        <v>United States</v>
      </c>
      <c r="G69" s="6" t="str">
        <v>Comcast Corp</v>
      </c>
      <c r="H69" s="6" t="str">
        <v>Radio and Television Broadcasting Stations</v>
      </c>
      <c r="I69" s="6" t="str">
        <v>200300</v>
      </c>
      <c r="J69" s="6" t="str">
        <v>Comcast Corp</v>
      </c>
      <c r="K69" s="6" t="str">
        <v>Comcast Corp</v>
      </c>
      <c r="L69" s="7">
        <f>=DATE(1997,6,9)</f>
        <v>35589.99949074074</v>
      </c>
      <c r="M69" s="7">
        <f>=DATE(1997,6,30)</f>
        <v>35610.99949074074</v>
      </c>
      <c r="N69" s="8">
        <v>1000</v>
      </c>
      <c r="O69" s="8">
        <v>1000</v>
      </c>
      <c r="P69" s="8" t="str">
        <v>27,169.78</v>
      </c>
      <c r="R69" s="8">
        <v>-52.5</v>
      </c>
      <c r="S69" s="8">
        <v>4038.4</v>
      </c>
      <c r="T69" s="8">
        <v>-81.2</v>
      </c>
      <c r="U69" s="8">
        <v>-926.2</v>
      </c>
      <c r="V69" s="8">
        <v>799.6</v>
      </c>
      <c r="W69" s="6" t="str">
        <v>Operating Systems;Other Peripherals;Monitors/Terminals;Internet Services &amp; Software;Computer Consulting Services;Applications Software(Business</v>
      </c>
      <c r="X69" s="6" t="str">
        <v>Cellular Communications</v>
      </c>
      <c r="Y69" s="6" t="str">
        <v>Cellular Communications</v>
      </c>
      <c r="Z69" s="6" t="str">
        <v>Cellular Communications</v>
      </c>
      <c r="AA69" s="6" t="str">
        <v>Other Peripherals;Monitors/Terminals;Computer Consulting Services;Operating Systems;Internet Services &amp; Software;Applications Software(Business</v>
      </c>
      <c r="AB69" s="6" t="str">
        <v>Internet Services &amp; Software;Computer Consulting Services;Other Peripherals;Operating Systems;Monitors/Terminals;Applications Software(Business</v>
      </c>
      <c r="AC69" s="8">
        <v>1000</v>
      </c>
      <c r="AD69" s="7">
        <f>=DATE(1997,6,9)</f>
        <v>35589.99949074074</v>
      </c>
      <c r="AE69" s="8">
        <v>7823.81923185</v>
      </c>
      <c r="AF69" s="8" t="str">
        <v>13,930.83</v>
      </c>
      <c r="AG69" s="8" t="str">
        <v>27,169.78</v>
      </c>
      <c r="AH69" s="6" t="str">
        <v>True</v>
      </c>
      <c r="AI69" s="6" t="str">
        <v>1997</v>
      </c>
      <c r="AJ69" s="6" t="str">
        <v>Completed</v>
      </c>
      <c r="AK69" s="8">
        <v>7823.81923185</v>
      </c>
      <c r="AL69" s="8">
        <v>45.886372</v>
      </c>
      <c r="AM69" s="6" t="str">
        <v>Rumored Deal;Privately Negotiated Purchase</v>
      </c>
      <c r="AO69" s="6" t="str">
        <v>Microsoft acquired an 11.5% stake in Comcast by purchasing 24,642,681 Class A special common shares at $20.29 per share and Series B preferred shares convertible into 21,243,691 common shares at $23.54 per preferred share, for a total value of $1 bil, in a privately negotiated transaction.</v>
      </c>
    </row>
    <row r="70">
      <c r="A70" s="6" t="str">
        <v>594918</v>
      </c>
      <c r="B70" s="6" t="str">
        <v>United States</v>
      </c>
      <c r="C70" s="6" t="str">
        <v>Microsoft Corp</v>
      </c>
      <c r="D70" s="6" t="str">
        <v>Microsoft Corp</v>
      </c>
      <c r="F70" s="6" t="str">
        <v>United States</v>
      </c>
      <c r="G70" s="6" t="str">
        <v>Cooper &amp; Peters Inc</v>
      </c>
      <c r="H70" s="6" t="str">
        <v>Business Services</v>
      </c>
      <c r="I70" s="6" t="str">
        <v>21665Z</v>
      </c>
      <c r="J70" s="6" t="str">
        <v>Cooper &amp; Peters Inc</v>
      </c>
      <c r="K70" s="6" t="str">
        <v>Cooper &amp; Peters Inc</v>
      </c>
      <c r="L70" s="7">
        <f>=DATE(1997,6,13)</f>
        <v>35593.99949074074</v>
      </c>
      <c r="M70" s="7">
        <f>=DATE(1997,6,13)</f>
        <v>35593.99949074074</v>
      </c>
      <c r="W70" s="6" t="str">
        <v>Monitors/Terminals;Other Peripherals;Internet Services &amp; Software;Computer Consulting Services;Operating Systems;Applications Software(Business</v>
      </c>
      <c r="X70" s="6" t="str">
        <v>Applications Software(Business;Programming Services</v>
      </c>
      <c r="Y70" s="6" t="str">
        <v>Applications Software(Business;Programming Services</v>
      </c>
      <c r="Z70" s="6" t="str">
        <v>Applications Software(Business;Programming Services</v>
      </c>
      <c r="AA70" s="6" t="str">
        <v>Internet Services &amp; Software;Operating Systems;Computer Consulting Services;Monitors/Terminals;Other Peripherals;Applications Software(Business</v>
      </c>
      <c r="AB70" s="6" t="str">
        <v>Internet Services &amp; Software;Operating Systems;Monitors/Terminals;Applications Software(Business;Computer Consulting Services;Other Peripherals</v>
      </c>
      <c r="AH70" s="6" t="str">
        <v>True</v>
      </c>
      <c r="AI70" s="6" t="str">
        <v>1997</v>
      </c>
      <c r="AJ70" s="6" t="str">
        <v>Completed</v>
      </c>
      <c r="AM70" s="6" t="str">
        <v>Not Applicable</v>
      </c>
      <c r="AO70" s="6" t="str">
        <v>Microsoft acquired Cooper &amp; Peters. Terms were not disclosed.</v>
      </c>
    </row>
    <row r="71">
      <c r="A71" s="6" t="str">
        <v>594918</v>
      </c>
      <c r="B71" s="6" t="str">
        <v>United States</v>
      </c>
      <c r="C71" s="6" t="str">
        <v>Microsoft Corp</v>
      </c>
      <c r="D71" s="6" t="str">
        <v>Microsoft Corp</v>
      </c>
      <c r="F71" s="6" t="str">
        <v>Canada</v>
      </c>
      <c r="G71" s="6" t="str">
        <v>LinkAge Software Inc</v>
      </c>
      <c r="H71" s="6" t="str">
        <v>Prepackaged Software</v>
      </c>
      <c r="I71" s="6" t="str">
        <v>53591L</v>
      </c>
      <c r="J71" s="6" t="str">
        <v>LinkAge Software Inc</v>
      </c>
      <c r="K71" s="6" t="str">
        <v>LinkAge Software Inc</v>
      </c>
      <c r="L71" s="7">
        <f>=DATE(1997,6,30)</f>
        <v>35610.99949074074</v>
      </c>
      <c r="M71" s="7">
        <f>=DATE(1997,6,30)</f>
        <v>35610.99949074074</v>
      </c>
      <c r="W71" s="6" t="str">
        <v>Monitors/Terminals;Operating Systems;Computer Consulting Services;Internet Services &amp; Software;Applications Software(Business;Other Peripherals</v>
      </c>
      <c r="X71" s="6" t="str">
        <v>Internet Services &amp; Software;Communication/Network Software</v>
      </c>
      <c r="Y71" s="6" t="str">
        <v>Communication/Network Software;Internet Services &amp; Software</v>
      </c>
      <c r="Z71" s="6" t="str">
        <v>Communication/Network Software;Internet Services &amp; Software</v>
      </c>
      <c r="AA71" s="6" t="str">
        <v>Operating Systems;Other Peripherals;Applications Software(Business;Computer Consulting Services;Internet Services &amp; Software;Monitors/Terminals</v>
      </c>
      <c r="AB71" s="6" t="str">
        <v>Internet Services &amp; Software;Computer Consulting Services;Other Peripherals;Applications Software(Business;Monitors/Terminals;Operating Systems</v>
      </c>
      <c r="AH71" s="6" t="str">
        <v>False</v>
      </c>
      <c r="AI71" s="6" t="str">
        <v>1997</v>
      </c>
      <c r="AJ71" s="6" t="str">
        <v>Completed</v>
      </c>
      <c r="AM71" s="6" t="str">
        <v>Not Applicable</v>
      </c>
      <c r="AO71" s="6" t="str">
        <v>Microsoft acquired LinkAge Software. Terms were not disclosed.</v>
      </c>
    </row>
    <row r="72">
      <c r="A72" s="6" t="str">
        <v>594918</v>
      </c>
      <c r="B72" s="6" t="str">
        <v>United States</v>
      </c>
      <c r="C72" s="6" t="str">
        <v>Microsoft Corp</v>
      </c>
      <c r="D72" s="6" t="str">
        <v>Microsoft Corp</v>
      </c>
      <c r="F72" s="6" t="str">
        <v>United States</v>
      </c>
      <c r="G72" s="6" t="str">
        <v>Navitel Communications Inc</v>
      </c>
      <c r="H72" s="6" t="str">
        <v>Business Services</v>
      </c>
      <c r="I72" s="6" t="str">
        <v>63936X</v>
      </c>
      <c r="J72" s="6" t="str">
        <v>Navitel Communications Inc</v>
      </c>
      <c r="K72" s="6" t="str">
        <v>Navitel Communications Inc</v>
      </c>
      <c r="L72" s="7">
        <f>=DATE(1997,7,29)</f>
        <v>35639.99949074074</v>
      </c>
      <c r="W72" s="6" t="str">
        <v>Operating Systems;Applications Software(Business;Internet Services &amp; Software;Other Peripherals;Monitors/Terminals;Computer Consulting Services</v>
      </c>
      <c r="X72" s="6" t="str">
        <v>Applications Software(Business;Utilities/File Mgmt Software;Operating Systems;Communication/Network Software</v>
      </c>
      <c r="Y72" s="6" t="str">
        <v>Communication/Network Software;Utilities/File Mgmt Software;Operating Systems;Applications Software(Business</v>
      </c>
      <c r="Z72" s="6" t="str">
        <v>Utilities/File Mgmt Software;Operating Systems;Applications Software(Business;Communication/Network Software</v>
      </c>
      <c r="AA72" s="6" t="str">
        <v>Computer Consulting Services;Other Peripherals;Monitors/Terminals;Internet Services &amp; Software;Operating Systems;Applications Software(Business</v>
      </c>
      <c r="AB72" s="6" t="str">
        <v>Other Peripherals;Monitors/Terminals;Applications Software(Business;Computer Consulting Services;Internet Services &amp; Software;Operating Systems</v>
      </c>
      <c r="AH72" s="6" t="str">
        <v>False</v>
      </c>
      <c r="AJ72" s="6" t="str">
        <v>Pending</v>
      </c>
      <c r="AM72" s="6" t="str">
        <v>Not Applicable</v>
      </c>
      <c r="AO72" s="6" t="str">
        <v>Microsoft agreed to acquire an undisclosed minority stake in Navitel Communications.</v>
      </c>
    </row>
    <row r="73">
      <c r="A73" s="6" t="str">
        <v>594918</v>
      </c>
      <c r="B73" s="6" t="str">
        <v>United States</v>
      </c>
      <c r="C73" s="6" t="str">
        <v>Microsoft Corp</v>
      </c>
      <c r="D73" s="6" t="str">
        <v>Microsoft Corp</v>
      </c>
      <c r="F73" s="6" t="str">
        <v>United States</v>
      </c>
      <c r="G73" s="6" t="str">
        <v>VXtreme Inc</v>
      </c>
      <c r="H73" s="6" t="str">
        <v>Prepackaged Software</v>
      </c>
      <c r="I73" s="6" t="str">
        <v>91847Z</v>
      </c>
      <c r="J73" s="6" t="str">
        <v>VXtreme Inc</v>
      </c>
      <c r="K73" s="6" t="str">
        <v>VXtreme Inc</v>
      </c>
      <c r="L73" s="7">
        <f>=DATE(1997,8,5)</f>
        <v>35646.99949074074</v>
      </c>
      <c r="M73" s="7">
        <f>=DATE(1997,8,5)</f>
        <v>35646.99949074074</v>
      </c>
      <c r="W73" s="6" t="str">
        <v>Computer Consulting Services;Internet Services &amp; Software;Monitors/Terminals;Operating Systems;Other Peripherals;Applications Software(Business</v>
      </c>
      <c r="X73" s="6" t="str">
        <v>Communication/Network Software;Internet Services &amp; Software</v>
      </c>
      <c r="Y73" s="6" t="str">
        <v>Communication/Network Software;Internet Services &amp; Software</v>
      </c>
      <c r="Z73" s="6" t="str">
        <v>Communication/Network Software;Internet Services &amp; Software</v>
      </c>
      <c r="AA73" s="6" t="str">
        <v>Monitors/Terminals;Other Peripherals;Computer Consulting Services;Operating Systems;Applications Software(Business;Internet Services &amp; Software</v>
      </c>
      <c r="AB73" s="6" t="str">
        <v>Operating Systems;Applications Software(Business;Computer Consulting Services;Internet Services &amp; Software;Monitors/Terminals;Other Peripherals</v>
      </c>
      <c r="AH73" s="6" t="str">
        <v>False</v>
      </c>
      <c r="AI73" s="6" t="str">
        <v>1997</v>
      </c>
      <c r="AJ73" s="6" t="str">
        <v>Completed</v>
      </c>
      <c r="AM73" s="6" t="str">
        <v>Not Applicable</v>
      </c>
      <c r="AO73" s="6" t="str">
        <v>Microsoft acquired VXtreme. Terms were not disclosed.</v>
      </c>
    </row>
    <row r="74">
      <c r="A74" s="6" t="str">
        <v>594918</v>
      </c>
      <c r="B74" s="6" t="str">
        <v>United States</v>
      </c>
      <c r="C74" s="6" t="str">
        <v>Microsoft Corp</v>
      </c>
      <c r="D74" s="6" t="str">
        <v>Microsoft Corp</v>
      </c>
      <c r="F74" s="6" t="str">
        <v>United States</v>
      </c>
      <c r="G74" s="6" t="str">
        <v>Apple Computer Inc</v>
      </c>
      <c r="H74" s="6" t="str">
        <v>Computer and Office Equipment</v>
      </c>
      <c r="I74" s="6" t="str">
        <v>037833</v>
      </c>
      <c r="J74" s="6" t="str">
        <v>Apple Computer Inc</v>
      </c>
      <c r="K74" s="6" t="str">
        <v>Apple Computer Inc</v>
      </c>
      <c r="L74" s="7">
        <f>=DATE(1997,8,6)</f>
        <v>35647.99949074074</v>
      </c>
      <c r="M74" s="7">
        <f>=DATE(1997,8,6)</f>
        <v>35647.99949074074</v>
      </c>
      <c r="N74" s="8">
        <v>150</v>
      </c>
      <c r="O74" s="8">
        <v>150</v>
      </c>
      <c r="R74" s="8">
        <v>-816</v>
      </c>
      <c r="S74" s="8">
        <v>9833</v>
      </c>
      <c r="T74" s="8">
        <v>396</v>
      </c>
      <c r="U74" s="8">
        <v>-119</v>
      </c>
      <c r="V74" s="8">
        <v>519</v>
      </c>
      <c r="W74" s="6" t="str">
        <v>Internet Services &amp; Software;Monitors/Terminals;Applications Software(Business;Other Peripherals;Operating Systems;Computer Consulting Services</v>
      </c>
      <c r="X74" s="6" t="str">
        <v>Mainframes &amp; Super Computers;Portable Computers;Other Software (inq. Games);Monitors/Terminals;Micro-Computers (PCs);Printers;Other Peripherals;Disk Drives</v>
      </c>
      <c r="Y74" s="6" t="str">
        <v>Other Software (inq. Games);Printers;Micro-Computers (PCs);Disk Drives;Mainframes &amp; Super Computers;Other Peripherals;Monitors/Terminals;Portable Computers</v>
      </c>
      <c r="Z74" s="6" t="str">
        <v>Other Peripherals;Micro-Computers (PCs);Portable Computers;Disk Drives;Monitors/Terminals;Other Software (inq. Games);Printers;Mainframes &amp; Super Computers</v>
      </c>
      <c r="AA74" s="6" t="str">
        <v>Operating Systems;Other Peripherals;Internet Services &amp; Software;Monitors/Terminals;Computer Consulting Services;Applications Software(Business</v>
      </c>
      <c r="AB74" s="6" t="str">
        <v>Operating Systems;Other Peripherals;Internet Services &amp; Software;Applications Software(Business;Computer Consulting Services;Monitors/Terminals</v>
      </c>
      <c r="AC74" s="8">
        <v>150</v>
      </c>
      <c r="AD74" s="7">
        <f>=DATE(1997,8,11)</f>
        <v>35652.99949074074</v>
      </c>
      <c r="AH74" s="6" t="str">
        <v>True</v>
      </c>
      <c r="AI74" s="6" t="str">
        <v>1997</v>
      </c>
      <c r="AJ74" s="6" t="str">
        <v>Completed</v>
      </c>
      <c r="AM74" s="6" t="str">
        <v>Privately Negotiated Purchase</v>
      </c>
      <c r="AO74" s="6" t="str">
        <v>Microsoft Corp acquired a 5% stake or .15 mil Series A non-voting convertible preferred shares in Apple Computer, a manufacturer of computers and peripheral equipment, for $150 mil. The acquisition was part of a broad technology development agreement, including cross-licensing agreements on existing patents and future patents for five years into the future.</v>
      </c>
    </row>
    <row r="75">
      <c r="A75" s="6" t="str">
        <v>594918</v>
      </c>
      <c r="B75" s="6" t="str">
        <v>United States</v>
      </c>
      <c r="C75" s="6" t="str">
        <v>Microsoft Corp</v>
      </c>
      <c r="D75" s="6" t="str">
        <v>Microsoft Corp</v>
      </c>
      <c r="F75" s="6" t="str">
        <v>United States</v>
      </c>
      <c r="G75" s="6" t="str">
        <v>Progressive Networks Inc</v>
      </c>
      <c r="H75" s="6" t="str">
        <v>Prepackaged Software</v>
      </c>
      <c r="I75" s="6" t="str">
        <v>74336E</v>
      </c>
      <c r="J75" s="6" t="str">
        <v>Progressive Networks Inc</v>
      </c>
      <c r="K75" s="6" t="str">
        <v>Progressive Networks Inc</v>
      </c>
      <c r="L75" s="7">
        <f>=DATE(1997,8,19)</f>
        <v>35660.99949074074</v>
      </c>
      <c r="M75" s="7">
        <f>=DATE(1997,8,19)</f>
        <v>35660.99949074074</v>
      </c>
      <c r="N75" s="8">
        <v>30</v>
      </c>
      <c r="O75" s="8">
        <v>30</v>
      </c>
      <c r="W75" s="6" t="str">
        <v>Operating Systems;Internet Services &amp; Software;Computer Consulting Services;Monitors/Terminals;Other Peripherals;Applications Software(Business</v>
      </c>
      <c r="X75" s="6" t="str">
        <v>Communication/Network Software;Applications Software(Business;Other Computer Related Svcs;Applications Software(Home);Other Computer Systems;Other Software (inq. Games);Database Software/Programming;Internet Services &amp; Software;Programming Services</v>
      </c>
      <c r="Y75" s="6" t="str">
        <v>Programming Services;Applications Software(Home);Applications Software(Business;Other Computer Related Svcs;Communication/Network Software;Other Software (inq. Games);Database Software/Programming;Internet Services &amp; Software;Other Computer Systems</v>
      </c>
      <c r="Z75" s="6" t="str">
        <v>Programming Services;Applications Software(Home);Database Software/Programming;Internet Services &amp; Software;Other Software (inq. Games);Communication/Network Software;Applications Software(Business;Other Computer Related Svcs;Other Computer Systems</v>
      </c>
      <c r="AA75" s="6" t="str">
        <v>Internet Services &amp; Software;Operating Systems;Applications Software(Business;Monitors/Terminals;Other Peripherals;Computer Consulting Services</v>
      </c>
      <c r="AB75" s="6" t="str">
        <v>Operating Systems;Internet Services &amp; Software;Other Peripherals;Monitors/Terminals;Applications Software(Business;Computer Consulting Services</v>
      </c>
      <c r="AC75" s="8">
        <v>30</v>
      </c>
      <c r="AD75" s="7">
        <f>=DATE(1997,9,28)</f>
        <v>35700.99949074074</v>
      </c>
      <c r="AF75" s="8" t="str">
        <v>300.00</v>
      </c>
      <c r="AG75" s="8" t="str">
        <v>300.00</v>
      </c>
      <c r="AH75" s="6" t="str">
        <v>False</v>
      </c>
      <c r="AI75" s="6" t="str">
        <v>1997</v>
      </c>
      <c r="AJ75" s="6" t="str">
        <v>Completed</v>
      </c>
      <c r="AM75" s="6" t="str">
        <v>Not Applicable</v>
      </c>
      <c r="AO75" s="6" t="str">
        <v>Microsoft acquired a 10% stake in Progressive Networks for $30 mil.</v>
      </c>
    </row>
    <row r="76">
      <c r="A76" s="6" t="str">
        <v>037833</v>
      </c>
      <c r="B76" s="6" t="str">
        <v>United States</v>
      </c>
      <c r="C76" s="6" t="str">
        <v>Apple Computer Inc</v>
      </c>
      <c r="D76" s="6" t="str">
        <v>Apple Computer Inc</v>
      </c>
      <c r="F76" s="6" t="str">
        <v>United States</v>
      </c>
      <c r="G76" s="6" t="str">
        <v>Power Computing Corp-Clone- Making Division</v>
      </c>
      <c r="H76" s="6" t="str">
        <v>Computer and Office Equipment</v>
      </c>
      <c r="I76" s="6" t="str">
        <v>73921J</v>
      </c>
      <c r="J76" s="6" t="str">
        <v>Power Computing Corp</v>
      </c>
      <c r="K76" s="6" t="str">
        <v>Power Computing Corp</v>
      </c>
      <c r="L76" s="7">
        <f>=DATE(1997,9,2)</f>
        <v>35674.99949074074</v>
      </c>
      <c r="M76" s="7">
        <f>=DATE(1997,9,2)</f>
        <v>35674.99949074074</v>
      </c>
      <c r="N76" s="8">
        <v>100</v>
      </c>
      <c r="O76" s="8">
        <v>100</v>
      </c>
      <c r="W76" s="6" t="str">
        <v>Disk Drives;Monitors/Terminals;Other Software (inq. Games);Printers;Other Peripherals;Mainframes &amp; Super Computers;Micro-Computers (PCs);Portable Computers</v>
      </c>
      <c r="X76" s="6" t="str">
        <v>Other Computer Systems</v>
      </c>
      <c r="Y76" s="6" t="str">
        <v>Computer Consulting Services</v>
      </c>
      <c r="Z76" s="6" t="str">
        <v>Computer Consulting Services</v>
      </c>
      <c r="AA76" s="6" t="str">
        <v>Monitors/Terminals;Printers;Mainframes &amp; Super Computers;Micro-Computers (PCs);Other Software (inq. Games);Other Peripherals;Portable Computers;Disk Drives</v>
      </c>
      <c r="AB76" s="6" t="str">
        <v>Disk Drives;Printers;Mainframes &amp; Super Computers;Monitors/Terminals;Other Peripherals;Micro-Computers (PCs);Other Software (inq. Games);Portable Computers</v>
      </c>
      <c r="AC76" s="8">
        <v>100</v>
      </c>
      <c r="AD76" s="7">
        <f>=DATE(1997,9,2)</f>
        <v>35674.99949074074</v>
      </c>
      <c r="AH76" s="6" t="str">
        <v>False</v>
      </c>
      <c r="AI76" s="6" t="str">
        <v>1997</v>
      </c>
      <c r="AJ76" s="6" t="str">
        <v>Completed</v>
      </c>
      <c r="AM76" s="6" t="str">
        <v>Divestiture</v>
      </c>
      <c r="AO76" s="6" t="str">
        <v>Apple Computer (AC) acquired the clone-making division of Power Computing for approximately $100 mil in AC common stock.</v>
      </c>
    </row>
    <row r="77">
      <c r="A77" s="6" t="str">
        <v>594918</v>
      </c>
      <c r="B77" s="6" t="str">
        <v>United States</v>
      </c>
      <c r="C77" s="6" t="str">
        <v>Microsoft Corp</v>
      </c>
      <c r="D77" s="6" t="str">
        <v>Microsoft Corp</v>
      </c>
      <c r="F77" s="6" t="str">
        <v>Germany</v>
      </c>
      <c r="G77" s="6" t="str">
        <v>Trados GmbH</v>
      </c>
      <c r="H77" s="6" t="str">
        <v>Prepackaged Software</v>
      </c>
      <c r="I77" s="6" t="str">
        <v>89269A</v>
      </c>
      <c r="J77" s="6" t="str">
        <v>Trados GmbH</v>
      </c>
      <c r="K77" s="6" t="str">
        <v>Trados GmbH</v>
      </c>
      <c r="L77" s="7">
        <f>=DATE(1997,9,9)</f>
        <v>35681.99949074074</v>
      </c>
      <c r="W77" s="6" t="str">
        <v>Monitors/Terminals;Applications Software(Business;Computer Consulting Services;Operating Systems;Internet Services &amp; Software;Other Peripherals</v>
      </c>
      <c r="X77" s="6" t="str">
        <v>Applications Software(Business</v>
      </c>
      <c r="Y77" s="6" t="str">
        <v>Applications Software(Business</v>
      </c>
      <c r="Z77" s="6" t="str">
        <v>Applications Software(Business</v>
      </c>
      <c r="AA77" s="6" t="str">
        <v>Internet Services &amp; Software;Other Peripherals;Applications Software(Business;Computer Consulting Services;Operating Systems;Monitors/Terminals</v>
      </c>
      <c r="AB77" s="6" t="str">
        <v>Applications Software(Business;Other Peripherals;Operating Systems;Internet Services &amp; Software;Computer Consulting Services;Monitors/Terminals</v>
      </c>
      <c r="AH77" s="6" t="str">
        <v>False</v>
      </c>
      <c r="AJ77" s="6" t="str">
        <v>Pending</v>
      </c>
      <c r="AM77" s="6" t="str">
        <v>Not Applicable</v>
      </c>
      <c r="AO77" s="6" t="str">
        <v>Microsoft agreed to acquire a 20% stake in Trados. Terms were not disclosed. The transaction was subject to regulatory approval.</v>
      </c>
    </row>
    <row r="78">
      <c r="A78" s="6" t="str">
        <v>594918</v>
      </c>
      <c r="B78" s="6" t="str">
        <v>United States</v>
      </c>
      <c r="C78" s="6" t="str">
        <v>Microsoft Corp</v>
      </c>
      <c r="D78" s="6" t="str">
        <v>Microsoft Corp</v>
      </c>
      <c r="F78" s="6" t="str">
        <v>Belgium</v>
      </c>
      <c r="G78" s="6" t="str">
        <v>Lernout &amp; Hauspie Speech Products NV</v>
      </c>
      <c r="H78" s="6" t="str">
        <v>Prepackaged Software</v>
      </c>
      <c r="I78" s="6" t="str">
        <v>B5628B</v>
      </c>
      <c r="J78" s="6" t="str">
        <v>Lernout &amp; Hauspie Speech Products NV</v>
      </c>
      <c r="K78" s="6" t="str">
        <v>Lernout &amp; Hauspie Speech Products NV</v>
      </c>
      <c r="L78" s="7">
        <f>=DATE(1997,9,11)</f>
        <v>35683.99949074074</v>
      </c>
      <c r="M78" s="7">
        <f>=DATE(1997,9,11)</f>
        <v>35683.99949074074</v>
      </c>
      <c r="N78" s="8">
        <v>45.0511292517007</v>
      </c>
      <c r="O78" s="8">
        <v>45.0511292517007</v>
      </c>
      <c r="P78" s="8" t="str">
        <v>671.44</v>
      </c>
      <c r="R78" s="8">
        <v>-7.75490010714061</v>
      </c>
      <c r="S78" s="8">
        <v>30.2948257389551</v>
      </c>
      <c r="T78" s="8">
        <v>39.93441609</v>
      </c>
      <c r="U78" s="8">
        <v>-34.38198309</v>
      </c>
      <c r="V78" s="8">
        <v>2.45905623</v>
      </c>
      <c r="W78" s="6" t="str">
        <v>Operating Systems;Internet Services &amp; Software;Computer Consulting Services;Other Peripherals;Monitors/Terminals;Applications Software(Business</v>
      </c>
      <c r="X78" s="6" t="str">
        <v>Communication/Network Software;Other Software (inq. Games);Applications Software(Business;Applications Software(Home)</v>
      </c>
      <c r="Y78" s="6" t="str">
        <v>Other Software (inq. Games);Communication/Network Software;Applications Software(Home);Applications Software(Business</v>
      </c>
      <c r="Z78" s="6" t="str">
        <v>Applications Software(Home);Communication/Network Software;Other Software (inq. Games);Applications Software(Business</v>
      </c>
      <c r="AA78" s="6" t="str">
        <v>Computer Consulting Services;Operating Systems;Monitors/Terminals;Internet Services &amp; Software;Other Peripherals;Applications Software(Business</v>
      </c>
      <c r="AB78" s="6" t="str">
        <v>Internet Services &amp; Software;Monitors/Terminals;Operating Systems;Other Peripherals;Computer Consulting Services;Applications Software(Business</v>
      </c>
      <c r="AC78" s="8">
        <v>45.0511292517007</v>
      </c>
      <c r="AD78" s="7">
        <f>=DATE(1997,9,11)</f>
        <v>35683.99949074074</v>
      </c>
      <c r="AF78" s="8" t="str">
        <v>579.75</v>
      </c>
      <c r="AG78" s="8" t="str">
        <v>579.75</v>
      </c>
      <c r="AH78" s="6" t="str">
        <v>True</v>
      </c>
      <c r="AI78" s="6" t="str">
        <v>1997</v>
      </c>
      <c r="AJ78" s="6" t="str">
        <v>Completed</v>
      </c>
      <c r="AL78" s="8">
        <v>2.90042</v>
      </c>
      <c r="AM78" s="6" t="str">
        <v>Privately Negotiated Purchase</v>
      </c>
      <c r="AN78" s="8">
        <v>27.8270624566711</v>
      </c>
      <c r="AO78" s="6" t="str">
        <v>Microsoft acquired an 8% stake, or 2.9 mil ordinary shares, in Lernout &amp; Hauspie Speech Products for 1.655 bil Belgian francs ($45 mil US) in a privately negotiated transaction.</v>
      </c>
    </row>
    <row r="79">
      <c r="A79" s="6" t="str">
        <v>594918</v>
      </c>
      <c r="B79" s="6" t="str">
        <v>United States</v>
      </c>
      <c r="C79" s="6" t="str">
        <v>Microsoft Corp</v>
      </c>
      <c r="D79" s="6" t="str">
        <v>Microsoft Corp</v>
      </c>
      <c r="F79" s="6" t="str">
        <v>United States</v>
      </c>
      <c r="G79" s="6" t="str">
        <v>E-Stamp Corp</v>
      </c>
      <c r="H79" s="6" t="str">
        <v>Prepackaged Software</v>
      </c>
      <c r="I79" s="6" t="str">
        <v>269154</v>
      </c>
      <c r="J79" s="6" t="str">
        <v>E-Stamp Corp</v>
      </c>
      <c r="K79" s="6" t="str">
        <v>E-Stamp Corp</v>
      </c>
      <c r="L79" s="7">
        <f>=DATE(1997,9,23)</f>
        <v>35695.99949074074</v>
      </c>
      <c r="M79" s="7">
        <f>=DATE(1997,9,23)</f>
        <v>35695.99949074074</v>
      </c>
      <c r="W79" s="6" t="str">
        <v>Applications Software(Business;Computer Consulting Services;Operating Systems;Monitors/Terminals;Other Peripherals;Internet Services &amp; Software</v>
      </c>
      <c r="X79" s="6" t="str">
        <v>Internet Services &amp; Software;Communication/Network Software</v>
      </c>
      <c r="Y79" s="6" t="str">
        <v>Communication/Network Software;Internet Services &amp; Software</v>
      </c>
      <c r="Z79" s="6" t="str">
        <v>Internet Services &amp; Software;Communication/Network Software</v>
      </c>
      <c r="AA79" s="6" t="str">
        <v>Operating Systems;Computer Consulting Services;Applications Software(Business;Monitors/Terminals;Other Peripherals;Internet Services &amp; Software</v>
      </c>
      <c r="AB79" s="6" t="str">
        <v>Operating Systems;Monitors/Terminals;Internet Services &amp; Software;Computer Consulting Services;Other Peripherals;Applications Software(Business</v>
      </c>
      <c r="AH79" s="6" t="str">
        <v>True</v>
      </c>
      <c r="AI79" s="6" t="str">
        <v>1997</v>
      </c>
      <c r="AJ79" s="6" t="str">
        <v>Completed</v>
      </c>
      <c r="AM79" s="6" t="str">
        <v>Not Applicable</v>
      </c>
      <c r="AO79" s="6" t="str">
        <v>Microsoft Corp acquired a 10% stake in E-Stamp Corp.</v>
      </c>
    </row>
    <row r="80">
      <c r="A80" s="6" t="str">
        <v>594918</v>
      </c>
      <c r="B80" s="6" t="str">
        <v>United States</v>
      </c>
      <c r="C80" s="6" t="str">
        <v>Microsoft Corp</v>
      </c>
      <c r="D80" s="6" t="str">
        <v>Microsoft Corp</v>
      </c>
      <c r="F80" s="6" t="str">
        <v>United States</v>
      </c>
      <c r="G80" s="6" t="str">
        <v>Tele-Communications Inc</v>
      </c>
      <c r="H80" s="6" t="str">
        <v>Radio and Television Broadcasting Stations</v>
      </c>
      <c r="I80" s="6" t="str">
        <v>87924V</v>
      </c>
      <c r="J80" s="6" t="str">
        <v>Tele-Communications Inc</v>
      </c>
      <c r="K80" s="6" t="str">
        <v>Tele-Communications Inc</v>
      </c>
      <c r="L80" s="7">
        <f>=DATE(1997,10,15)</f>
        <v>35717.99949074074</v>
      </c>
      <c r="R80" s="8">
        <v>490</v>
      </c>
      <c r="S80" s="8">
        <v>7803</v>
      </c>
      <c r="W80" s="6" t="str">
        <v>Operating Systems;Applications Software(Business;Other Peripherals;Computer Consulting Services;Internet Services &amp; Software;Monitors/Terminals</v>
      </c>
      <c r="X80" s="6" t="str">
        <v>Satellite Communications</v>
      </c>
      <c r="Y80" s="6" t="str">
        <v>Satellite Communications</v>
      </c>
      <c r="Z80" s="6" t="str">
        <v>Satellite Communications</v>
      </c>
      <c r="AA80" s="6" t="str">
        <v>Other Peripherals;Applications Software(Business;Operating Systems;Monitors/Terminals;Internet Services &amp; Software;Computer Consulting Services</v>
      </c>
      <c r="AB80" s="6" t="str">
        <v>Applications Software(Business;Other Peripherals;Operating Systems;Monitors/Terminals;Internet Services &amp; Software;Computer Consulting Services</v>
      </c>
      <c r="AH80" s="6" t="str">
        <v>True</v>
      </c>
      <c r="AJ80" s="6" t="str">
        <v>Dismissed Rumor</v>
      </c>
      <c r="AM80" s="6" t="str">
        <v>Rumored Deal</v>
      </c>
      <c r="AN80" s="8">
        <v>16065</v>
      </c>
      <c r="AO80" s="6" t="str">
        <v>Microsoft was rumored to be in negotiations to acquire an undisclosed minority stake in Tele-Communications. The Current status of this deal is unknown.</v>
      </c>
    </row>
    <row r="81">
      <c r="A81" s="6" t="str">
        <v>594918</v>
      </c>
      <c r="B81" s="6" t="str">
        <v>United States</v>
      </c>
      <c r="C81" s="6" t="str">
        <v>Microsoft Corp</v>
      </c>
      <c r="D81" s="6" t="str">
        <v>Microsoft Corp</v>
      </c>
      <c r="F81" s="6" t="str">
        <v>United States</v>
      </c>
      <c r="G81" s="6" t="str">
        <v>Hotmail Corp(Microsoft Corp)</v>
      </c>
      <c r="H81" s="6" t="str">
        <v>Prepackaged Software</v>
      </c>
      <c r="I81" s="6" t="str">
        <v>44109K</v>
      </c>
      <c r="J81" s="6" t="str">
        <v>Microsoft Corp</v>
      </c>
      <c r="K81" s="6" t="str">
        <v>Microsoft Corp</v>
      </c>
      <c r="L81" s="7">
        <f>=DATE(1997,12,5)</f>
        <v>35768.99949074074</v>
      </c>
      <c r="M81" s="7">
        <f>=DATE(1997,12,31)</f>
        <v>35794.99949074074</v>
      </c>
      <c r="W81" s="6" t="str">
        <v>Applications Software(Business;Monitors/Terminals;Operating Systems;Internet Services &amp; Software;Computer Consulting Services;Other Peripherals</v>
      </c>
      <c r="X81" s="6" t="str">
        <v>Communication/Network Software;Internet Services &amp; Software</v>
      </c>
      <c r="Y81" s="6" t="str">
        <v>Operating Systems;Computer Consulting Services;Monitors/Terminals;Internet Services &amp; Software;Other Peripherals;Applications Software(Business</v>
      </c>
      <c r="Z81" s="6" t="str">
        <v>Operating Systems;Computer Consulting Services;Applications Software(Business;Other Peripherals;Internet Services &amp; Software;Monitors/Terminals</v>
      </c>
      <c r="AA81" s="6" t="str">
        <v>Applications Software(Business;Other Peripherals;Internet Services &amp; Software;Operating Systems;Computer Consulting Services;Monitors/Terminals</v>
      </c>
      <c r="AB81" s="6" t="str">
        <v>Internet Services &amp; Software;Computer Consulting Services;Monitors/Terminals;Operating Systems;Other Peripherals;Applications Software(Business</v>
      </c>
      <c r="AH81" s="6" t="str">
        <v>True</v>
      </c>
      <c r="AI81" s="6" t="str">
        <v>1997</v>
      </c>
      <c r="AJ81" s="6" t="str">
        <v>Completed</v>
      </c>
      <c r="AM81" s="6" t="str">
        <v>Rumored Deal</v>
      </c>
      <c r="AO81" s="6" t="str">
        <v>Microsoft Corp (MC) acquired Hotmail (HO).Terms were not disclosed. In December 8, 1997 it had been rumored that MC planned to acquire HO for approximately $500 mil.</v>
      </c>
    </row>
    <row r="82">
      <c r="A82" s="6" t="str">
        <v>927914</v>
      </c>
      <c r="B82" s="6" t="str">
        <v>United States</v>
      </c>
      <c r="C82" s="6" t="str">
        <v>Visio Corp</v>
      </c>
      <c r="D82" s="6" t="str">
        <v>Visio Corp</v>
      </c>
      <c r="F82" s="6" t="str">
        <v>United States</v>
      </c>
      <c r="G82" s="6" t="str">
        <v>InfoModelers Inc</v>
      </c>
      <c r="H82" s="6" t="str">
        <v>Prepackaged Software</v>
      </c>
      <c r="I82" s="6" t="str">
        <v>45680V</v>
      </c>
      <c r="J82" s="6" t="str">
        <v>InfoModelers Inc</v>
      </c>
      <c r="K82" s="6" t="str">
        <v>InfoModelers Inc</v>
      </c>
      <c r="L82" s="7">
        <f>=DATE(1998,1,20)</f>
        <v>35814.99949074074</v>
      </c>
      <c r="W82" s="6" t="str">
        <v>Applications Software(Business</v>
      </c>
      <c r="X82" s="6" t="str">
        <v>Applications Software(Business</v>
      </c>
      <c r="Y82" s="6" t="str">
        <v>Applications Software(Business</v>
      </c>
      <c r="Z82" s="6" t="str">
        <v>Applications Software(Business</v>
      </c>
      <c r="AA82" s="6" t="str">
        <v>Applications Software(Business</v>
      </c>
      <c r="AB82" s="6" t="str">
        <v>Applications Software(Business</v>
      </c>
      <c r="AH82" s="6" t="str">
        <v>False</v>
      </c>
      <c r="AJ82" s="6" t="str">
        <v>Pending</v>
      </c>
      <c r="AM82" s="6" t="str">
        <v>Not Applicable</v>
      </c>
      <c r="AO82" s="6" t="str">
        <v>Visio agreed to acquire InfoModelers for an undisclosed amount of common stock.</v>
      </c>
    </row>
    <row r="83">
      <c r="A83" s="6" t="str">
        <v>594918</v>
      </c>
      <c r="B83" s="6" t="str">
        <v>United States</v>
      </c>
      <c r="C83" s="6" t="str">
        <v>Microsoft Corp</v>
      </c>
      <c r="D83" s="6" t="str">
        <v>Microsoft Corp</v>
      </c>
      <c r="F83" s="6" t="str">
        <v>United States</v>
      </c>
      <c r="G83" s="6" t="str">
        <v>General Magic Inc</v>
      </c>
      <c r="H83" s="6" t="str">
        <v>Prepackaged Software</v>
      </c>
      <c r="I83" s="6" t="str">
        <v>370253</v>
      </c>
      <c r="J83" s="6" t="str">
        <v>General Magic Inc</v>
      </c>
      <c r="K83" s="6" t="str">
        <v>General Magic Inc</v>
      </c>
      <c r="L83" s="7">
        <f>=DATE(1998,3,4)</f>
        <v>35857.99949074074</v>
      </c>
      <c r="M83" s="7">
        <f>=DATE(1998,3,4)</f>
        <v>35857.99949074074</v>
      </c>
      <c r="N83" s="8">
        <v>6</v>
      </c>
      <c r="O83" s="8">
        <v>6</v>
      </c>
      <c r="R83" s="8">
        <v>-33.899</v>
      </c>
      <c r="S83" s="8">
        <v>4.58</v>
      </c>
      <c r="W83" s="6" t="str">
        <v>Other Peripherals;Monitors/Terminals;Internet Services &amp; Software;Operating Systems;Applications Software(Business;Computer Consulting Services</v>
      </c>
      <c r="X83" s="6" t="str">
        <v>Programming Services;Communication/Network Software</v>
      </c>
      <c r="Y83" s="6" t="str">
        <v>Programming Services;Communication/Network Software</v>
      </c>
      <c r="Z83" s="6" t="str">
        <v>Communication/Network Software;Programming Services</v>
      </c>
      <c r="AA83" s="6" t="str">
        <v>Computer Consulting Services;Operating Systems;Applications Software(Business;Monitors/Terminals;Internet Services &amp; Software;Other Peripherals</v>
      </c>
      <c r="AB83" s="6" t="str">
        <v>Internet Services &amp; Software;Other Peripherals;Operating Systems;Applications Software(Business;Monitors/Terminals;Computer Consulting Services</v>
      </c>
      <c r="AC83" s="8">
        <v>6</v>
      </c>
      <c r="AD83" s="7">
        <f>=DATE(1998,3,4)</f>
        <v>35857.99949074074</v>
      </c>
      <c r="AH83" s="6" t="str">
        <v>True</v>
      </c>
      <c r="AI83" s="6" t="str">
        <v>1998</v>
      </c>
      <c r="AJ83" s="6" t="str">
        <v>Completed</v>
      </c>
      <c r="AM83" s="6" t="str">
        <v>Privately Negotiated Purchase</v>
      </c>
      <c r="AO83" s="6" t="str">
        <v>Microsoft Corp (MS) acquired an undisclosed minority stake in General Magic Inc (GM) for $6 mil in a privately negotiated transaction. As part of the transaction GM also agreed to license certain technologies to MS.</v>
      </c>
    </row>
    <row r="84">
      <c r="A84" s="6" t="str">
        <v>594918</v>
      </c>
      <c r="B84" s="6" t="str">
        <v>United States</v>
      </c>
      <c r="C84" s="6" t="str">
        <v>Microsoft Corp</v>
      </c>
      <c r="D84" s="6" t="str">
        <v>Microsoft Corp</v>
      </c>
      <c r="F84" s="6" t="str">
        <v>United States</v>
      </c>
      <c r="G84" s="6" t="str">
        <v>WavePhore Inc</v>
      </c>
      <c r="H84" s="6" t="str">
        <v>Communications Equipment</v>
      </c>
      <c r="I84" s="6" t="str">
        <v>943567</v>
      </c>
      <c r="J84" s="6" t="str">
        <v>WavePhore Inc</v>
      </c>
      <c r="K84" s="6" t="str">
        <v>WavePhore Inc</v>
      </c>
      <c r="L84" s="7">
        <f>=DATE(1998,3,6)</f>
        <v>35859.99949074074</v>
      </c>
      <c r="M84" s="7">
        <f>=DATE(1998,3,6)</f>
        <v>35859.99949074074</v>
      </c>
      <c r="R84" s="8">
        <v>-19.784</v>
      </c>
      <c r="S84" s="8">
        <v>22.59</v>
      </c>
      <c r="T84" s="8">
        <v>24.563</v>
      </c>
      <c r="U84" s="8">
        <v>-11.396</v>
      </c>
      <c r="V84" s="8">
        <v>-13.407</v>
      </c>
      <c r="W84" s="6" t="str">
        <v>Applications Software(Business;Internet Services &amp; Software;Monitors/Terminals;Computer Consulting Services;Operating Systems;Other Peripherals</v>
      </c>
      <c r="X84" s="6" t="str">
        <v>Other Telecommunications Equip</v>
      </c>
      <c r="Y84" s="6" t="str">
        <v>Other Telecommunications Equip</v>
      </c>
      <c r="Z84" s="6" t="str">
        <v>Other Telecommunications Equip</v>
      </c>
      <c r="AA84" s="6" t="str">
        <v>Computer Consulting Services;Operating Systems;Monitors/Terminals;Applications Software(Business;Internet Services &amp; Software;Other Peripherals</v>
      </c>
      <c r="AB84" s="6" t="str">
        <v>Applications Software(Business;Internet Services &amp; Software;Computer Consulting Services;Monitors/Terminals;Other Peripherals;Operating Systems</v>
      </c>
      <c r="AH84" s="6" t="str">
        <v>True</v>
      </c>
      <c r="AI84" s="6" t="str">
        <v>1998</v>
      </c>
      <c r="AJ84" s="6" t="str">
        <v>Completed</v>
      </c>
      <c r="AL84" s="8">
        <v>0.5</v>
      </c>
      <c r="AM84" s="6" t="str">
        <v>Open Market Purchase</v>
      </c>
      <c r="AN84" s="8">
        <v>22.084</v>
      </c>
      <c r="AO84" s="6" t="str">
        <v>Microsoft Corp acquired a 2.88% stake by acquiring 500,000 common shares in Wavephore Inc, in open market transactions.</v>
      </c>
    </row>
    <row r="85">
      <c r="A85" s="6" t="str">
        <v>594918</v>
      </c>
      <c r="B85" s="6" t="str">
        <v>United States</v>
      </c>
      <c r="C85" s="6" t="str">
        <v>Microsoft Corp</v>
      </c>
      <c r="D85" s="6" t="str">
        <v>Microsoft Corp</v>
      </c>
      <c r="F85" s="6" t="str">
        <v>United States</v>
      </c>
      <c r="G85" s="6" t="str">
        <v>FireFly Network Inc</v>
      </c>
      <c r="H85" s="6" t="str">
        <v>Prepackaged Software</v>
      </c>
      <c r="I85" s="6" t="str">
        <v>31813V</v>
      </c>
      <c r="J85" s="6" t="str">
        <v>FireFly Network Inc</v>
      </c>
      <c r="K85" s="6" t="str">
        <v>FireFly Network Inc</v>
      </c>
      <c r="L85" s="7">
        <f>=DATE(1998,4,10)</f>
        <v>35894.99949074074</v>
      </c>
      <c r="M85" s="7">
        <f>=DATE(1998,4,15)</f>
        <v>35899.99949074074</v>
      </c>
      <c r="N85" s="8">
        <v>40</v>
      </c>
      <c r="O85" s="8">
        <v>40</v>
      </c>
      <c r="W85" s="6" t="str">
        <v>Other Peripherals;Monitors/Terminals;Computer Consulting Services;Applications Software(Business;Internet Services &amp; Software;Operating Systems</v>
      </c>
      <c r="X85" s="6" t="str">
        <v>Communication/Network Software;Applications Software(Business;Applications Software(Home);Internet Services &amp; Software</v>
      </c>
      <c r="Y85" s="6" t="str">
        <v>Applications Software(Home);Communication/Network Software;Applications Software(Business;Internet Services &amp; Software</v>
      </c>
      <c r="Z85" s="6" t="str">
        <v>Applications Software(Home);Internet Services &amp; Software;Applications Software(Business;Communication/Network Software</v>
      </c>
      <c r="AA85" s="6" t="str">
        <v>Internet Services &amp; Software;Other Peripherals;Operating Systems;Computer Consulting Services;Monitors/Terminals;Applications Software(Business</v>
      </c>
      <c r="AB85" s="6" t="str">
        <v>Monitors/Terminals;Other Peripherals;Computer Consulting Services;Applications Software(Business;Internet Services &amp; Software;Operating Systems</v>
      </c>
      <c r="AC85" s="8">
        <v>40</v>
      </c>
      <c r="AD85" s="7">
        <f>=DATE(1998,4,15)</f>
        <v>35899.99949074074</v>
      </c>
      <c r="AF85" s="8" t="str">
        <v>40.00</v>
      </c>
      <c r="AG85" s="8" t="str">
        <v>40.00</v>
      </c>
      <c r="AH85" s="6" t="str">
        <v>False</v>
      </c>
      <c r="AI85" s="6" t="str">
        <v>1998</v>
      </c>
      <c r="AJ85" s="6" t="str">
        <v>Completed</v>
      </c>
      <c r="AM85" s="6" t="str">
        <v>Not Applicable</v>
      </c>
      <c r="AO85" s="6" t="str">
        <v>Microsoft Corp acquired all the outstanding stock of FireFly Network Inc for an estimated $40 mil in cash and common stock.</v>
      </c>
    </row>
    <row r="86">
      <c r="A86" s="6" t="str">
        <v>023135</v>
      </c>
      <c r="B86" s="6" t="str">
        <v>United States</v>
      </c>
      <c r="C86" s="6" t="str">
        <v>Amazon.com Inc</v>
      </c>
      <c r="D86" s="6" t="str">
        <v>Amazon.com Inc</v>
      </c>
      <c r="E86" s="6" t="str">
        <v>Amazon.com Inc;Amazon.com Inc</v>
      </c>
      <c r="F86" s="6" t="str">
        <v>United Kingdom</v>
      </c>
      <c r="G86" s="6" t="str">
        <v>Bookpages Ltd</v>
      </c>
      <c r="H86" s="6" t="str">
        <v>Wholesale Trade-Nondurable Goods</v>
      </c>
      <c r="I86" s="6" t="str">
        <v>09855P</v>
      </c>
      <c r="J86" s="6" t="str">
        <v>Bookpages Ltd</v>
      </c>
      <c r="K86" s="6" t="str">
        <v>Bookpages Ltd</v>
      </c>
      <c r="L86" s="7">
        <f>=DATE(1998,4,28)</f>
        <v>35912.99949074074</v>
      </c>
      <c r="M86" s="7">
        <f>=DATE(1998,4,28)</f>
        <v>35912.99949074074</v>
      </c>
      <c r="W86" s="6" t="str">
        <v>Primary Business not Hi-Tech</v>
      </c>
      <c r="X86" s="6" t="str">
        <v>Other Computer Related Svcs</v>
      </c>
      <c r="Y86" s="6" t="str">
        <v>Other Computer Related Svcs</v>
      </c>
      <c r="Z86" s="6" t="str">
        <v>Other Computer Related Svcs</v>
      </c>
      <c r="AA86" s="6" t="str">
        <v>Primary Business not Hi-Tech</v>
      </c>
      <c r="AB86" s="6" t="str">
        <v>Primary Business not Hi-Tech</v>
      </c>
      <c r="AH86" s="6" t="str">
        <v>False</v>
      </c>
      <c r="AI86" s="6" t="str">
        <v>1998</v>
      </c>
      <c r="AJ86" s="6" t="str">
        <v>Completed</v>
      </c>
      <c r="AM86" s="6" t="str">
        <v>Not Applicable</v>
      </c>
      <c r="AO86" s="6" t="str">
        <v>Amazon.com Inc (AC) acquired Bookpages Ltd. Concurrently, AC acquired Internet Movie Database and Telebook. The three transactions had a combined value of approximately $44.685 mil. The consideration consisted of an undisclosed amount of cash and .54 mil AC common shares valued at $44.685 mil. The shares were valued based on AC's closing stock price of $82.75 on April 27, the last full trading day prior to the announcement.</v>
      </c>
    </row>
    <row r="87">
      <c r="A87" s="6" t="str">
        <v>023135</v>
      </c>
      <c r="B87" s="6" t="str">
        <v>United States</v>
      </c>
      <c r="C87" s="6" t="str">
        <v>Amazon.com Inc</v>
      </c>
      <c r="D87" s="6" t="str">
        <v>Amazon.com Inc</v>
      </c>
      <c r="E87" s="6" t="str">
        <v>Amazon.com Inc;Amazon.com Inc</v>
      </c>
      <c r="F87" s="6" t="str">
        <v>United States</v>
      </c>
      <c r="G87" s="6" t="str">
        <v>Internet Movie Database Inc</v>
      </c>
      <c r="H87" s="6" t="str">
        <v>Business Services</v>
      </c>
      <c r="I87" s="6" t="str">
        <v>46056F</v>
      </c>
      <c r="J87" s="6" t="str">
        <v>Amazon.com Inc</v>
      </c>
      <c r="K87" s="6" t="str">
        <v>Amazon.com Inc</v>
      </c>
      <c r="L87" s="7">
        <f>=DATE(1998,4,28)</f>
        <v>35912.99949074074</v>
      </c>
      <c r="M87" s="7">
        <f>=DATE(1998,4,28)</f>
        <v>35912.99949074074</v>
      </c>
      <c r="W87" s="6" t="str">
        <v>Primary Business not Hi-Tech</v>
      </c>
      <c r="X87" s="6" t="str">
        <v>Internet Services &amp; Software;Other Computer Related Svcs</v>
      </c>
      <c r="Y87" s="6" t="str">
        <v>Primary Business not Hi-Tech</v>
      </c>
      <c r="Z87" s="6" t="str">
        <v>Primary Business not Hi-Tech</v>
      </c>
      <c r="AA87" s="6" t="str">
        <v>Primary Business not Hi-Tech</v>
      </c>
      <c r="AB87" s="6" t="str">
        <v>Primary Business not Hi-Tech</v>
      </c>
      <c r="AH87" s="6" t="str">
        <v>True</v>
      </c>
      <c r="AI87" s="6" t="str">
        <v>1998</v>
      </c>
      <c r="AJ87" s="6" t="str">
        <v>Completed</v>
      </c>
      <c r="AM87" s="6" t="str">
        <v>Not Applicable</v>
      </c>
      <c r="AO87" s="6" t="str">
        <v>Amazon.com Inc (AC) acquired Internet Movie Database. Concurrently, AC acquired Bookpages Ltd and Telebook. The three transactions had a combined value of approximately $44.685 mil. The consideration consisted of an undisclosed amount of cash and .54 mil AC common shares valued at $44.685 mil. The shares were valued based on AC's closing stock price of $82.75 on April 27, the last full trading day prior to the announcement.</v>
      </c>
    </row>
    <row r="88">
      <c r="A88" s="6" t="str">
        <v>594918</v>
      </c>
      <c r="B88" s="6" t="str">
        <v>United States</v>
      </c>
      <c r="C88" s="6" t="str">
        <v>Microsoft Corp</v>
      </c>
      <c r="D88" s="6" t="str">
        <v>Microsoft Corp</v>
      </c>
      <c r="F88" s="6" t="str">
        <v>United States</v>
      </c>
      <c r="G88" s="6" t="str">
        <v>MESA Group Inc</v>
      </c>
      <c r="H88" s="6" t="str">
        <v>Prepackaged Software</v>
      </c>
      <c r="I88" s="6" t="str">
        <v>59066L</v>
      </c>
      <c r="J88" s="6" t="str">
        <v>MESA Group Inc</v>
      </c>
      <c r="K88" s="6" t="str">
        <v>MESA Group Inc</v>
      </c>
      <c r="L88" s="7">
        <f>=DATE(1998,4,28)</f>
        <v>35912.99949074074</v>
      </c>
      <c r="M88" s="7">
        <f>=DATE(1998,4,28)</f>
        <v>35912.99949074074</v>
      </c>
      <c r="W88" s="6" t="str">
        <v>Computer Consulting Services;Internet Services &amp; Software;Monitors/Terminals;Other Peripherals;Operating Systems;Applications Software(Business</v>
      </c>
      <c r="X88" s="6" t="str">
        <v>Communication/Network Software;Utilities/File Mgmt Software</v>
      </c>
      <c r="Y88" s="6" t="str">
        <v>Utilities/File Mgmt Software;Communication/Network Software</v>
      </c>
      <c r="Z88" s="6" t="str">
        <v>Communication/Network Software;Utilities/File Mgmt Software</v>
      </c>
      <c r="AA88" s="6" t="str">
        <v>Operating Systems;Applications Software(Business;Computer Consulting Services;Other Peripherals;Monitors/Terminals;Internet Services &amp; Software</v>
      </c>
      <c r="AB88" s="6" t="str">
        <v>Applications Software(Business;Internet Services &amp; Software;Operating Systems;Other Peripherals;Monitors/Terminals;Computer Consulting Services</v>
      </c>
      <c r="AH88" s="6" t="str">
        <v>True</v>
      </c>
      <c r="AI88" s="6" t="str">
        <v>1998</v>
      </c>
      <c r="AJ88" s="6" t="str">
        <v>Completed</v>
      </c>
      <c r="AM88" s="6" t="str">
        <v>Not Applicable</v>
      </c>
      <c r="AO88" s="6" t="str">
        <v>Microsoft Corp acquired MESA Group Inc. Terms were not disclosed.</v>
      </c>
    </row>
    <row r="89">
      <c r="A89" s="6" t="str">
        <v>023135</v>
      </c>
      <c r="B89" s="6" t="str">
        <v>United States</v>
      </c>
      <c r="C89" s="6" t="str">
        <v>Amazon.com Inc</v>
      </c>
      <c r="D89" s="6" t="str">
        <v>Amazon.com Inc</v>
      </c>
      <c r="E89" s="6" t="str">
        <v>Amazon.com Inc;Amazon.com Inc</v>
      </c>
      <c r="F89" s="6" t="str">
        <v>United States</v>
      </c>
      <c r="G89" s="6" t="str">
        <v>Telebook Inc</v>
      </c>
      <c r="H89" s="6" t="str">
        <v>Business Services</v>
      </c>
      <c r="I89" s="6" t="str">
        <v>87919P</v>
      </c>
      <c r="J89" s="6" t="str">
        <v>Telebook Inc</v>
      </c>
      <c r="K89" s="6" t="str">
        <v>Telebook Inc</v>
      </c>
      <c r="L89" s="7">
        <f>=DATE(1998,4,28)</f>
        <v>35912.99949074074</v>
      </c>
      <c r="M89" s="7">
        <f>=DATE(1998,4,28)</f>
        <v>35912.99949074074</v>
      </c>
      <c r="W89" s="6" t="str">
        <v>Primary Business not Hi-Tech</v>
      </c>
      <c r="X89" s="6" t="str">
        <v>Other Computer Related Svcs</v>
      </c>
      <c r="Y89" s="6" t="str">
        <v>Other Computer Related Svcs</v>
      </c>
      <c r="Z89" s="6" t="str">
        <v>Other Computer Related Svcs</v>
      </c>
      <c r="AA89" s="6" t="str">
        <v>Primary Business not Hi-Tech</v>
      </c>
      <c r="AB89" s="6" t="str">
        <v>Primary Business not Hi-Tech</v>
      </c>
      <c r="AH89" s="6" t="str">
        <v>True</v>
      </c>
      <c r="AI89" s="6" t="str">
        <v>1998</v>
      </c>
      <c r="AJ89" s="6" t="str">
        <v>Completed</v>
      </c>
      <c r="AM89" s="6" t="str">
        <v>Not Applicable</v>
      </c>
      <c r="AO89" s="6" t="str">
        <v>Amazon.com Inc (AC) acquired Telebook. Concurrently, AC acquired Internet Movie Database and Bookpages Ltd. The three transactions had a combined value of approximately $44.685 mil. The consideration consisted of an undisclosed amount of cash and .54 mil AC common shares valued at $44.685 mil. The shares were valued based on AC's closing stock price of $82.75 on April 27, the last full trading day prior to the announcement.</v>
      </c>
    </row>
    <row r="90">
      <c r="A90" s="6" t="str">
        <v>893929</v>
      </c>
      <c r="B90" s="6" t="str">
        <v>United States</v>
      </c>
      <c r="C90" s="6" t="str">
        <v>Transcend Services Inc</v>
      </c>
      <c r="D90" s="6" t="str">
        <v>Transcend Services Inc</v>
      </c>
      <c r="F90" s="6" t="str">
        <v>United States</v>
      </c>
      <c r="G90" s="6" t="str">
        <v>Health Care Information Systems Inc</v>
      </c>
      <c r="H90" s="6" t="str">
        <v>Prepackaged Software</v>
      </c>
      <c r="I90" s="6" t="str">
        <v>42229W</v>
      </c>
      <c r="J90" s="6" t="str">
        <v>Health Care Information Systems Inc</v>
      </c>
      <c r="K90" s="6" t="str">
        <v>Health Care Information Systems Inc</v>
      </c>
      <c r="L90" s="7">
        <f>=DATE(1998,4,29)</f>
        <v>35913.99949074074</v>
      </c>
      <c r="M90" s="7">
        <f>=DATE(1998,6,2)</f>
        <v>35947.99949074074</v>
      </c>
      <c r="W90" s="6" t="str">
        <v>Other Computer Related Svcs;Data Processing Services</v>
      </c>
      <c r="X90" s="6" t="str">
        <v>Applications Software(Business</v>
      </c>
      <c r="Y90" s="6" t="str">
        <v>Applications Software(Business</v>
      </c>
      <c r="Z90" s="6" t="str">
        <v>Applications Software(Business</v>
      </c>
      <c r="AA90" s="6" t="str">
        <v>Other Computer Related Svcs;Data Processing Services</v>
      </c>
      <c r="AB90" s="6" t="str">
        <v>Data Processing Services;Other Computer Related Svcs</v>
      </c>
      <c r="AH90" s="6" t="str">
        <v>False</v>
      </c>
      <c r="AI90" s="6" t="str">
        <v>1998</v>
      </c>
      <c r="AJ90" s="6" t="str">
        <v>Completed</v>
      </c>
      <c r="AM90" s="6" t="str">
        <v>Pooling of Interests;Stock Swap</v>
      </c>
      <c r="AO90" s="6" t="str">
        <v>US - Transcend Services Inc acquired Health Care Information Systems Inc, a developer of management care software, in a stock swap transaction. Terms were not disclosed. The transaction was accounted for as a pooling of interests.</v>
      </c>
    </row>
    <row r="91">
      <c r="A91" s="6" t="str">
        <v>927914</v>
      </c>
      <c r="B91" s="6" t="str">
        <v>United States</v>
      </c>
      <c r="C91" s="6" t="str">
        <v>Visio Corp</v>
      </c>
      <c r="D91" s="6" t="str">
        <v>Visio Corp</v>
      </c>
      <c r="F91" s="6" t="str">
        <v>United Kingdom</v>
      </c>
      <c r="G91" s="6" t="str">
        <v>Decision Graphics UK-CAFM Explorer Technology</v>
      </c>
      <c r="H91" s="6" t="str">
        <v>Prepackaged Software</v>
      </c>
      <c r="I91" s="6" t="str">
        <v>24345L</v>
      </c>
      <c r="J91" s="6" t="str">
        <v>Decision Graphics UK Ltd</v>
      </c>
      <c r="K91" s="6" t="str">
        <v>Decision Graphics UK Ltd</v>
      </c>
      <c r="L91" s="7">
        <f>=DATE(1998,5,26)</f>
        <v>35940.99949074074</v>
      </c>
      <c r="M91" s="7">
        <f>=DATE(1998,5,26)</f>
        <v>35940.99949074074</v>
      </c>
      <c r="W91" s="6" t="str">
        <v>Applications Software(Business</v>
      </c>
      <c r="X91" s="6" t="str">
        <v>Applications Software(Business;Desktop Publishing</v>
      </c>
      <c r="Y91" s="6" t="str">
        <v>Desktop Publishing;Applications Software(Business</v>
      </c>
      <c r="Z91" s="6" t="str">
        <v>Desktop Publishing;Applications Software(Business</v>
      </c>
      <c r="AA91" s="6" t="str">
        <v>Applications Software(Business</v>
      </c>
      <c r="AB91" s="6" t="str">
        <v>Applications Software(Business</v>
      </c>
      <c r="AH91" s="6" t="str">
        <v>False</v>
      </c>
      <c r="AI91" s="6" t="str">
        <v>1998</v>
      </c>
      <c r="AJ91" s="6" t="str">
        <v>Completed</v>
      </c>
      <c r="AM91" s="6" t="str">
        <v>Divestiture</v>
      </c>
      <c r="AO91" s="6" t="str">
        <v>Visio Corporation, Nasdaq-listed business diagramming and technical drawing software company, has acquired the CAFM Explorer technology of Decision Graphics UK, a supplier of computer-aided facilities management software. Terms were not disclosed. CAFM Explorer is a browser used to navigate, search and graphically report on facilities management data.</v>
      </c>
    </row>
    <row r="92">
      <c r="A92" s="6" t="str">
        <v>594918</v>
      </c>
      <c r="B92" s="6" t="str">
        <v>United States</v>
      </c>
      <c r="C92" s="6" t="str">
        <v>Microsoft Corp</v>
      </c>
      <c r="D92" s="6" t="str">
        <v>Microsoft Corp</v>
      </c>
      <c r="F92" s="6" t="str">
        <v>South Korea</v>
      </c>
      <c r="G92" s="6" t="str">
        <v>Hangul &amp; Computer</v>
      </c>
      <c r="H92" s="6" t="str">
        <v>Prepackaged Software</v>
      </c>
      <c r="I92" s="6" t="str">
        <v>41046J</v>
      </c>
      <c r="J92" s="6" t="str">
        <v>Hangul &amp; Computer</v>
      </c>
      <c r="K92" s="6" t="str">
        <v>Hangul &amp; Computer</v>
      </c>
      <c r="L92" s="7">
        <f>=DATE(1998,6,15)</f>
        <v>35960.99949074074</v>
      </c>
      <c r="N92" s="8">
        <v>19.9674529616725</v>
      </c>
      <c r="O92" s="8">
        <v>19.9674529616725</v>
      </c>
      <c r="W92" s="6" t="str">
        <v>Applications Software(Business;Internet Services &amp; Software;Operating Systems;Other Peripherals;Monitors/Terminals;Computer Consulting Services</v>
      </c>
      <c r="X92" s="6" t="str">
        <v>Communication/Network Software;Applications Software(Home);Database Software/Programming;Other Software (inq. Games);Applications Software(Business;Utilities/File Mgmt Software</v>
      </c>
      <c r="Y92" s="6" t="str">
        <v>Applications Software(Business;Other Software (inq. Games);Database Software/Programming;Utilities/File Mgmt Software;Communication/Network Software;Applications Software(Home)</v>
      </c>
      <c r="Z92" s="6" t="str">
        <v>Utilities/File Mgmt Software;Other Software (inq. Games);Applications Software(Business;Database Software/Programming;Applications Software(Home);Communication/Network Software</v>
      </c>
      <c r="AA92" s="6" t="str">
        <v>Applications Software(Business;Internet Services &amp; Software;Computer Consulting Services;Other Peripherals;Monitors/Terminals;Operating Systems</v>
      </c>
      <c r="AB92" s="6" t="str">
        <v>Internet Services &amp; Software;Applications Software(Business;Other Peripherals;Operating Systems;Computer Consulting Services;Monitors/Terminals</v>
      </c>
      <c r="AC92" s="8">
        <v>19.9674529616725</v>
      </c>
      <c r="AD92" s="7">
        <f>=DATE(1998,6,15)</f>
        <v>35960.99949074074</v>
      </c>
      <c r="AH92" s="6" t="str">
        <v>False</v>
      </c>
      <c r="AJ92" s="6" t="str">
        <v>Withdrawn</v>
      </c>
      <c r="AM92" s="6" t="str">
        <v>Not Applicable</v>
      </c>
      <c r="AO92" s="6" t="str">
        <v>Microsoft Corp terminated plans to acquire a 19% stake in Hangul &amp; Computer Co for an estimated 28.653 bil Korean won ($20 mil US).</v>
      </c>
    </row>
    <row r="93">
      <c r="A93" s="6" t="str">
        <v>53577X</v>
      </c>
      <c r="B93" s="6" t="str">
        <v>United States</v>
      </c>
      <c r="C93" s="6" t="str">
        <v>LinkExchange(TM) Inc</v>
      </c>
      <c r="D93" s="6" t="str">
        <v>LinkExchange(TM) Inc</v>
      </c>
      <c r="F93" s="6" t="str">
        <v>United States</v>
      </c>
      <c r="G93" s="6" t="str">
        <v>Merchant Planet</v>
      </c>
      <c r="H93" s="6" t="str">
        <v>Business Services</v>
      </c>
      <c r="I93" s="6" t="str">
        <v>58821W</v>
      </c>
      <c r="J93" s="6" t="str">
        <v>Merchant Planet</v>
      </c>
      <c r="K93" s="6" t="str">
        <v>Merchant Planet</v>
      </c>
      <c r="L93" s="7">
        <f>=DATE(1998,6,22)</f>
        <v>35967.99949074074</v>
      </c>
      <c r="M93" s="7">
        <f>=DATE(1998,6,22)</f>
        <v>35967.99949074074</v>
      </c>
      <c r="X93" s="6" t="str">
        <v>Internet Services &amp; Software</v>
      </c>
      <c r="Y93" s="6" t="str">
        <v>Internet Services &amp; Software</v>
      </c>
      <c r="Z93" s="6" t="str">
        <v>Internet Services &amp; Software</v>
      </c>
      <c r="AH93" s="6" t="str">
        <v>False</v>
      </c>
      <c r="AI93" s="6" t="str">
        <v>1998</v>
      </c>
      <c r="AJ93" s="6" t="str">
        <v>Completed</v>
      </c>
      <c r="AM93" s="6" t="str">
        <v>Not Applicable</v>
      </c>
      <c r="AO93" s="6" t="str">
        <v>US - LinkExchange(TM) Inc, a unit of Microsoft Corp, acquired Merchant Planet, a provider of e-commerce services. Terms were not disclosed.</v>
      </c>
    </row>
    <row r="94">
      <c r="A94" s="6" t="str">
        <v>85208C</v>
      </c>
      <c r="B94" s="6" t="str">
        <v>United States</v>
      </c>
      <c r="C94" s="6" t="str">
        <v>Spruce Technologies Inc(Japan Information Processing Service Co)</v>
      </c>
      <c r="D94" s="6" t="str">
        <v>Japan Information Processing Service Co Ltd</v>
      </c>
      <c r="F94" s="6" t="str">
        <v>United States</v>
      </c>
      <c r="G94" s="6" t="str">
        <v>Cadent-DVD Encoding Business</v>
      </c>
      <c r="H94" s="6" t="str">
        <v>Communications Equipment</v>
      </c>
      <c r="I94" s="6" t="str">
        <v>12549Q</v>
      </c>
      <c r="J94" s="6" t="str">
        <v>Cadent LLC</v>
      </c>
      <c r="K94" s="6" t="str">
        <v>Cadent LLC</v>
      </c>
      <c r="L94" s="7">
        <f>=DATE(1998,6,30)</f>
        <v>35975.99949074074</v>
      </c>
      <c r="M94" s="7">
        <f>=DATE(1998,6,30)</f>
        <v>35975.99949074074</v>
      </c>
      <c r="W94" s="6" t="str">
        <v>Other Software (inq. Games)</v>
      </c>
      <c r="X94" s="6" t="str">
        <v>Data Commun(Exclude networking;Microwave Communications</v>
      </c>
      <c r="Y94" s="6" t="str">
        <v>Microwave Communications;Data Commun(Exclude networking</v>
      </c>
      <c r="Z94" s="6" t="str">
        <v>Data Commun(Exclude networking;Microwave Communications</v>
      </c>
      <c r="AA94" s="6" t="str">
        <v>Data Processing Services</v>
      </c>
      <c r="AB94" s="6" t="str">
        <v>Data Processing Services</v>
      </c>
      <c r="AH94" s="6" t="str">
        <v>False</v>
      </c>
      <c r="AI94" s="6" t="str">
        <v>1998</v>
      </c>
      <c r="AJ94" s="6" t="str">
        <v>Completed</v>
      </c>
      <c r="AM94" s="6" t="str">
        <v>Divestiture</v>
      </c>
      <c r="AO94" s="6" t="str">
        <v>Spruce Technologies Inc, a unit of Japan Information Processing Service acquired the DVD encoding business of Cadent.</v>
      </c>
    </row>
    <row r="95">
      <c r="A95" s="6" t="str">
        <v>927914</v>
      </c>
      <c r="B95" s="6" t="str">
        <v>United States</v>
      </c>
      <c r="C95" s="6" t="str">
        <v>Visio Corp</v>
      </c>
      <c r="D95" s="6" t="str">
        <v>Visio Corp</v>
      </c>
      <c r="F95" s="6" t="str">
        <v>United States</v>
      </c>
      <c r="G95" s="6" t="str">
        <v>Kaspia Systems Inc</v>
      </c>
      <c r="H95" s="6" t="str">
        <v>Prepackaged Software</v>
      </c>
      <c r="I95" s="6" t="str">
        <v>48581J</v>
      </c>
      <c r="J95" s="6" t="str">
        <v>Kaspia Systems Inc</v>
      </c>
      <c r="K95" s="6" t="str">
        <v>Kaspia Systems Inc</v>
      </c>
      <c r="L95" s="7">
        <f>=DATE(1998,7,13)</f>
        <v>35988.99949074074</v>
      </c>
      <c r="M95" s="7">
        <f>=DATE(1998,7,13)</f>
        <v>35988.99949074074</v>
      </c>
      <c r="N95" s="8">
        <v>29.787</v>
      </c>
      <c r="O95" s="8">
        <v>29.787</v>
      </c>
      <c r="W95" s="6" t="str">
        <v>Applications Software(Business</v>
      </c>
      <c r="X95" s="6" t="str">
        <v>Applications Software(Business</v>
      </c>
      <c r="Y95" s="6" t="str">
        <v>Applications Software(Business</v>
      </c>
      <c r="Z95" s="6" t="str">
        <v>Applications Software(Business</v>
      </c>
      <c r="AA95" s="6" t="str">
        <v>Applications Software(Business</v>
      </c>
      <c r="AB95" s="6" t="str">
        <v>Applications Software(Business</v>
      </c>
      <c r="AC95" s="8">
        <v>29.787</v>
      </c>
      <c r="AD95" s="7">
        <f>=DATE(1998,7,13)</f>
        <v>35988.99949074074</v>
      </c>
      <c r="AF95" s="8" t="str">
        <v>29.79</v>
      </c>
      <c r="AG95" s="8" t="str">
        <v>29.79</v>
      </c>
      <c r="AH95" s="6" t="str">
        <v>False</v>
      </c>
      <c r="AI95" s="6" t="str">
        <v>1998</v>
      </c>
      <c r="AJ95" s="6" t="str">
        <v>Completed</v>
      </c>
      <c r="AM95" s="6" t="str">
        <v>Pooling of Interests;Stock Swap</v>
      </c>
      <c r="AO95" s="6" t="str">
        <v>Visio Corp (VC) acquired all the outstanding stock of Kaspia Systems Inc in exchange for 482,985 common shares valued at $29.787 mil. The value was based on VC's closing stock price of $49.25 on July 10, the last full trading day prior to the announcement. The transaction was accounted for as a pooling of interests.</v>
      </c>
    </row>
    <row r="96">
      <c r="A96" s="6" t="str">
        <v>023135</v>
      </c>
      <c r="B96" s="6" t="str">
        <v>United States</v>
      </c>
      <c r="C96" s="6" t="str">
        <v>Amazon.com Inc</v>
      </c>
      <c r="D96" s="6" t="str">
        <v>Amazon.com Inc</v>
      </c>
      <c r="F96" s="6" t="str">
        <v>United States</v>
      </c>
      <c r="G96" s="6" t="str">
        <v>Junglee Corp</v>
      </c>
      <c r="H96" s="6" t="str">
        <v>Business Services</v>
      </c>
      <c r="I96" s="6" t="str">
        <v>48187R</v>
      </c>
      <c r="J96" s="6" t="str">
        <v>Junglee Corp</v>
      </c>
      <c r="K96" s="6" t="str">
        <v>Junglee Corp</v>
      </c>
      <c r="L96" s="7">
        <f>=DATE(1998,8,4)</f>
        <v>36010.99949074074</v>
      </c>
      <c r="M96" s="7">
        <f>=DATE(1998,8,12)</f>
        <v>36018.99949074074</v>
      </c>
      <c r="N96" s="8">
        <v>198.4</v>
      </c>
      <c r="O96" s="8">
        <v>173.2</v>
      </c>
      <c r="P96" s="8" t="str">
        <v>173.20</v>
      </c>
      <c r="R96" s="8">
        <v>-4.2</v>
      </c>
      <c r="S96" s="8">
        <v>1.216</v>
      </c>
      <c r="W96" s="6" t="str">
        <v>Primary Business not Hi-Tech</v>
      </c>
      <c r="X96" s="6" t="str">
        <v>Internet Services &amp; Software</v>
      </c>
      <c r="Y96" s="6" t="str">
        <v>Internet Services &amp; Software</v>
      </c>
      <c r="Z96" s="6" t="str">
        <v>Internet Services &amp; Software</v>
      </c>
      <c r="AA96" s="6" t="str">
        <v>Primary Business not Hi-Tech</v>
      </c>
      <c r="AB96" s="6" t="str">
        <v>Primary Business not Hi-Tech</v>
      </c>
      <c r="AC96" s="8">
        <v>173.2</v>
      </c>
      <c r="AD96" s="7">
        <f>=DATE(1998,8,4)</f>
        <v>36010.99949074074</v>
      </c>
      <c r="AF96" s="8" t="str">
        <v>173.20</v>
      </c>
      <c r="AG96" s="8" t="str">
        <v>198.40</v>
      </c>
      <c r="AH96" s="6" t="str">
        <v>True</v>
      </c>
      <c r="AI96" s="6" t="str">
        <v>1998</v>
      </c>
      <c r="AJ96" s="6" t="str">
        <v>Completed</v>
      </c>
      <c r="AM96" s="6" t="str">
        <v>Stock Swap</v>
      </c>
      <c r="AO96" s="6" t="str">
        <v>Amazon.com Inc (Amazon) agreed to acquire all the outstanding stock of Junglee Corp in exchange for 1.6 mil common shares valued at $173.2 mil. The shares were valued based on Amazon's closing stock price of $108.25 on August 3, the last full trading day prior to the announcement.</v>
      </c>
    </row>
    <row r="97">
      <c r="A97" s="6" t="str">
        <v>023135</v>
      </c>
      <c r="B97" s="6" t="str">
        <v>United States</v>
      </c>
      <c r="C97" s="6" t="str">
        <v>Amazon.com Inc</v>
      </c>
      <c r="D97" s="6" t="str">
        <v>Amazon.com Inc</v>
      </c>
      <c r="F97" s="6" t="str">
        <v>United States</v>
      </c>
      <c r="G97" s="6" t="str">
        <v>PlanetAll</v>
      </c>
      <c r="H97" s="6" t="str">
        <v>Prepackaged Software</v>
      </c>
      <c r="I97" s="6" t="str">
        <v>72704J</v>
      </c>
      <c r="J97" s="6" t="str">
        <v>PlanetAll</v>
      </c>
      <c r="K97" s="6" t="str">
        <v>PlanetAll</v>
      </c>
      <c r="L97" s="7">
        <f>=DATE(1998,8,4)</f>
        <v>36010.99949074074</v>
      </c>
      <c r="M97" s="7">
        <f>=DATE(1998,8,27)</f>
        <v>36033.99949074074</v>
      </c>
      <c r="N97" s="8">
        <v>101.8</v>
      </c>
      <c r="O97" s="8">
        <v>86.6</v>
      </c>
      <c r="W97" s="6" t="str">
        <v>Primary Business not Hi-Tech</v>
      </c>
      <c r="X97" s="6" t="str">
        <v>Applications Software(Home)</v>
      </c>
      <c r="Y97" s="6" t="str">
        <v>Applications Software(Home)</v>
      </c>
      <c r="Z97" s="6" t="str">
        <v>Applications Software(Home)</v>
      </c>
      <c r="AA97" s="6" t="str">
        <v>Primary Business not Hi-Tech</v>
      </c>
      <c r="AB97" s="6" t="str">
        <v>Primary Business not Hi-Tech</v>
      </c>
      <c r="AC97" s="8">
        <v>86.6</v>
      </c>
      <c r="AD97" s="7">
        <f>=DATE(1998,8,4)</f>
        <v>36010.99949074074</v>
      </c>
      <c r="AF97" s="8" t="str">
        <v>86.60</v>
      </c>
      <c r="AG97" s="8" t="str">
        <v>101.80</v>
      </c>
      <c r="AH97" s="6" t="str">
        <v>False</v>
      </c>
      <c r="AI97" s="6" t="str">
        <v>1998</v>
      </c>
      <c r="AJ97" s="6" t="str">
        <v>Completed</v>
      </c>
      <c r="AM97" s="6" t="str">
        <v>Stock Swap</v>
      </c>
      <c r="AO97" s="6" t="str">
        <v>Amazon.com Inc (Amazon) acquired all the outstanding common stock of PlanetAll in exchange for 800,000 common share valued at $86.6 mil. The shares were valued based on Amazon's closing stock price of $108.25 on August 3, the last full trading day prior to the announcement.</v>
      </c>
    </row>
    <row r="98">
      <c r="A98" s="6" t="str">
        <v>594918</v>
      </c>
      <c r="B98" s="6" t="str">
        <v>United States</v>
      </c>
      <c r="C98" s="6" t="str">
        <v>Microsoft Corp</v>
      </c>
      <c r="D98" s="6" t="str">
        <v>Microsoft Corp</v>
      </c>
      <c r="F98" s="6" t="str">
        <v>United States</v>
      </c>
      <c r="G98" s="6" t="str">
        <v>Valence Research Inc</v>
      </c>
      <c r="H98" s="6" t="str">
        <v>Prepackaged Software</v>
      </c>
      <c r="I98" s="6" t="str">
        <v>91891J</v>
      </c>
      <c r="J98" s="6" t="str">
        <v>Valence Research Inc</v>
      </c>
      <c r="K98" s="6" t="str">
        <v>Valence Research Inc</v>
      </c>
      <c r="L98" s="7">
        <f>=DATE(1998,8,25)</f>
        <v>36031.99949074074</v>
      </c>
      <c r="M98" s="7">
        <f>=DATE(1998,8,25)</f>
        <v>36031.99949074074</v>
      </c>
      <c r="W98" s="6" t="str">
        <v>Monitors/Terminals;Applications Software(Business;Other Peripherals;Operating Systems;Internet Services &amp; Software;Computer Consulting Services</v>
      </c>
      <c r="X98" s="6" t="str">
        <v>Internet Services &amp; Software;Communication/Network Software</v>
      </c>
      <c r="Y98" s="6" t="str">
        <v>Internet Services &amp; Software;Communication/Network Software</v>
      </c>
      <c r="Z98" s="6" t="str">
        <v>Internet Services &amp; Software;Communication/Network Software</v>
      </c>
      <c r="AA98" s="6" t="str">
        <v>Operating Systems;Applications Software(Business;Monitors/Terminals;Computer Consulting Services;Internet Services &amp; Software;Other Peripherals</v>
      </c>
      <c r="AB98" s="6" t="str">
        <v>Internet Services &amp; Software;Applications Software(Business;Other Peripherals;Monitors/Terminals;Computer Consulting Services;Operating Systems</v>
      </c>
      <c r="AH98" s="6" t="str">
        <v>True</v>
      </c>
      <c r="AI98" s="6" t="str">
        <v>1998</v>
      </c>
      <c r="AJ98" s="6" t="str">
        <v>Completed</v>
      </c>
      <c r="AM98" s="6" t="str">
        <v>Not Applicable</v>
      </c>
      <c r="AO98" s="6" t="str">
        <v>Microsoft Corp acquired Valence Research Inc. Terms were not disclosed.</v>
      </c>
    </row>
    <row r="99">
      <c r="A99" s="6" t="str">
        <v>594918</v>
      </c>
      <c r="B99" s="6" t="str">
        <v>United States</v>
      </c>
      <c r="C99" s="6" t="str">
        <v>Microsoft Corp</v>
      </c>
      <c r="D99" s="6" t="str">
        <v>Microsoft Corp</v>
      </c>
      <c r="F99" s="6" t="str">
        <v>United States</v>
      </c>
      <c r="G99" s="6" t="str">
        <v>3Com Corp-Palm Pilot Computing Business</v>
      </c>
      <c r="H99" s="6" t="str">
        <v>Computer and Office Equipment</v>
      </c>
      <c r="I99" s="6" t="str">
        <v>88561H</v>
      </c>
      <c r="J99" s="6" t="str">
        <v>3Com Corp</v>
      </c>
      <c r="K99" s="6" t="str">
        <v>3Com Corp</v>
      </c>
      <c r="L99" s="7">
        <f>=DATE(1998,10,16)</f>
        <v>36083.99949074074</v>
      </c>
      <c r="W99" s="6" t="str">
        <v>Applications Software(Business;Other Peripherals;Operating Systems;Computer Consulting Services;Monitors/Terminals;Internet Services &amp; Software</v>
      </c>
      <c r="X99" s="6" t="str">
        <v>Portable Computers</v>
      </c>
      <c r="Y99" s="6" t="str">
        <v>Other Peripherals;Other Telecommunications Equip;Telephone Interconnect Equip;Data Commun(Exclude networking</v>
      </c>
      <c r="Z99" s="6" t="str">
        <v>Telephone Interconnect Equip;Data Commun(Exclude networking;Other Telecommunications Equip;Other Peripherals</v>
      </c>
      <c r="AA99" s="6" t="str">
        <v>Computer Consulting Services;Monitors/Terminals;Operating Systems;Other Peripherals;Internet Services &amp; Software;Applications Software(Business</v>
      </c>
      <c r="AB99" s="6" t="str">
        <v>Monitors/Terminals;Operating Systems;Internet Services &amp; Software;Other Peripherals;Computer Consulting Services;Applications Software(Business</v>
      </c>
      <c r="AH99" s="6" t="str">
        <v>False</v>
      </c>
      <c r="AJ99" s="6" t="str">
        <v>Dismissed Rumor</v>
      </c>
      <c r="AM99" s="6" t="str">
        <v>Divestiture;Rumored Deal</v>
      </c>
      <c r="AO99" s="6" t="str">
        <v>Microsoft Corp dismissed rumors to acquire the Palm Pilot computing business of 3 Com Corp.</v>
      </c>
    </row>
    <row r="100">
      <c r="A100" s="6" t="str">
        <v>594918</v>
      </c>
      <c r="B100" s="6" t="str">
        <v>United States</v>
      </c>
      <c r="C100" s="6" t="str">
        <v>Microsoft Corp</v>
      </c>
      <c r="D100" s="6" t="str">
        <v>Microsoft Corp</v>
      </c>
      <c r="F100" s="6" t="str">
        <v>United States</v>
      </c>
      <c r="G100" s="6" t="str">
        <v>Qwest Communications Corp</v>
      </c>
      <c r="H100" s="6" t="str">
        <v>Telecommunications</v>
      </c>
      <c r="I100" s="6" t="str">
        <v>749121</v>
      </c>
      <c r="J100" s="6" t="str">
        <v>Anschutz Exploration Corp</v>
      </c>
      <c r="K100" s="6" t="str">
        <v>Anschutz Exploration Corp</v>
      </c>
      <c r="L100" s="7">
        <f>=DATE(1998,12,14)</f>
        <v>36142.99949074074</v>
      </c>
      <c r="M100" s="7">
        <f>=DATE(1998,12,14)</f>
        <v>36142.99949074074</v>
      </c>
      <c r="N100" s="8">
        <v>200</v>
      </c>
      <c r="O100" s="8">
        <v>200</v>
      </c>
      <c r="P100" s="8" t="str">
        <v>18,862.98</v>
      </c>
      <c r="R100" s="8">
        <v>14.523</v>
      </c>
      <c r="S100" s="8">
        <v>696.703</v>
      </c>
      <c r="T100" s="8">
        <v>766.191</v>
      </c>
      <c r="U100" s="8">
        <v>-356.824</v>
      </c>
      <c r="V100" s="8">
        <v>-36.488</v>
      </c>
      <c r="W100" s="6" t="str">
        <v>Applications Software(Business;Computer Consulting Services;Internet Services &amp; Software;Operating Systems;Monitors/Terminals;Other Peripherals</v>
      </c>
      <c r="X100" s="6" t="str">
        <v>Communication/Network Software;Telecommunications Equipment</v>
      </c>
      <c r="Y100" s="6" t="str">
        <v>Primary Business not Hi-Tech</v>
      </c>
      <c r="Z100" s="6" t="str">
        <v>Primary Business not Hi-Tech</v>
      </c>
      <c r="AA100" s="6" t="str">
        <v>Operating Systems;Applications Software(Business;Computer Consulting Services;Internet Services &amp; Software;Other Peripherals;Monitors/Terminals</v>
      </c>
      <c r="AB100" s="6" t="str">
        <v>Monitors/Terminals;Computer Consulting Services;Internet Services &amp; Software;Applications Software(Business;Other Peripherals;Operating Systems</v>
      </c>
      <c r="AC100" s="8">
        <v>200</v>
      </c>
      <c r="AD100" s="7">
        <f>=DATE(1998,12,14)</f>
        <v>36142.99949074074</v>
      </c>
      <c r="AE100" s="8">
        <v>15102</v>
      </c>
      <c r="AF100" s="8" t="str">
        <v>15,364.69</v>
      </c>
      <c r="AG100" s="8" t="str">
        <v>18,862.98</v>
      </c>
      <c r="AH100" s="6" t="str">
        <v>True</v>
      </c>
      <c r="AI100" s="6" t="str">
        <v>1998</v>
      </c>
      <c r="AJ100" s="6" t="str">
        <v>Completed</v>
      </c>
      <c r="AK100" s="8">
        <v>15102</v>
      </c>
      <c r="AL100" s="8">
        <v>4.444444</v>
      </c>
      <c r="AM100" s="6" t="str">
        <v>Privately Negotiated Purchase</v>
      </c>
      <c r="AO100" s="6" t="str">
        <v>Microsoft Corp acquired a 1.32% stake, or 4,444,444 common shares, in Qwest Communications International Inc, for $45 in cash per share, or a total value of $200 mil, in a privately negotiated transaction.</v>
      </c>
    </row>
    <row r="101">
      <c r="A101" s="6" t="str">
        <v>594918</v>
      </c>
      <c r="B101" s="6" t="str">
        <v>United States</v>
      </c>
      <c r="C101" s="6" t="str">
        <v>Microsoft Corp</v>
      </c>
      <c r="D101" s="6" t="str">
        <v>Microsoft Corp</v>
      </c>
      <c r="F101" s="6" t="str">
        <v>United States</v>
      </c>
      <c r="G101" s="6" t="str">
        <v>SkyTel Communications Inc</v>
      </c>
      <c r="H101" s="6" t="str">
        <v>Telecommunications</v>
      </c>
      <c r="I101" s="6" t="str">
        <v>83087Q</v>
      </c>
      <c r="J101" s="6" t="str">
        <v>SkyTel Communications Inc</v>
      </c>
      <c r="K101" s="6" t="str">
        <v>SkyTel Communications Inc</v>
      </c>
      <c r="L101" s="7">
        <f>=DATE(1999,1,6)</f>
        <v>36165.99949074074</v>
      </c>
      <c r="M101" s="7">
        <f>=DATE(1999,1,6)</f>
        <v>36165.99949074074</v>
      </c>
      <c r="R101" s="8">
        <v>-22.508</v>
      </c>
      <c r="S101" s="8">
        <v>518.294</v>
      </c>
      <c r="T101" s="8">
        <v>-32.1</v>
      </c>
      <c r="U101" s="8">
        <v>-64.557</v>
      </c>
      <c r="V101" s="8">
        <v>93.845</v>
      </c>
      <c r="W101" s="6" t="str">
        <v>Monitors/Terminals;Other Peripherals;Applications Software(Business;Internet Services &amp; Software;Computer Consulting Services;Operating Systems</v>
      </c>
      <c r="X101" s="6" t="str">
        <v>Cellular Communications</v>
      </c>
      <c r="Y101" s="6" t="str">
        <v>Cellular Communications</v>
      </c>
      <c r="Z101" s="6" t="str">
        <v>Cellular Communications</v>
      </c>
      <c r="AA101" s="6" t="str">
        <v>Internet Services &amp; Software;Computer Consulting Services;Other Peripherals;Operating Systems;Applications Software(Business;Monitors/Terminals</v>
      </c>
      <c r="AB101" s="6" t="str">
        <v>Other Peripherals;Operating Systems;Monitors/Terminals;Internet Services &amp; Software;Computer Consulting Services;Applications Software(Business</v>
      </c>
      <c r="AH101" s="6" t="str">
        <v>True</v>
      </c>
      <c r="AI101" s="6" t="str">
        <v>1999</v>
      </c>
      <c r="AJ101" s="6" t="str">
        <v>Completed</v>
      </c>
      <c r="AL101" s="8">
        <v>3.416618</v>
      </c>
      <c r="AM101" s="6" t="str">
        <v>Open Market Purchase</v>
      </c>
      <c r="AN101" s="8">
        <v>102.09</v>
      </c>
      <c r="AO101" s="6" t="str">
        <v>Microsoft Corp acquired a 5.7% stake, or 3,416,618 common shares, in SkyTel Communications Inc in open market transactions.</v>
      </c>
    </row>
    <row r="102">
      <c r="A102" s="6" t="str">
        <v>594918</v>
      </c>
      <c r="B102" s="6" t="str">
        <v>United States</v>
      </c>
      <c r="C102" s="6" t="str">
        <v>Microsoft Corp</v>
      </c>
      <c r="D102" s="6" t="str">
        <v>Microsoft Corp</v>
      </c>
      <c r="F102" s="6" t="str">
        <v>United States</v>
      </c>
      <c r="G102" s="6" t="str">
        <v>FASA Interactive Inc(Virtual Worlds Entertainment Group Inc)</v>
      </c>
      <c r="H102" s="6" t="str">
        <v>Prepackaged Software</v>
      </c>
      <c r="I102" s="6" t="str">
        <v>30298X</v>
      </c>
      <c r="J102" s="6" t="str">
        <v>Virtual Worlds Entertainment Group Inc</v>
      </c>
      <c r="K102" s="6" t="str">
        <v>Virtual Worlds Entertainment Group Inc</v>
      </c>
      <c r="L102" s="7">
        <f>=DATE(1999,1,7)</f>
        <v>36166.99949074074</v>
      </c>
      <c r="M102" s="7">
        <f>=DATE(1999,1,11)</f>
        <v>36170.99949074074</v>
      </c>
      <c r="W102" s="6" t="str">
        <v>Other Peripherals;Computer Consulting Services;Operating Systems;Applications Software(Business;Monitors/Terminals;Internet Services &amp; Software</v>
      </c>
      <c r="X102" s="6" t="str">
        <v>Other Software (inq. Games)</v>
      </c>
      <c r="Y102" s="6" t="str">
        <v>Primary Business not Hi-Tech</v>
      </c>
      <c r="Z102" s="6" t="str">
        <v>Primary Business not Hi-Tech</v>
      </c>
      <c r="AA102" s="6" t="str">
        <v>Internet Services &amp; Software;Other Peripherals;Computer Consulting Services;Operating Systems;Monitors/Terminals;Applications Software(Business</v>
      </c>
      <c r="AB102" s="6" t="str">
        <v>Applications Software(Business;Other Peripherals;Internet Services &amp; Software;Monitors/Terminals;Computer Consulting Services;Operating Systems</v>
      </c>
      <c r="AH102" s="6" t="str">
        <v>False</v>
      </c>
      <c r="AI102" s="6" t="str">
        <v>1999</v>
      </c>
      <c r="AJ102" s="6" t="str">
        <v>Completed</v>
      </c>
      <c r="AM102" s="6" t="str">
        <v>Divestiture</v>
      </c>
      <c r="AO102" s="6" t="str">
        <v>Microsoft Corp acquired FASA Interactive Inc, a unit of Virtual Worlds Entertainment Group Inc. Terms were not disclosed.</v>
      </c>
    </row>
    <row r="103">
      <c r="A103" s="6" t="str">
        <v>037833</v>
      </c>
      <c r="B103" s="6" t="str">
        <v>United States</v>
      </c>
      <c r="C103" s="6" t="str">
        <v>Apple Computer Inc</v>
      </c>
      <c r="D103" s="6" t="str">
        <v>Apple Computer Inc</v>
      </c>
      <c r="F103" s="6" t="str">
        <v>United Kingdom</v>
      </c>
      <c r="G103" s="6" t="str">
        <v>Xemplar Education Ltd(Acorn Computers Ltd,Apple Computer Inc)</v>
      </c>
      <c r="H103" s="6" t="str">
        <v>Prepackaged Software</v>
      </c>
      <c r="I103" s="6" t="str">
        <v>98397L</v>
      </c>
      <c r="J103" s="6" t="str">
        <v>Acorn Group PLC</v>
      </c>
      <c r="K103" s="6" t="str">
        <v>Acorn Computers Ltd(Acorn Group PLC)</v>
      </c>
      <c r="L103" s="7">
        <f>=DATE(1999,1,8)</f>
        <v>36167.99949074074</v>
      </c>
      <c r="M103" s="7">
        <f>=DATE(1999,1,8)</f>
        <v>36167.99949074074</v>
      </c>
      <c r="N103" s="8">
        <v>4.92538048564252</v>
      </c>
      <c r="O103" s="8">
        <v>4.92538048564252</v>
      </c>
      <c r="P103" s="8" t="str">
        <v>9.88</v>
      </c>
      <c r="W103" s="6" t="str">
        <v>Other Software (inq. Games);Disk Drives;Other Peripherals;Mainframes &amp; Super Computers;Portable Computers;Monitors/Terminals;Micro-Computers (PCs);Printers</v>
      </c>
      <c r="X103" s="6" t="str">
        <v>Other Software (inq. Games)</v>
      </c>
      <c r="Y103" s="6" t="str">
        <v>Micro-Computers (PCs)</v>
      </c>
      <c r="Z103" s="6" t="str">
        <v>Computer Consulting Services;Communication/Network Software;Internet Services &amp; Software</v>
      </c>
      <c r="AA103" s="6" t="str">
        <v>Other Software (inq. Games);Monitors/Terminals;Printers;Portable Computers;Mainframes &amp; Super Computers;Micro-Computers (PCs);Other Peripherals;Disk Drives</v>
      </c>
      <c r="AB103" s="6" t="str">
        <v>Other Software (inq. Games);Other Peripherals;Micro-Computers (PCs);Portable Computers;Printers;Disk Drives;Monitors/Terminals;Mainframes &amp; Super Computers</v>
      </c>
      <c r="AC103" s="8">
        <v>4.92538048564252</v>
      </c>
      <c r="AD103" s="7">
        <f>=DATE(1999,1,8)</f>
        <v>36167.99949074074</v>
      </c>
      <c r="AF103" s="8" t="str">
        <v>9.85</v>
      </c>
      <c r="AG103" s="8" t="str">
        <v>9.85</v>
      </c>
      <c r="AH103" s="6" t="str">
        <v>False</v>
      </c>
      <c r="AI103" s="6" t="str">
        <v>1999</v>
      </c>
      <c r="AJ103" s="6" t="str">
        <v>Completed</v>
      </c>
      <c r="AM103" s="6" t="str">
        <v>Divestiture</v>
      </c>
      <c r="AO103" s="6" t="str">
        <v>Apple Computer Inc acquired the remaining 50% interest, that it did not already own, in Xemplar Education Ltd from Acorn Computers Ltd, a unit of Acorn Group PLC, for 3 mil British pounds ($4.926 mil US) in cash.</v>
      </c>
    </row>
    <row r="104">
      <c r="A104" s="6" t="str">
        <v>594918</v>
      </c>
      <c r="B104" s="6" t="str">
        <v>United States</v>
      </c>
      <c r="C104" s="6" t="str">
        <v>Microsoft Corp</v>
      </c>
      <c r="D104" s="6" t="str">
        <v>Microsoft Corp</v>
      </c>
      <c r="F104" s="6" t="str">
        <v>United States</v>
      </c>
      <c r="G104" s="6" t="str">
        <v>Banyan Systems Inc</v>
      </c>
      <c r="H104" s="6" t="str">
        <v>Prepackaged Software</v>
      </c>
      <c r="I104" s="6" t="str">
        <v>066908</v>
      </c>
      <c r="J104" s="6" t="str">
        <v>Banyan Systems Inc</v>
      </c>
      <c r="K104" s="6" t="str">
        <v>Banyan Systems Inc</v>
      </c>
      <c r="L104" s="7">
        <f>=DATE(1999,1,11)</f>
        <v>36170.99949074074</v>
      </c>
      <c r="M104" s="7">
        <f>=DATE(1999,2,2)</f>
        <v>36192.99949074074</v>
      </c>
      <c r="N104" s="8">
        <v>10</v>
      </c>
      <c r="O104" s="8">
        <v>10</v>
      </c>
      <c r="P104" s="8" t="str">
        <v>117.28</v>
      </c>
      <c r="R104" s="8">
        <v>1.115</v>
      </c>
      <c r="S104" s="8">
        <v>75.222</v>
      </c>
      <c r="T104" s="8">
        <v>12.057</v>
      </c>
      <c r="U104" s="8">
        <v>-4.838</v>
      </c>
      <c r="V104" s="8">
        <v>1.205</v>
      </c>
      <c r="W104" s="6" t="str">
        <v>Operating Systems;Applications Software(Business;Monitors/Terminals;Internet Services &amp; Software;Computer Consulting Services;Other Peripherals</v>
      </c>
      <c r="X104" s="6" t="str">
        <v>Communication/Network Software</v>
      </c>
      <c r="Y104" s="6" t="str">
        <v>Communication/Network Software</v>
      </c>
      <c r="Z104" s="6" t="str">
        <v>Communication/Network Software</v>
      </c>
      <c r="AA104" s="6" t="str">
        <v>Computer Consulting Services;Operating Systems;Other Peripherals;Internet Services &amp; Software;Monitors/Terminals;Applications Software(Business</v>
      </c>
      <c r="AB104" s="6" t="str">
        <v>Internet Services &amp; Software;Operating Systems;Applications Software(Business;Computer Consulting Services;Other Peripherals;Monitors/Terminals</v>
      </c>
      <c r="AC104" s="8">
        <v>10</v>
      </c>
      <c r="AD104" s="7">
        <f>=DATE(1999,1,11)</f>
        <v>36170.99949074074</v>
      </c>
      <c r="AF104" s="8" t="str">
        <v>115.27</v>
      </c>
      <c r="AG104" s="8" t="str">
        <v>115.27</v>
      </c>
      <c r="AH104" s="6" t="str">
        <v>True</v>
      </c>
      <c r="AI104" s="6" t="str">
        <v>1999</v>
      </c>
      <c r="AJ104" s="6" t="str">
        <v>Completed</v>
      </c>
      <c r="AL104" s="8">
        <v>1.518791</v>
      </c>
      <c r="AM104" s="6" t="str">
        <v>Privately Negotiated Purchase</v>
      </c>
      <c r="AN104" s="8">
        <v>0.473</v>
      </c>
      <c r="AO104" s="6" t="str">
        <v>Microsoft Corp acquired a 7.5% stake, or 1.519 mil common shares, in Banyan Systems Inc for $10 mil, in a privately negotiated transaction.</v>
      </c>
    </row>
    <row r="105">
      <c r="A105" s="6" t="str">
        <v>594918</v>
      </c>
      <c r="B105" s="6" t="str">
        <v>United States</v>
      </c>
      <c r="C105" s="6" t="str">
        <v>Microsoft Corp</v>
      </c>
      <c r="D105" s="6" t="str">
        <v>Microsoft Corp</v>
      </c>
      <c r="F105" s="6" t="str">
        <v>Netherlands</v>
      </c>
      <c r="G105" s="6" t="str">
        <v>United Pan-Europe Communications NV</v>
      </c>
      <c r="H105" s="6" t="str">
        <v>Radio and Television Broadcasting Stations</v>
      </c>
      <c r="I105" s="6" t="str">
        <v>911300</v>
      </c>
      <c r="J105" s="6" t="str">
        <v>United International Holdings Inc</v>
      </c>
      <c r="K105" s="6" t="str">
        <v>United International Holdings Inc</v>
      </c>
      <c r="L105" s="7">
        <f>=DATE(1999,1,26)</f>
        <v>36185.99949074074</v>
      </c>
      <c r="N105" s="8">
        <v>299.948539377998</v>
      </c>
      <c r="O105" s="8">
        <v>299.948539377998</v>
      </c>
      <c r="R105" s="8">
        <v>-299.486033519553</v>
      </c>
      <c r="S105" s="8">
        <v>217.595105081139</v>
      </c>
      <c r="T105" s="8">
        <v>249.7363596</v>
      </c>
      <c r="U105" s="8">
        <v>-324.5832324</v>
      </c>
      <c r="V105" s="8">
        <v>38.6316</v>
      </c>
      <c r="W105" s="6" t="str">
        <v>Monitors/Terminals;Internet Services &amp; Software;Other Peripherals;Computer Consulting Services;Operating Systems;Applications Software(Business</v>
      </c>
      <c r="X105" s="6" t="str">
        <v>Internet Services &amp; Software;Satellite Communications</v>
      </c>
      <c r="Y105" s="6" t="str">
        <v>Satellite Communications</v>
      </c>
      <c r="Z105" s="6" t="str">
        <v>Satellite Communications</v>
      </c>
      <c r="AA105" s="6" t="str">
        <v>Applications Software(Business;Operating Systems;Internet Services &amp; Software;Computer Consulting Services;Other Peripherals;Monitors/Terminals</v>
      </c>
      <c r="AB105" s="6" t="str">
        <v>Computer Consulting Services;Operating Systems;Internet Services &amp; Software;Other Peripherals;Monitors/Terminals;Applications Software(Business</v>
      </c>
      <c r="AC105" s="8">
        <v>299.948539377998</v>
      </c>
      <c r="AD105" s="7">
        <f>=DATE(1999,1,27)</f>
        <v>36186.99949074074</v>
      </c>
      <c r="AH105" s="6" t="str">
        <v>True</v>
      </c>
      <c r="AJ105" s="6" t="str">
        <v>Pending</v>
      </c>
      <c r="AM105" s="6" t="str">
        <v>Privately Negotiated Purchase</v>
      </c>
      <c r="AN105" s="8">
        <v>361.815376429902</v>
      </c>
      <c r="AO105" s="6" t="str">
        <v>Microsoft Corp agreed to acquire an undisclosed minority stake in United Pan-Europe Communications NV (UPC), a unit of United International Holdings, for 571.996 mil Dutch guilders ($300 mil US), as part of UPC's forthcoming listing in February 1999. UPC planned to list 40 mil shares, or 32.5%, of its equity on the Amsterdam and Nasdaq stock exchanges.</v>
      </c>
    </row>
    <row r="106">
      <c r="A106" s="6" t="str">
        <v>594918</v>
      </c>
      <c r="B106" s="6" t="str">
        <v>United States</v>
      </c>
      <c r="C106" s="6" t="str">
        <v>Microsoft Corp</v>
      </c>
      <c r="D106" s="6" t="str">
        <v>Microsoft Corp</v>
      </c>
      <c r="F106" s="6" t="str">
        <v>Netherlands</v>
      </c>
      <c r="G106" s="6" t="str">
        <v>United Pan-Europe Communications NV</v>
      </c>
      <c r="H106" s="6" t="str">
        <v>Radio and Television Broadcasting Stations</v>
      </c>
      <c r="I106" s="6" t="str">
        <v>911300</v>
      </c>
      <c r="J106" s="6" t="str">
        <v>United International Holdings Inc</v>
      </c>
      <c r="K106" s="6" t="str">
        <v>United International Holdings Inc</v>
      </c>
      <c r="L106" s="7">
        <f>=DATE(1999,1,31)</f>
        <v>36190.99949074074</v>
      </c>
      <c r="M106" s="7">
        <f>=DATE(1999,1,31)</f>
        <v>36190.99949074074</v>
      </c>
      <c r="N106" s="8">
        <v>299.421207446676</v>
      </c>
      <c r="O106" s="8">
        <v>299.421207446676</v>
      </c>
      <c r="P106" s="8" t="str">
        <v>4,611.97</v>
      </c>
      <c r="R106" s="8">
        <v>-299.486033519553</v>
      </c>
      <c r="S106" s="8">
        <v>217.595105081139</v>
      </c>
      <c r="T106" s="8">
        <v>249.7363596</v>
      </c>
      <c r="U106" s="8">
        <v>-324.5832324</v>
      </c>
      <c r="V106" s="8">
        <v>38.6316</v>
      </c>
      <c r="W106" s="6" t="str">
        <v>Monitors/Terminals;Internet Services &amp; Software;Applications Software(Business;Other Peripherals;Operating Systems;Computer Consulting Services</v>
      </c>
      <c r="X106" s="6" t="str">
        <v>Internet Services &amp; Software;Satellite Communications</v>
      </c>
      <c r="Y106" s="6" t="str">
        <v>Satellite Communications</v>
      </c>
      <c r="Z106" s="6" t="str">
        <v>Satellite Communications</v>
      </c>
      <c r="AA106" s="6" t="str">
        <v>Applications Software(Business;Other Peripherals;Computer Consulting Services;Internet Services &amp; Software;Monitors/Terminals;Operating Systems</v>
      </c>
      <c r="AB106" s="6" t="str">
        <v>Other Peripherals;Applications Software(Business;Monitors/Terminals;Internet Services &amp; Software;Computer Consulting Services;Operating Systems</v>
      </c>
      <c r="AC106" s="8">
        <v>299.421207446676</v>
      </c>
      <c r="AD106" s="7">
        <f>=DATE(1999,9,8)</f>
        <v>36410.99949074074</v>
      </c>
      <c r="AF106" s="8" t="str">
        <v>4,456.21</v>
      </c>
      <c r="AG106" s="8" t="str">
        <v>4,456.21</v>
      </c>
      <c r="AH106" s="6" t="str">
        <v>True</v>
      </c>
      <c r="AI106" s="6" t="str">
        <v>1999</v>
      </c>
      <c r="AJ106" s="6" t="str">
        <v>Completed</v>
      </c>
      <c r="AM106" s="6" t="str">
        <v>Open Market Purchase</v>
      </c>
      <c r="AN106" s="8">
        <v>361.815376429902</v>
      </c>
      <c r="AO106" s="6" t="str">
        <v>NETHERLANDS. Microsoft Corp of the US acquired a 7.9% stake in United Pan-Europe Communications NV {UPC}, Amsterdam-based provider of telecommunications services, for an estimated 580.69 mil guilders ($300 mil US). UPC is majority owned by United GlobalCom of the US.</v>
      </c>
    </row>
    <row r="107">
      <c r="A107" s="6" t="str">
        <v>594918</v>
      </c>
      <c r="B107" s="6" t="str">
        <v>United States</v>
      </c>
      <c r="C107" s="6" t="str">
        <v>Microsoft Corp</v>
      </c>
      <c r="D107" s="6" t="str">
        <v>Microsoft Corp</v>
      </c>
      <c r="F107" s="6" t="str">
        <v>United States</v>
      </c>
      <c r="G107" s="6" t="str">
        <v>NTL Inc</v>
      </c>
      <c r="H107" s="6" t="str">
        <v>Radio and Television Broadcasting Stations</v>
      </c>
      <c r="I107" s="6" t="str">
        <v>629407</v>
      </c>
      <c r="J107" s="6" t="str">
        <v>NTL Inc</v>
      </c>
      <c r="K107" s="6" t="str">
        <v>NTL Inc</v>
      </c>
      <c r="L107" s="7">
        <f>=DATE(1999,2,1)</f>
        <v>36191.99949074074</v>
      </c>
      <c r="M107" s="7">
        <f>=DATE(1999,2,1)</f>
        <v>36191.99949074074</v>
      </c>
      <c r="N107" s="8">
        <v>500</v>
      </c>
      <c r="O107" s="8">
        <v>500</v>
      </c>
      <c r="P107" s="8" t="str">
        <v>13,848.17</v>
      </c>
      <c r="R107" s="8">
        <v>-503.927</v>
      </c>
      <c r="S107" s="8">
        <v>747.015</v>
      </c>
      <c r="T107" s="8">
        <v>2458.457</v>
      </c>
      <c r="U107" s="8">
        <v>-1802.607</v>
      </c>
      <c r="V107" s="8">
        <v>-18.943</v>
      </c>
      <c r="W107" s="6" t="str">
        <v>Operating Systems;Monitors/Terminals;Applications Software(Business;Internet Services &amp; Software;Computer Consulting Services;Other Peripherals</v>
      </c>
      <c r="X107" s="6" t="str">
        <v>Internet Services &amp; Software;Communication/Network Software</v>
      </c>
      <c r="Y107" s="6" t="str">
        <v>Communication/Network Software;Internet Services &amp; Software</v>
      </c>
      <c r="Z107" s="6" t="str">
        <v>Communication/Network Software;Internet Services &amp; Software</v>
      </c>
      <c r="AA107" s="6" t="str">
        <v>Operating Systems;Applications Software(Business;Internet Services &amp; Software;Computer Consulting Services;Other Peripherals;Monitors/Terminals</v>
      </c>
      <c r="AB107" s="6" t="str">
        <v>Other Peripherals;Applications Software(Business;Computer Consulting Services;Operating Systems;Internet Services &amp; Software;Monitors/Terminals</v>
      </c>
      <c r="AC107" s="8">
        <v>500</v>
      </c>
      <c r="AD107" s="7">
        <f>=DATE(1999,2,1)</f>
        <v>36191.99949074074</v>
      </c>
      <c r="AF107" s="8" t="str">
        <v>13,848.17</v>
      </c>
      <c r="AG107" s="8" t="str">
        <v>13,848.17</v>
      </c>
      <c r="AH107" s="6" t="str">
        <v>True</v>
      </c>
      <c r="AI107" s="6" t="str">
        <v>1999</v>
      </c>
      <c r="AJ107" s="6" t="str">
        <v>Completed</v>
      </c>
      <c r="AL107" s="8">
        <v>2.173061</v>
      </c>
      <c r="AM107" s="6" t="str">
        <v>Open Market Purchase</v>
      </c>
      <c r="AN107" s="8">
        <v>725.028</v>
      </c>
      <c r="AO107" s="6" t="str">
        <v>Microsoft Corp acquired a 5.25% stake, or 2,173,061 common shares, in NTL Inc, for $500 mil in cash in open market transactions.</v>
      </c>
    </row>
    <row r="108">
      <c r="A108" s="6" t="str">
        <v>927914</v>
      </c>
      <c r="B108" s="6" t="str">
        <v>United States</v>
      </c>
      <c r="C108" s="6" t="str">
        <v>Visio Corp</v>
      </c>
      <c r="D108" s="6" t="str">
        <v>Visio Corp</v>
      </c>
      <c r="F108" s="6" t="str">
        <v>United States</v>
      </c>
      <c r="G108" s="6" t="str">
        <v>Visio Corp</v>
      </c>
      <c r="H108" s="6" t="str">
        <v>Prepackaged Software</v>
      </c>
      <c r="I108" s="6" t="str">
        <v>927914</v>
      </c>
      <c r="J108" s="6" t="str">
        <v>Visio Corp</v>
      </c>
      <c r="K108" s="6" t="str">
        <v>Visio Corp</v>
      </c>
      <c r="L108" s="7">
        <f>=DATE(1999,2,2)</f>
        <v>36192.99949074074</v>
      </c>
      <c r="N108" s="8">
        <v>49.5</v>
      </c>
      <c r="O108" s="8">
        <v>49.5</v>
      </c>
      <c r="P108" s="8" t="str">
        <v>638.21</v>
      </c>
      <c r="R108" s="8">
        <v>28.108</v>
      </c>
      <c r="S108" s="8">
        <v>165.995</v>
      </c>
      <c r="T108" s="8">
        <v>5.643</v>
      </c>
      <c r="U108" s="8">
        <v>-30.096</v>
      </c>
      <c r="V108" s="8">
        <v>30.856</v>
      </c>
      <c r="W108" s="6" t="str">
        <v>Applications Software(Business</v>
      </c>
      <c r="X108" s="6" t="str">
        <v>Applications Software(Business</v>
      </c>
      <c r="Y108" s="6" t="str">
        <v>Applications Software(Business</v>
      </c>
      <c r="Z108" s="6" t="str">
        <v>Applications Software(Business</v>
      </c>
      <c r="AA108" s="6" t="str">
        <v>Applications Software(Business</v>
      </c>
      <c r="AB108" s="6" t="str">
        <v>Applications Software(Business</v>
      </c>
      <c r="AC108" s="8">
        <v>49.5</v>
      </c>
      <c r="AD108" s="7">
        <f>=DATE(1999,2,2)</f>
        <v>36192.99949074074</v>
      </c>
      <c r="AE108" s="8">
        <v>740.443176</v>
      </c>
      <c r="AF108" s="8" t="str">
        <v>631.43</v>
      </c>
      <c r="AH108" s="6" t="str">
        <v>True</v>
      </c>
      <c r="AJ108" s="6" t="str">
        <v>Intent Withdrawn</v>
      </c>
      <c r="AK108" s="8">
        <v>740.443176</v>
      </c>
      <c r="AL108" s="8">
        <v>2</v>
      </c>
      <c r="AM108" s="6" t="str">
        <v>Repurchase;Privately Negotiated Purchase;Open Market Purchase</v>
      </c>
      <c r="AN108" s="8">
        <v>4.609</v>
      </c>
      <c r="AO108" s="6" t="str">
        <v>In February 1999, Visio Corp's (VC) board terminated its repurchase program of up to 2 mil common shares, or about 6.69% of the company's common stock outstanding, in open market or privately negotiated transactions. Based on VC's closing stock price of $24.75 on February 01, the last full trading day prior to the announcement of the board's approval, the buyback had an indicated value of $49.5 mil.</v>
      </c>
    </row>
    <row r="109">
      <c r="A109" s="6" t="str">
        <v>023135</v>
      </c>
      <c r="B109" s="6" t="str">
        <v>United States</v>
      </c>
      <c r="C109" s="6" t="str">
        <v>Amazon.com Inc</v>
      </c>
      <c r="D109" s="6" t="str">
        <v>Amazon.com Inc</v>
      </c>
      <c r="F109" s="6" t="str">
        <v>United States</v>
      </c>
      <c r="G109" s="6" t="str">
        <v>GeoWorks Inc</v>
      </c>
      <c r="H109" s="6" t="str">
        <v>Prepackaged Software</v>
      </c>
      <c r="I109" s="6" t="str">
        <v>373692</v>
      </c>
      <c r="J109" s="6" t="str">
        <v>GeoWorks Inc</v>
      </c>
      <c r="K109" s="6" t="str">
        <v>GeoWorks Inc</v>
      </c>
      <c r="L109" s="7">
        <f>=DATE(1999,2,16)</f>
        <v>36206.99949074074</v>
      </c>
      <c r="M109" s="7">
        <f>=DATE(2000,2,1)</f>
        <v>36556.99949074074</v>
      </c>
      <c r="N109" s="8">
        <v>5</v>
      </c>
      <c r="O109" s="8">
        <v>5</v>
      </c>
      <c r="P109" s="8" t="str">
        <v>52.18</v>
      </c>
      <c r="R109" s="8">
        <v>-14.869</v>
      </c>
      <c r="S109" s="8">
        <v>12.917</v>
      </c>
      <c r="T109" s="8">
        <v>1.328</v>
      </c>
      <c r="U109" s="8">
        <v>17.989</v>
      </c>
      <c r="V109" s="8">
        <v>-16.906</v>
      </c>
      <c r="W109" s="6" t="str">
        <v>Primary Business not Hi-Tech</v>
      </c>
      <c r="X109" s="6" t="str">
        <v>Applications Software(Home);Applications Software(Business</v>
      </c>
      <c r="Y109" s="6" t="str">
        <v>Applications Software(Home);Applications Software(Business</v>
      </c>
      <c r="Z109" s="6" t="str">
        <v>Applications Software(Home);Applications Software(Business</v>
      </c>
      <c r="AA109" s="6" t="str">
        <v>Primary Business not Hi-Tech</v>
      </c>
      <c r="AB109" s="6" t="str">
        <v>Primary Business not Hi-Tech</v>
      </c>
      <c r="AC109" s="8">
        <v>5</v>
      </c>
      <c r="AD109" s="7">
        <f>=DATE(1999,2,16)</f>
        <v>36206.99949074074</v>
      </c>
      <c r="AF109" s="8" t="str">
        <v>52.18</v>
      </c>
      <c r="AG109" s="8" t="str">
        <v>52.18</v>
      </c>
      <c r="AH109" s="6" t="str">
        <v>True</v>
      </c>
      <c r="AI109" s="6" t="str">
        <v>2000</v>
      </c>
      <c r="AJ109" s="6" t="str">
        <v>Completed</v>
      </c>
      <c r="AL109" s="8">
        <v>1.130496</v>
      </c>
      <c r="AM109" s="6" t="str">
        <v>Privately Negotiated Purchase</v>
      </c>
      <c r="AO109" s="6" t="str">
        <v>Amazon.Com Inc acquired the 7% stake, or 1.13 mil common shares, in GeoWorks Inc for $5 mil, in a privately negotiated transaction.</v>
      </c>
    </row>
    <row r="110">
      <c r="A110" s="6" t="str">
        <v>023135</v>
      </c>
      <c r="B110" s="6" t="str">
        <v>United States</v>
      </c>
      <c r="C110" s="6" t="str">
        <v>Amazon.com Inc</v>
      </c>
      <c r="D110" s="6" t="str">
        <v>Amazon.com Inc</v>
      </c>
      <c r="F110" s="6" t="str">
        <v>United States</v>
      </c>
      <c r="G110" s="6" t="str">
        <v>Drugstore.com Inc</v>
      </c>
      <c r="H110" s="6" t="str">
        <v>Health Services</v>
      </c>
      <c r="I110" s="6" t="str">
        <v>262241</v>
      </c>
      <c r="J110" s="6" t="str">
        <v>Drugstore.com Inc</v>
      </c>
      <c r="K110" s="6" t="str">
        <v>Drugstore.com Inc</v>
      </c>
      <c r="L110" s="7">
        <f>=DATE(1999,2,24)</f>
        <v>36214.99949074074</v>
      </c>
      <c r="M110" s="7">
        <f>=DATE(1999,2,24)</f>
        <v>36214.99949074074</v>
      </c>
      <c r="S110" s="8">
        <v>0.5</v>
      </c>
      <c r="W110" s="6" t="str">
        <v>Primary Business not Hi-Tech</v>
      </c>
      <c r="X110" s="6" t="str">
        <v>Internet Services &amp; Software</v>
      </c>
      <c r="Y110" s="6" t="str">
        <v>Internet Services &amp; Software</v>
      </c>
      <c r="Z110" s="6" t="str">
        <v>Internet Services &amp; Software</v>
      </c>
      <c r="AA110" s="6" t="str">
        <v>Primary Business not Hi-Tech</v>
      </c>
      <c r="AB110" s="6" t="str">
        <v>Primary Business not Hi-Tech</v>
      </c>
      <c r="AH110" s="6" t="str">
        <v>True</v>
      </c>
      <c r="AI110" s="6" t="str">
        <v>1999</v>
      </c>
      <c r="AJ110" s="6" t="str">
        <v>Completed</v>
      </c>
      <c r="AM110" s="6" t="str">
        <v>Not Applicable</v>
      </c>
      <c r="AO110" s="6" t="str">
        <v>Amazon.com Inc acquired a 46% stake in Drugstore.com Inc. Terms were not disclosed.</v>
      </c>
    </row>
    <row r="111">
      <c r="A111" s="6" t="str">
        <v>594918</v>
      </c>
      <c r="B111" s="6" t="str">
        <v>United States</v>
      </c>
      <c r="C111" s="6" t="str">
        <v>Microsoft Corp</v>
      </c>
      <c r="D111" s="6" t="str">
        <v>Microsoft Corp</v>
      </c>
      <c r="F111" s="6" t="str">
        <v>United States</v>
      </c>
      <c r="G111" s="6" t="str">
        <v>Dialogic Corp</v>
      </c>
      <c r="H111" s="6" t="str">
        <v>Computer and Office Equipment</v>
      </c>
      <c r="I111" s="6" t="str">
        <v>252499</v>
      </c>
      <c r="J111" s="6" t="str">
        <v>Dialogic Corp</v>
      </c>
      <c r="K111" s="6" t="str">
        <v>Dialogic Corp</v>
      </c>
      <c r="L111" s="7">
        <f>=DATE(1999,3,2)</f>
        <v>36220.99949074074</v>
      </c>
      <c r="M111" s="7">
        <f>=DATE(1999,3,2)</f>
        <v>36220.99949074074</v>
      </c>
      <c r="N111" s="8">
        <v>24.2</v>
      </c>
      <c r="O111" s="8">
        <v>24.2</v>
      </c>
      <c r="P111" s="8" t="str">
        <v>399.79</v>
      </c>
      <c r="R111" s="8">
        <v>36.608</v>
      </c>
      <c r="S111" s="8">
        <v>293.525</v>
      </c>
      <c r="T111" s="8">
        <v>-7.845</v>
      </c>
      <c r="U111" s="8">
        <v>1.589</v>
      </c>
      <c r="V111" s="8">
        <v>27.819</v>
      </c>
      <c r="W111" s="6" t="str">
        <v>Operating Systems;Internet Services &amp; Software;Applications Software(Business;Computer Consulting Services;Monitors/Terminals;Other Peripherals</v>
      </c>
      <c r="X111" s="6" t="str">
        <v>Other Peripherals</v>
      </c>
      <c r="Y111" s="6" t="str">
        <v>Other Peripherals</v>
      </c>
      <c r="Z111" s="6" t="str">
        <v>Other Peripherals</v>
      </c>
      <c r="AA111" s="6" t="str">
        <v>Internet Services &amp; Software;Other Peripherals;Applications Software(Business;Monitors/Terminals;Operating Systems;Computer Consulting Services</v>
      </c>
      <c r="AB111" s="6" t="str">
        <v>Applications Software(Business;Other Peripherals;Computer Consulting Services;Operating Systems;Monitors/Terminals;Internet Services &amp; Software</v>
      </c>
      <c r="AC111" s="8">
        <v>24.2</v>
      </c>
      <c r="AD111" s="7">
        <f>=DATE(1999,3,5)</f>
        <v>36223.99949074074</v>
      </c>
      <c r="AF111" s="8" t="str">
        <v>399.79</v>
      </c>
      <c r="AG111" s="8" t="str">
        <v>399.79</v>
      </c>
      <c r="AH111" s="6" t="str">
        <v>True</v>
      </c>
      <c r="AI111" s="6" t="str">
        <v>1999</v>
      </c>
      <c r="AJ111" s="6" t="str">
        <v>Completed</v>
      </c>
      <c r="AL111" s="8">
        <v>0.845097</v>
      </c>
      <c r="AM111" s="6" t="str">
        <v>Privately Negotiated Purchase</v>
      </c>
      <c r="AO111" s="6" t="str">
        <v>Microsoft Corp acquired a 5% stake, or .845 mil common shares, in Dialogic Corp for $24.2 mil, in a privately negotiated transaction.</v>
      </c>
    </row>
    <row r="112">
      <c r="A112" s="6" t="str">
        <v>594918</v>
      </c>
      <c r="B112" s="6" t="str">
        <v>United States</v>
      </c>
      <c r="C112" s="6" t="str">
        <v>Microsoft Corp</v>
      </c>
      <c r="D112" s="6" t="str">
        <v>Microsoft Corp</v>
      </c>
      <c r="F112" s="6" t="str">
        <v>United States</v>
      </c>
      <c r="G112" s="6" t="str">
        <v>CompareNet Inc</v>
      </c>
      <c r="H112" s="6" t="str">
        <v>Business Services</v>
      </c>
      <c r="I112" s="6" t="str">
        <v>20391C</v>
      </c>
      <c r="J112" s="6" t="str">
        <v>CompareNet Inc</v>
      </c>
      <c r="K112" s="6" t="str">
        <v>CompareNet Inc</v>
      </c>
      <c r="L112" s="7">
        <f>=DATE(1999,3,4)</f>
        <v>36222.99949074074</v>
      </c>
      <c r="M112" s="7">
        <f>=DATE(1999,3,4)</f>
        <v>36222.99949074074</v>
      </c>
      <c r="W112" s="6" t="str">
        <v>Operating Systems;Monitors/Terminals;Applications Software(Business;Internet Services &amp; Software;Computer Consulting Services;Other Peripherals</v>
      </c>
      <c r="X112" s="6" t="str">
        <v>Internet Services &amp; Software</v>
      </c>
      <c r="Y112" s="6" t="str">
        <v>Internet Services &amp; Software</v>
      </c>
      <c r="Z112" s="6" t="str">
        <v>Internet Services &amp; Software</v>
      </c>
      <c r="AA112" s="6" t="str">
        <v>Operating Systems;Other Peripherals;Applications Software(Business;Monitors/Terminals;Computer Consulting Services;Internet Services &amp; Software</v>
      </c>
      <c r="AB112" s="6" t="str">
        <v>Operating Systems;Internet Services &amp; Software;Monitors/Terminals;Other Peripherals;Computer Consulting Services;Applications Software(Business</v>
      </c>
      <c r="AH112" s="6" t="str">
        <v>False</v>
      </c>
      <c r="AI112" s="6" t="str">
        <v>1999</v>
      </c>
      <c r="AJ112" s="6" t="str">
        <v>Completed</v>
      </c>
      <c r="AM112" s="6" t="str">
        <v>Not Applicable</v>
      </c>
      <c r="AO112" s="6" t="str">
        <v>Microsoft Corp acquired CompareNet Inc. Terms were not disclosed.</v>
      </c>
    </row>
    <row r="113">
      <c r="A113" s="6" t="str">
        <v>594918</v>
      </c>
      <c r="B113" s="6" t="str">
        <v>United States</v>
      </c>
      <c r="C113" s="6" t="str">
        <v>Microsoft Corp</v>
      </c>
      <c r="D113" s="6" t="str">
        <v>Microsoft Corp</v>
      </c>
      <c r="F113" s="6" t="str">
        <v>United States</v>
      </c>
      <c r="G113" s="6" t="str">
        <v>Rhythms NetConnections</v>
      </c>
      <c r="H113" s="6" t="str">
        <v>Telecommunications</v>
      </c>
      <c r="I113" s="6" t="str">
        <v>762430</v>
      </c>
      <c r="J113" s="6" t="str">
        <v>Rhythms NetConnections</v>
      </c>
      <c r="K113" s="6" t="str">
        <v>Rhythms NetConnections</v>
      </c>
      <c r="L113" s="7">
        <f>=DATE(1999,3,19)</f>
        <v>36237.99949074074</v>
      </c>
      <c r="N113" s="8">
        <v>30</v>
      </c>
      <c r="O113" s="8">
        <v>30</v>
      </c>
      <c r="R113" s="8">
        <v>-36.334</v>
      </c>
      <c r="S113" s="8">
        <v>0.528</v>
      </c>
      <c r="T113" s="8">
        <v>169.205</v>
      </c>
      <c r="U113" s="8">
        <v>-139.032</v>
      </c>
      <c r="V113" s="8">
        <v>-19.024</v>
      </c>
      <c r="W113" s="6" t="str">
        <v>Internet Services &amp; Software;Monitors/Terminals;Computer Consulting Services;Applications Software(Business;Other Peripherals;Operating Systems</v>
      </c>
      <c r="X113" s="6" t="str">
        <v>Internet Services &amp; Software</v>
      </c>
      <c r="Y113" s="6" t="str">
        <v>Internet Services &amp; Software</v>
      </c>
      <c r="Z113" s="6" t="str">
        <v>Internet Services &amp; Software</v>
      </c>
      <c r="AA113" s="6" t="str">
        <v>Operating Systems;Monitors/Terminals;Internet Services &amp; Software;Other Peripherals;Computer Consulting Services;Applications Software(Business</v>
      </c>
      <c r="AB113" s="6" t="str">
        <v>Operating Systems;Applications Software(Business;Monitors/Terminals;Other Peripherals;Computer Consulting Services;Internet Services &amp; Software</v>
      </c>
      <c r="AC113" s="8">
        <v>30</v>
      </c>
      <c r="AD113" s="7">
        <f>=DATE(1999,3,19)</f>
        <v>36237.99949074074</v>
      </c>
      <c r="AH113" s="6" t="str">
        <v>True</v>
      </c>
      <c r="AJ113" s="6" t="str">
        <v>Pending</v>
      </c>
      <c r="AM113" s="6" t="str">
        <v>Not Applicable</v>
      </c>
      <c r="AO113" s="6" t="str">
        <v>Microsoft Corp planned to acquire an undisclosed minority stake in Rhythms NetConnections for $30 mil.</v>
      </c>
    </row>
    <row r="114">
      <c r="A114" s="6" t="str">
        <v>594918</v>
      </c>
      <c r="B114" s="6" t="str">
        <v>United States</v>
      </c>
      <c r="C114" s="6" t="str">
        <v>Microsoft Corp</v>
      </c>
      <c r="D114" s="6" t="str">
        <v>Microsoft Corp</v>
      </c>
      <c r="F114" s="6" t="str">
        <v>Belgium</v>
      </c>
      <c r="G114" s="6" t="str">
        <v>Lernout &amp; Hauspie Speech Products NV</v>
      </c>
      <c r="H114" s="6" t="str">
        <v>Prepackaged Software</v>
      </c>
      <c r="I114" s="6" t="str">
        <v>B5628B</v>
      </c>
      <c r="J114" s="6" t="str">
        <v>Lernout &amp; Hauspie Speech Products NV</v>
      </c>
      <c r="K114" s="6" t="str">
        <v>Lernout &amp; Hauspie Speech Products NV</v>
      </c>
      <c r="L114" s="7">
        <f>=DATE(1999,3,22)</f>
        <v>36240.99949074074</v>
      </c>
      <c r="M114" s="7">
        <f>=DATE(1999,4,10)</f>
        <v>36259.99949074074</v>
      </c>
      <c r="N114" s="8">
        <v>15.0388359903162</v>
      </c>
      <c r="O114" s="8">
        <v>15.0388359903162</v>
      </c>
      <c r="P114" s="8" t="str">
        <v>1,057.93</v>
      </c>
      <c r="R114" s="8">
        <v>-55.5153902049121</v>
      </c>
      <c r="S114" s="8">
        <v>222.988984159279</v>
      </c>
      <c r="T114" s="8">
        <v>157.2241787</v>
      </c>
      <c r="U114" s="8">
        <v>-107.7462805</v>
      </c>
      <c r="V114" s="8">
        <v>13.5928549</v>
      </c>
      <c r="W114" s="6" t="str">
        <v>Internet Services &amp; Software;Applications Software(Business;Monitors/Terminals;Computer Consulting Services;Operating Systems;Other Peripherals</v>
      </c>
      <c r="X114" s="6" t="str">
        <v>Applications Software(Business;Communication/Network Software;Other Software (inq. Games);Applications Software(Home)</v>
      </c>
      <c r="Y114" s="6" t="str">
        <v>Applications Software(Business;Applications Software(Home);Communication/Network Software;Other Software (inq. Games)</v>
      </c>
      <c r="Z114" s="6" t="str">
        <v>Communication/Network Software;Applications Software(Home);Applications Software(Business;Other Software (inq. Games)</v>
      </c>
      <c r="AA114" s="6" t="str">
        <v>Monitors/Terminals;Computer Consulting Services;Other Peripherals;Applications Software(Business;Operating Systems;Internet Services &amp; Software</v>
      </c>
      <c r="AB114" s="6" t="str">
        <v>Applications Software(Business;Monitors/Terminals;Internet Services &amp; Software;Other Peripherals;Operating Systems;Computer Consulting Services</v>
      </c>
      <c r="AC114" s="8">
        <v>15.0388359903162</v>
      </c>
      <c r="AD114" s="7">
        <f>=DATE(1999,3,22)</f>
        <v>36240.99949074074</v>
      </c>
      <c r="AE114" s="8">
        <v>980.098990157404</v>
      </c>
      <c r="AF114" s="8" t="str">
        <v>983.93</v>
      </c>
      <c r="AG114" s="8" t="str">
        <v>974.82</v>
      </c>
      <c r="AH114" s="6" t="str">
        <v>True</v>
      </c>
      <c r="AI114" s="6" t="str">
        <v>1999</v>
      </c>
      <c r="AJ114" s="6" t="str">
        <v>Completed</v>
      </c>
      <c r="AK114" s="8">
        <v>980.098990157404</v>
      </c>
      <c r="AL114" s="8">
        <v>0.857142</v>
      </c>
      <c r="AM114" s="6" t="str">
        <v>Not Applicable</v>
      </c>
      <c r="AN114" s="8">
        <v>248.837407353582</v>
      </c>
      <c r="AO114" s="6" t="str">
        <v>Microsoft Corp increased its holding in Lernout &amp; Hauspie Speech Products to about 7% by acquiring a further 857,142 common stock at 649.038 Belgian francs ($17.50 US) per share, or a total value of 556.318 mil francs ($15 mil). Microsoft acquired the warrants in 1997.</v>
      </c>
    </row>
    <row r="115">
      <c r="A115" s="6" t="str">
        <v>594918</v>
      </c>
      <c r="B115" s="6" t="str">
        <v>United States</v>
      </c>
      <c r="C115" s="6" t="str">
        <v>Microsoft Corp</v>
      </c>
      <c r="D115" s="6" t="str">
        <v>Microsoft Corp</v>
      </c>
      <c r="F115" s="6" t="str">
        <v>United States</v>
      </c>
      <c r="G115" s="6" t="str">
        <v>Numinous Technologies Inc</v>
      </c>
      <c r="H115" s="6" t="str">
        <v>Prepackaged Software</v>
      </c>
      <c r="I115" s="6" t="str">
        <v>67114Z</v>
      </c>
      <c r="J115" s="6" t="str">
        <v>Numinous Technologies Inc</v>
      </c>
      <c r="K115" s="6" t="str">
        <v>Numinous Technologies Inc</v>
      </c>
      <c r="L115" s="7">
        <f>=DATE(1999,3,26)</f>
        <v>36244.99949074074</v>
      </c>
      <c r="M115" s="7">
        <f>=DATE(1999,3,26)</f>
        <v>36244.99949074074</v>
      </c>
      <c r="W115" s="6" t="str">
        <v>Operating Systems;Computer Consulting Services;Applications Software(Business;Monitors/Terminals;Internet Services &amp; Software;Other Peripherals</v>
      </c>
      <c r="X115" s="6" t="str">
        <v>Other Software (inq. Games)</v>
      </c>
      <c r="Y115" s="6" t="str">
        <v>Other Software (inq. Games)</v>
      </c>
      <c r="Z115" s="6" t="str">
        <v>Other Software (inq. Games)</v>
      </c>
      <c r="AA115" s="6" t="str">
        <v>Monitors/Terminals;Operating Systems;Computer Consulting Services;Internet Services &amp; Software;Applications Software(Business;Other Peripherals</v>
      </c>
      <c r="AB115" s="6" t="str">
        <v>Other Peripherals;Computer Consulting Services;Internet Services &amp; Software;Monitors/Terminals;Operating Systems;Applications Software(Business</v>
      </c>
      <c r="AH115" s="6" t="str">
        <v>False</v>
      </c>
      <c r="AI115" s="6" t="str">
        <v>1999</v>
      </c>
      <c r="AJ115" s="6" t="str">
        <v>Completed</v>
      </c>
      <c r="AM115" s="6" t="str">
        <v>Not Applicable</v>
      </c>
      <c r="AO115" s="6" t="str">
        <v>Microsoft Corp acquired Numinous Technologies Inc.</v>
      </c>
    </row>
    <row r="116">
      <c r="A116" s="6" t="str">
        <v>023135</v>
      </c>
      <c r="B116" s="6" t="str">
        <v>United States</v>
      </c>
      <c r="C116" s="6" t="str">
        <v>Amazon.com Inc</v>
      </c>
      <c r="D116" s="6" t="str">
        <v>Amazon.com Inc</v>
      </c>
      <c r="F116" s="6" t="str">
        <v>United States</v>
      </c>
      <c r="G116" s="6" t="str">
        <v>Pets.com Inc</v>
      </c>
      <c r="H116" s="6" t="str">
        <v>Miscellaneous Retail Trade</v>
      </c>
      <c r="I116" s="6" t="str">
        <v>71676K</v>
      </c>
      <c r="J116" s="6" t="str">
        <v>Pets.com Inc</v>
      </c>
      <c r="K116" s="6" t="str">
        <v>Pets.com Inc</v>
      </c>
      <c r="L116" s="7">
        <f>=DATE(1999,3,29)</f>
        <v>36247.99949074074</v>
      </c>
      <c r="W116" s="6" t="str">
        <v>Primary Business not Hi-Tech</v>
      </c>
      <c r="X116" s="6" t="str">
        <v>Internet Services &amp; Software</v>
      </c>
      <c r="Y116" s="6" t="str">
        <v>Internet Services &amp; Software</v>
      </c>
      <c r="Z116" s="6" t="str">
        <v>Internet Services &amp; Software</v>
      </c>
      <c r="AA116" s="6" t="str">
        <v>Primary Business not Hi-Tech</v>
      </c>
      <c r="AB116" s="6" t="str">
        <v>Primary Business not Hi-Tech</v>
      </c>
      <c r="AH116" s="6" t="str">
        <v>True</v>
      </c>
      <c r="AJ116" s="6" t="str">
        <v>Pending</v>
      </c>
      <c r="AM116" s="6" t="str">
        <v>Not Applicable</v>
      </c>
      <c r="AO116" s="6" t="str">
        <v>Amazon.com Inc agreed to acquire a 54% interest in Pets.com.</v>
      </c>
    </row>
    <row r="117">
      <c r="A117" s="6" t="str">
        <v>594918</v>
      </c>
      <c r="B117" s="6" t="str">
        <v>United States</v>
      </c>
      <c r="C117" s="6" t="str">
        <v>Microsoft Corp</v>
      </c>
      <c r="D117" s="6" t="str">
        <v>Microsoft Corp</v>
      </c>
      <c r="F117" s="6" t="str">
        <v>Portugal</v>
      </c>
      <c r="G117" s="6" t="str">
        <v>TV Cabo Portugal SA</v>
      </c>
      <c r="H117" s="6" t="str">
        <v>Radio and Television Broadcasting Stations</v>
      </c>
      <c r="I117" s="6" t="str">
        <v>87306Q</v>
      </c>
      <c r="J117" s="6" t="str">
        <v>Portugal Telecom SA</v>
      </c>
      <c r="K117" s="6" t="str">
        <v>PT Multimedia</v>
      </c>
      <c r="L117" s="7">
        <f>=DATE(1999,3,31)</f>
        <v>36249.99949074074</v>
      </c>
      <c r="M117" s="7">
        <f>=DATE(1999,4,1)</f>
        <v>36250.99949074074</v>
      </c>
      <c r="N117" s="8">
        <v>38.7120251381116</v>
      </c>
      <c r="O117" s="8">
        <v>38.7120251381116</v>
      </c>
      <c r="W117" s="6" t="str">
        <v>Internet Services &amp; Software;Applications Software(Business;Computer Consulting Services;Monitors/Terminals;Other Peripherals;Operating Systems</v>
      </c>
      <c r="X117" s="6" t="str">
        <v>Satellite Communications</v>
      </c>
      <c r="Y117" s="6" t="str">
        <v>Satellite Communications;Communication/Network Software;Internet Services &amp; Software</v>
      </c>
      <c r="Z117" s="6" t="str">
        <v>Internet Services &amp; Software;Cellular Communications</v>
      </c>
      <c r="AA117" s="6" t="str">
        <v>Computer Consulting Services;Other Peripherals;Operating Systems;Applications Software(Business;Monitors/Terminals;Internet Services &amp; Software</v>
      </c>
      <c r="AB117" s="6" t="str">
        <v>Other Peripherals;Operating Systems;Monitors/Terminals;Computer Consulting Services;Applications Software(Business;Internet Services &amp; Software</v>
      </c>
      <c r="AC117" s="8">
        <v>38.7120251381116</v>
      </c>
      <c r="AD117" s="7">
        <f>=DATE(1999,3,31)</f>
        <v>36249.99949074074</v>
      </c>
      <c r="AF117" s="8" t="str">
        <v>1,548.48</v>
      </c>
      <c r="AG117" s="8" t="str">
        <v>1,552.51</v>
      </c>
      <c r="AH117" s="6" t="str">
        <v>False</v>
      </c>
      <c r="AI117" s="6" t="str">
        <v>1999</v>
      </c>
      <c r="AJ117" s="6" t="str">
        <v>Completed</v>
      </c>
      <c r="AM117" s="6" t="str">
        <v>Not Applicable</v>
      </c>
      <c r="AO117" s="6" t="str">
        <v>Microsoft Corp acquired a 2.5% stake in TV Cabo Portugal, a unit of Portuguese state-owned Portugal Telecom SA for 7.209 bil Portuguese escudos (35.96 mil Euros/$38.60 mil US).</v>
      </c>
    </row>
    <row r="118">
      <c r="A118" s="6" t="str">
        <v>594918</v>
      </c>
      <c r="B118" s="6" t="str">
        <v>United States</v>
      </c>
      <c r="C118" s="6" t="str">
        <v>Microsoft Corp</v>
      </c>
      <c r="D118" s="6" t="str">
        <v>Microsoft Corp</v>
      </c>
      <c r="F118" s="6" t="str">
        <v>Japan</v>
      </c>
      <c r="G118" s="6" t="str">
        <v>CIS Corp</v>
      </c>
      <c r="H118" s="6" t="str">
        <v>Business Services</v>
      </c>
      <c r="I118" s="6" t="str">
        <v>12577C</v>
      </c>
      <c r="J118" s="6" t="str">
        <v>CIS Corp</v>
      </c>
      <c r="K118" s="6" t="str">
        <v>CIS Corp</v>
      </c>
      <c r="L118" s="7">
        <f>=DATE(1999,4,1)</f>
        <v>36250.99949074074</v>
      </c>
      <c r="R118" s="8">
        <v>0.402455830388693</v>
      </c>
      <c r="S118" s="8">
        <v>29.9636749116608</v>
      </c>
      <c r="W118" s="6" t="str">
        <v>Internet Services &amp; Software;Operating Systems;Monitors/Terminals;Applications Software(Business;Computer Consulting Services;Other Peripherals</v>
      </c>
      <c r="X118" s="6" t="str">
        <v>Computer Consulting Services</v>
      </c>
      <c r="Y118" s="6" t="str">
        <v>Computer Consulting Services</v>
      </c>
      <c r="Z118" s="6" t="str">
        <v>Computer Consulting Services</v>
      </c>
      <c r="AA118" s="6" t="str">
        <v>Monitors/Terminals;Internet Services &amp; Software;Operating Systems;Computer Consulting Services;Other Peripherals;Applications Software(Business</v>
      </c>
      <c r="AB118" s="6" t="str">
        <v>Applications Software(Business;Computer Consulting Services;Internet Services &amp; Software;Monitors/Terminals;Other Peripherals;Operating Systems</v>
      </c>
      <c r="AH118" s="6" t="str">
        <v>True</v>
      </c>
      <c r="AJ118" s="6" t="str">
        <v>Pending</v>
      </c>
      <c r="AM118" s="6" t="str">
        <v>Not Applicable</v>
      </c>
      <c r="AN118" s="8">
        <v>0.047234982332155</v>
      </c>
      <c r="AO118" s="6" t="str">
        <v>Microsoft Corp planned to acquire a 20% interest in CIS Corp.</v>
      </c>
    </row>
    <row r="119">
      <c r="A119" s="6" t="str">
        <v>594918</v>
      </c>
      <c r="B119" s="6" t="str">
        <v>United States</v>
      </c>
      <c r="C119" s="6" t="str">
        <v>Microsoft Corp</v>
      </c>
      <c r="D119" s="6" t="str">
        <v>Microsoft Corp</v>
      </c>
      <c r="F119" s="6" t="str">
        <v>United States</v>
      </c>
      <c r="G119" s="6" t="str">
        <v>Access Software Inc</v>
      </c>
      <c r="H119" s="6" t="str">
        <v>Prepackaged Software</v>
      </c>
      <c r="I119" s="6" t="str">
        <v>00458C</v>
      </c>
      <c r="J119" s="6" t="str">
        <v>Access Software Inc</v>
      </c>
      <c r="K119" s="6" t="str">
        <v>Access Software Inc</v>
      </c>
      <c r="L119" s="7">
        <f>=DATE(1999,4,20)</f>
        <v>36269.99949074074</v>
      </c>
      <c r="W119" s="6" t="str">
        <v>Operating Systems;Internet Services &amp; Software;Computer Consulting Services;Other Peripherals;Monitors/Terminals;Applications Software(Business</v>
      </c>
      <c r="X119" s="6" t="str">
        <v>Other Software (inq. Games)</v>
      </c>
      <c r="Y119" s="6" t="str">
        <v>Other Software (inq. Games)</v>
      </c>
      <c r="Z119" s="6" t="str">
        <v>Other Software (inq. Games)</v>
      </c>
      <c r="AA119" s="6" t="str">
        <v>Internet Services &amp; Software;Monitors/Terminals;Applications Software(Business;Computer Consulting Services;Operating Systems;Other Peripherals</v>
      </c>
      <c r="AB119" s="6" t="str">
        <v>Operating Systems;Other Peripherals;Applications Software(Business;Monitors/Terminals;Computer Consulting Services;Internet Services &amp; Software</v>
      </c>
      <c r="AH119" s="6" t="str">
        <v>False</v>
      </c>
      <c r="AJ119" s="6" t="str">
        <v>Pending</v>
      </c>
      <c r="AM119" s="6" t="str">
        <v>Not Applicable</v>
      </c>
      <c r="AO119" s="6" t="str">
        <v>Microsoft Corp planned to acquire Access Software Inc. Terms were not disclosed.</v>
      </c>
    </row>
    <row r="120">
      <c r="A120" s="6" t="str">
        <v>023135</v>
      </c>
      <c r="B120" s="6" t="str">
        <v>United States</v>
      </c>
      <c r="C120" s="6" t="str">
        <v>Amazon.com Inc</v>
      </c>
      <c r="D120" s="6" t="str">
        <v>Amazon.com Inc</v>
      </c>
      <c r="F120" s="6" t="str">
        <v>United States</v>
      </c>
      <c r="G120" s="6" t="str">
        <v>Accept.com Financial Services Corp</v>
      </c>
      <c r="H120" s="6" t="str">
        <v>Business Services</v>
      </c>
      <c r="I120" s="6" t="str">
        <v>00425L</v>
      </c>
      <c r="J120" s="6" t="str">
        <v>Accept.com Financial Services Corp</v>
      </c>
      <c r="K120" s="6" t="str">
        <v>Accept.com Financial Services Corp</v>
      </c>
      <c r="L120" s="7">
        <f>=DATE(1999,4,26)</f>
        <v>36275.99949074074</v>
      </c>
      <c r="M120" s="7">
        <f>=DATE(1999,6,9)</f>
        <v>36319.99949074074</v>
      </c>
      <c r="N120" s="8">
        <v>97.914</v>
      </c>
      <c r="O120" s="8">
        <v>183.54</v>
      </c>
      <c r="P120" s="8" t="str">
        <v>183.54</v>
      </c>
      <c r="R120" s="8">
        <v>-1.939</v>
      </c>
      <c r="W120" s="6" t="str">
        <v>Primary Business not Hi-Tech</v>
      </c>
      <c r="X120" s="6" t="str">
        <v>Internet Services &amp; Software</v>
      </c>
      <c r="Y120" s="6" t="str">
        <v>Internet Services &amp; Software</v>
      </c>
      <c r="Z120" s="6" t="str">
        <v>Internet Services &amp; Software</v>
      </c>
      <c r="AA120" s="6" t="str">
        <v>Primary Business not Hi-Tech</v>
      </c>
      <c r="AB120" s="6" t="str">
        <v>Primary Business not Hi-Tech</v>
      </c>
      <c r="AC120" s="8">
        <v>183.54</v>
      </c>
      <c r="AD120" s="7">
        <f>=DATE(1999,4,26)</f>
        <v>36275.99949074074</v>
      </c>
      <c r="AF120" s="8" t="str">
        <v>183.54</v>
      </c>
      <c r="AG120" s="8" t="str">
        <v>97.91</v>
      </c>
      <c r="AH120" s="6" t="str">
        <v>True</v>
      </c>
      <c r="AI120" s="6" t="str">
        <v>1999</v>
      </c>
      <c r="AJ120" s="6" t="str">
        <v>Completed</v>
      </c>
      <c r="AM120" s="6" t="str">
        <v>Stock Swap</v>
      </c>
      <c r="AO120" s="6" t="str">
        <v>Amazon.com Inc (AI) acquired all the outstanding stock of Accept.com Financial Services Corp in exchange for 877,657 common shares valued at $183.54 mil. The shares were valued based on AI's closing stock price of $209.125 on April 23, the last full trading day prior to the announcement.</v>
      </c>
    </row>
    <row r="121">
      <c r="A121" s="6" t="str">
        <v>023135</v>
      </c>
      <c r="B121" s="6" t="str">
        <v>United States</v>
      </c>
      <c r="C121" s="6" t="str">
        <v>Amazon.com Inc</v>
      </c>
      <c r="D121" s="6" t="str">
        <v>Amazon.com Inc</v>
      </c>
      <c r="F121" s="6" t="str">
        <v>United States</v>
      </c>
      <c r="G121" s="6" t="str">
        <v>Alexa Internet</v>
      </c>
      <c r="H121" s="6" t="str">
        <v>Business Services</v>
      </c>
      <c r="I121" s="6" t="str">
        <v>01483R</v>
      </c>
      <c r="J121" s="6" t="str">
        <v>Alexa Internet</v>
      </c>
      <c r="K121" s="6" t="str">
        <v>Alexa Internet</v>
      </c>
      <c r="L121" s="7">
        <f>=DATE(1999,4,26)</f>
        <v>36275.99949074074</v>
      </c>
      <c r="M121" s="7">
        <f>=DATE(1999,6,10)</f>
        <v>36320.99949074074</v>
      </c>
      <c r="N121" s="8">
        <v>249.083</v>
      </c>
      <c r="O121" s="8">
        <v>249.083</v>
      </c>
      <c r="P121" s="8" t="str">
        <v>249.08</v>
      </c>
      <c r="R121" s="8">
        <v>-4.992</v>
      </c>
      <c r="S121" s="8">
        <v>0.752</v>
      </c>
      <c r="W121" s="6" t="str">
        <v>Primary Business not Hi-Tech</v>
      </c>
      <c r="X121" s="6" t="str">
        <v>Internet Services &amp; Software</v>
      </c>
      <c r="Y121" s="6" t="str">
        <v>Internet Services &amp; Software</v>
      </c>
      <c r="Z121" s="6" t="str">
        <v>Internet Services &amp; Software</v>
      </c>
      <c r="AA121" s="6" t="str">
        <v>Primary Business not Hi-Tech</v>
      </c>
      <c r="AB121" s="6" t="str">
        <v>Primary Business not Hi-Tech</v>
      </c>
      <c r="AC121" s="8">
        <v>249.083</v>
      </c>
      <c r="AD121" s="7">
        <f>=DATE(1999,6,9)</f>
        <v>36319.99949074074</v>
      </c>
      <c r="AF121" s="8" t="str">
        <v>249.08</v>
      </c>
      <c r="AG121" s="8" t="str">
        <v>249.08</v>
      </c>
      <c r="AH121" s="6" t="str">
        <v>True</v>
      </c>
      <c r="AI121" s="6" t="str">
        <v>1999</v>
      </c>
      <c r="AJ121" s="6" t="str">
        <v>Completed</v>
      </c>
      <c r="AM121" s="6" t="str">
        <v>Stock Swap</v>
      </c>
      <c r="AO121" s="6" t="str">
        <v>Amazon.com Inc (AI) acquired all the outstanding stock of Alexa Internet in exchange for 2.185 mil AI common shares valued at $297.152 mil. The shares were valued based on AI's pre-split closing stock price of $136 on May 13, the last full trading day prior to the announcement of the exact terms.</v>
      </c>
    </row>
    <row r="122">
      <c r="A122" s="6" t="str">
        <v>023135</v>
      </c>
      <c r="B122" s="6" t="str">
        <v>United States</v>
      </c>
      <c r="C122" s="6" t="str">
        <v>Amazon.com Inc</v>
      </c>
      <c r="D122" s="6" t="str">
        <v>Amazon.com Inc</v>
      </c>
      <c r="F122" s="6" t="str">
        <v>United States</v>
      </c>
      <c r="G122" s="6" t="str">
        <v>Exchange.com</v>
      </c>
      <c r="H122" s="6" t="str">
        <v>Business Services</v>
      </c>
      <c r="I122" s="6" t="str">
        <v>30086Y</v>
      </c>
      <c r="J122" s="6" t="str">
        <v>Exchange.com</v>
      </c>
      <c r="K122" s="6" t="str">
        <v>Exchange.com</v>
      </c>
      <c r="L122" s="7">
        <f>=DATE(1999,4,26)</f>
        <v>36275.99949074074</v>
      </c>
      <c r="M122" s="7">
        <f>=DATE(1999,5,14)</f>
        <v>36293.99949074074</v>
      </c>
      <c r="N122" s="8">
        <v>182.788</v>
      </c>
      <c r="O122" s="8">
        <v>252.036</v>
      </c>
      <c r="P122" s="8" t="str">
        <v>252.04</v>
      </c>
      <c r="R122" s="8">
        <v>-0.429</v>
      </c>
      <c r="W122" s="6" t="str">
        <v>Primary Business not Hi-Tech</v>
      </c>
      <c r="X122" s="6" t="str">
        <v>Internet Services &amp; Software</v>
      </c>
      <c r="Y122" s="6" t="str">
        <v>Internet Services &amp; Software</v>
      </c>
      <c r="Z122" s="6" t="str">
        <v>Internet Services &amp; Software</v>
      </c>
      <c r="AA122" s="6" t="str">
        <v>Primary Business not Hi-Tech</v>
      </c>
      <c r="AB122" s="6" t="str">
        <v>Primary Business not Hi-Tech</v>
      </c>
      <c r="AC122" s="8">
        <v>252.036</v>
      </c>
      <c r="AD122" s="7">
        <f>=DATE(1999,4,26)</f>
        <v>36275.99949074074</v>
      </c>
      <c r="AF122" s="8" t="str">
        <v>252.04</v>
      </c>
      <c r="AG122" s="8" t="str">
        <v>182.79</v>
      </c>
      <c r="AH122" s="6" t="str">
        <v>True</v>
      </c>
      <c r="AI122" s="6" t="str">
        <v>1999</v>
      </c>
      <c r="AJ122" s="6" t="str">
        <v>Completed</v>
      </c>
      <c r="AM122" s="6" t="str">
        <v>Stock Swap</v>
      </c>
      <c r="AN122" s="8">
        <v>0.018</v>
      </c>
      <c r="AO122" s="6" t="str">
        <v>Amazon.com Inc (AI) acquired all the outstanding stock of Exchange.com for $252.036 mil. The consideration consisted of $4 mil in cash, 946,972 common shares valued at $198.036 mil, and up to $50 mil in profit-related payments. The shares were valued based on AI's closing stock price of $209.125 on April 23, the last full trading day prior to the announcement of the deal.</v>
      </c>
    </row>
    <row r="123">
      <c r="A123" s="6" t="str">
        <v>594918</v>
      </c>
      <c r="B123" s="6" t="str">
        <v>United States</v>
      </c>
      <c r="C123" s="6" t="str">
        <v>Microsoft Corp</v>
      </c>
      <c r="D123" s="6" t="str">
        <v>Microsoft Corp</v>
      </c>
      <c r="F123" s="6" t="str">
        <v>United States</v>
      </c>
      <c r="G123" s="6" t="str">
        <v>Jump Networks Inc</v>
      </c>
      <c r="H123" s="6" t="str">
        <v>Business Services</v>
      </c>
      <c r="I123" s="6" t="str">
        <v>48139R</v>
      </c>
      <c r="J123" s="6" t="str">
        <v>Jump Networks Inc</v>
      </c>
      <c r="K123" s="6" t="str">
        <v>Jump Networks Inc</v>
      </c>
      <c r="L123" s="7">
        <f>=DATE(1999,4,26)</f>
        <v>36275.99949074074</v>
      </c>
      <c r="M123" s="7">
        <f>=DATE(1999,4,30)</f>
        <v>36279.99949074074</v>
      </c>
      <c r="W123" s="6" t="str">
        <v>Other Peripherals;Monitors/Terminals;Applications Software(Business;Computer Consulting Services;Internet Services &amp; Software;Operating Systems</v>
      </c>
      <c r="X123" s="6" t="str">
        <v>Communication/Network Software;Internet Services &amp; Software</v>
      </c>
      <c r="Y123" s="6" t="str">
        <v>Internet Services &amp; Software;Communication/Network Software</v>
      </c>
      <c r="Z123" s="6" t="str">
        <v>Internet Services &amp; Software;Communication/Network Software</v>
      </c>
      <c r="AA123" s="6" t="str">
        <v>Applications Software(Business;Monitors/Terminals;Other Peripherals;Internet Services &amp; Software;Computer Consulting Services;Operating Systems</v>
      </c>
      <c r="AB123" s="6" t="str">
        <v>Monitors/Terminals;Operating Systems;Computer Consulting Services;Other Peripherals;Applications Software(Business;Internet Services &amp; Software</v>
      </c>
      <c r="AH123" s="6" t="str">
        <v>False</v>
      </c>
      <c r="AI123" s="6" t="str">
        <v>1999</v>
      </c>
      <c r="AJ123" s="6" t="str">
        <v>Completed</v>
      </c>
      <c r="AM123" s="6" t="str">
        <v>Not Applicable</v>
      </c>
      <c r="AO123" s="6" t="str">
        <v>Microsoft Corp acquired Jump Networks Inc. Terms were not disclosed.</v>
      </c>
    </row>
    <row r="124">
      <c r="A124" s="6" t="str">
        <v>594918</v>
      </c>
      <c r="B124" s="6" t="str">
        <v>United States</v>
      </c>
      <c r="C124" s="6" t="str">
        <v>Microsoft Corp</v>
      </c>
      <c r="D124" s="6" t="str">
        <v>Microsoft Corp</v>
      </c>
      <c r="F124" s="6" t="str">
        <v>United States</v>
      </c>
      <c r="G124" s="6" t="str">
        <v>Interactive Objects Inc-Digital Audio Player Technology</v>
      </c>
      <c r="H124" s="6" t="str">
        <v>Prepackaged Software</v>
      </c>
      <c r="I124" s="6" t="str">
        <v>45899F</v>
      </c>
      <c r="J124" s="6" t="str">
        <v>Asia Pacific Chemical Engineering Corp</v>
      </c>
      <c r="K124" s="6" t="str">
        <v>Interactive Objects Inc (Asia Pacific Chemical Engineering)</v>
      </c>
      <c r="L124" s="7">
        <f>=DATE(1999,4,27)</f>
        <v>36276.99949074074</v>
      </c>
      <c r="M124" s="7">
        <f>=DATE(1999,4,27)</f>
        <v>36276.99949074074</v>
      </c>
      <c r="W124" s="6" t="str">
        <v>Computer Consulting Services;Operating Systems;Monitors/Terminals;Other Peripherals;Applications Software(Business;Internet Services &amp; Software</v>
      </c>
      <c r="X124" s="6" t="str">
        <v>Other Software (inq. Games)</v>
      </c>
      <c r="Y124" s="6" t="str">
        <v>Other Telecommunications Equip;Data Commun(Exclude networking;Other Software (inq. Games);Communication/Network Software</v>
      </c>
      <c r="Z124" s="6" t="str">
        <v>Primary Business not Hi-Tech</v>
      </c>
      <c r="AA124" s="6" t="str">
        <v>Operating Systems;Internet Services &amp; Software;Applications Software(Business;Other Peripherals;Computer Consulting Services;Monitors/Terminals</v>
      </c>
      <c r="AB124" s="6" t="str">
        <v>Internet Services &amp; Software;Monitors/Terminals;Computer Consulting Services;Applications Software(Business;Other Peripherals;Operating Systems</v>
      </c>
      <c r="AH124" s="6" t="str">
        <v>False</v>
      </c>
      <c r="AI124" s="6" t="str">
        <v>1999</v>
      </c>
      <c r="AJ124" s="6" t="str">
        <v>Completed</v>
      </c>
      <c r="AM124" s="6" t="str">
        <v>Divestiture</v>
      </c>
      <c r="AO124" s="6" t="str">
        <v>Microsoft Corp acquired the digital audio player technology of Interactive Objects. Terms were not disclosed.</v>
      </c>
    </row>
    <row r="125">
      <c r="A125" s="6" t="str">
        <v>594918</v>
      </c>
      <c r="B125" s="6" t="str">
        <v>United States</v>
      </c>
      <c r="C125" s="6" t="str">
        <v>Microsoft Corp</v>
      </c>
      <c r="D125" s="6" t="str">
        <v>Microsoft Corp</v>
      </c>
      <c r="E125" s="6" t="str">
        <v>AT&amp;T Corp;Microsoft Corp</v>
      </c>
      <c r="F125" s="6" t="str">
        <v>United States</v>
      </c>
      <c r="G125" s="6" t="str">
        <v>AT&amp;T Corp</v>
      </c>
      <c r="H125" s="6" t="str">
        <v>Telecommunications</v>
      </c>
      <c r="I125" s="6" t="str">
        <v>001957</v>
      </c>
      <c r="J125" s="6" t="str">
        <v>AT&amp;T Corp</v>
      </c>
      <c r="K125" s="6" t="str">
        <v>AT&amp;T Corp</v>
      </c>
      <c r="L125" s="7">
        <f>=DATE(1999,5,5)</f>
        <v>36284.99949074074</v>
      </c>
      <c r="M125" s="7">
        <f>=DATE(1999,6,16)</f>
        <v>36326.99949074074</v>
      </c>
      <c r="N125" s="8">
        <v>5000</v>
      </c>
      <c r="O125" s="8">
        <v>5000</v>
      </c>
      <c r="P125" s="8" t="str">
        <v>214,294.92</v>
      </c>
      <c r="Q125" s="8" t="str">
        <v>49,278.87;2,272.42</v>
      </c>
      <c r="R125" s="8">
        <v>4937</v>
      </c>
      <c r="S125" s="8">
        <v>54688</v>
      </c>
      <c r="T125" s="8">
        <v>-4164</v>
      </c>
      <c r="U125" s="8">
        <v>-3913</v>
      </c>
      <c r="V125" s="8">
        <v>9136</v>
      </c>
      <c r="W125" s="6" t="str">
        <v>Monitors/Terminals;Internet Services &amp; Software;Other Peripherals;Operating Systems;Applications Software(Business;Computer Consulting Services</v>
      </c>
      <c r="X125" s="6" t="str">
        <v>Telephone Interconnect Equip;Satellite Communications;Messaging Systems</v>
      </c>
      <c r="Y125" s="6" t="str">
        <v>Messaging Systems;Telephone Interconnect Equip;Satellite Communications</v>
      </c>
      <c r="Z125" s="6" t="str">
        <v>Messaging Systems;Telephone Interconnect Equip;Satellite Communications</v>
      </c>
      <c r="AA125" s="6" t="str">
        <v>Applications Software(Business;Other Peripherals;Internet Services &amp; Software;Computer Consulting Services;Monitors/Terminals;Operating Systems</v>
      </c>
      <c r="AB125" s="6" t="str">
        <v>Other Peripherals;Operating Systems;Applications Software(Business;Internet Services &amp; Software;Monitors/Terminals;Computer Consulting Services</v>
      </c>
      <c r="AC125" s="8">
        <v>5000</v>
      </c>
      <c r="AD125" s="7">
        <f>=DATE(1999,5,6)</f>
        <v>36285.99949074074</v>
      </c>
      <c r="AF125" s="8" t="str">
        <v>211,395.92</v>
      </c>
      <c r="AG125" s="8" t="str">
        <v>211,395.92</v>
      </c>
      <c r="AH125" s="6" t="str">
        <v>True</v>
      </c>
      <c r="AI125" s="6" t="str">
        <v>1999</v>
      </c>
      <c r="AJ125" s="6" t="str">
        <v>Completed</v>
      </c>
      <c r="AL125" s="8">
        <v>106.667</v>
      </c>
      <c r="AM125" s="6" t="str">
        <v>Privately Negotiated Purchase</v>
      </c>
      <c r="AN125" s="8">
        <v>26147</v>
      </c>
      <c r="AO125" s="6" t="str">
        <v>Microsoft Corp (MC) acquired a 3% stake, or 100 mil preferred shares convertible into 66.667 mil common shares at a price of $75 per share and warrants exercisable into an additional 40 mil common shares also at a price of $75 per share, in AT&amp;T Corp for $5 bil in a privately negotiated transaction. Concurrently, MC planned to acquire a 29.9% stake in TeleWest PLC from MediaOne Group Inc. Previously, AT&amp;T planned to acquire MediaOne Group Inc. for $60.52 bil.</v>
      </c>
    </row>
    <row r="126">
      <c r="A126" s="6" t="str">
        <v>594918</v>
      </c>
      <c r="B126" s="6" t="str">
        <v>United States</v>
      </c>
      <c r="C126" s="6" t="str">
        <v>Microsoft Corp</v>
      </c>
      <c r="D126" s="6" t="str">
        <v>Microsoft Corp</v>
      </c>
      <c r="F126" s="6" t="str">
        <v>United States</v>
      </c>
      <c r="G126" s="6" t="str">
        <v>Nextel Communications Inc</v>
      </c>
      <c r="H126" s="6" t="str">
        <v>Telecommunications</v>
      </c>
      <c r="I126" s="6" t="str">
        <v>65332V</v>
      </c>
      <c r="J126" s="6" t="str">
        <v>Sprint Nextel Corp</v>
      </c>
      <c r="K126" s="6" t="str">
        <v>Sprint Nextel Corp</v>
      </c>
      <c r="L126" s="7">
        <f>=DATE(1999,5,10)</f>
        <v>36289.99949074074</v>
      </c>
      <c r="M126" s="7">
        <f>=DATE(1999,5,28)</f>
        <v>36307.99949074074</v>
      </c>
      <c r="N126" s="8">
        <v>600</v>
      </c>
      <c r="O126" s="8">
        <v>600</v>
      </c>
      <c r="P126" s="8" t="str">
        <v>23,820.22</v>
      </c>
      <c r="R126" s="8">
        <v>-1571.441</v>
      </c>
      <c r="S126" s="8">
        <v>2183.429</v>
      </c>
      <c r="T126" s="8">
        <v>1179.992</v>
      </c>
      <c r="U126" s="8">
        <v>-2311.017</v>
      </c>
      <c r="V126" s="8">
        <v>-128.506</v>
      </c>
      <c r="W126" s="6" t="str">
        <v>Internet Services &amp; Software;Operating Systems;Computer Consulting Services;Applications Software(Business;Other Peripherals;Monitors/Terminals</v>
      </c>
      <c r="X126" s="6" t="str">
        <v>Satellite Communications;Cellular Communications</v>
      </c>
      <c r="Y126" s="6" t="str">
        <v>Cellular Communications;Networking Systems (LAN,WAN);Satellite Communications;Internet Services &amp; Software</v>
      </c>
      <c r="Z126" s="6" t="str">
        <v>Internet Services &amp; Software;Satellite Communications;Cellular Communications;Networking Systems (LAN,WAN)</v>
      </c>
      <c r="AA126" s="6" t="str">
        <v>Other Peripherals;Operating Systems;Computer Consulting Services;Applications Software(Business;Monitors/Terminals;Internet Services &amp; Software</v>
      </c>
      <c r="AB126" s="6" t="str">
        <v>Other Peripherals;Monitors/Terminals;Computer Consulting Services;Applications Software(Business;Operating Systems;Internet Services &amp; Software</v>
      </c>
      <c r="AC126" s="8">
        <v>600</v>
      </c>
      <c r="AD126" s="7">
        <f>=DATE(1999,5,10)</f>
        <v>36289.99949074074</v>
      </c>
      <c r="AF126" s="8" t="str">
        <v>23,799.14</v>
      </c>
      <c r="AG126" s="8" t="str">
        <v>23,799.14</v>
      </c>
      <c r="AH126" s="6" t="str">
        <v>True</v>
      </c>
      <c r="AI126" s="6" t="str">
        <v>1999</v>
      </c>
      <c r="AJ126" s="6" t="str">
        <v>Completed</v>
      </c>
      <c r="AL126" s="8">
        <v>12.418484</v>
      </c>
      <c r="AM126" s="6" t="str">
        <v>Privately Negotiated Purchase</v>
      </c>
      <c r="AN126" s="8">
        <v>4671.545</v>
      </c>
      <c r="AO126" s="6" t="str">
        <v>Microsoft Corp acquired a 4.25% stake, or 12.419 mil common shares, in Nextel Communications Inc for $600 mil in a privately negotiated transaction.</v>
      </c>
    </row>
    <row r="127">
      <c r="A127" s="6" t="str">
        <v>594918</v>
      </c>
      <c r="B127" s="6" t="str">
        <v>United States</v>
      </c>
      <c r="C127" s="6" t="str">
        <v>Microsoft Corp</v>
      </c>
      <c r="D127" s="6" t="str">
        <v>Microsoft Corp</v>
      </c>
      <c r="E127" s="6" t="str">
        <v>Foersaekrings AB Skandia</v>
      </c>
      <c r="F127" s="6" t="str">
        <v>Sweden</v>
      </c>
      <c r="G127" s="6" t="str">
        <v>Sendit AB</v>
      </c>
      <c r="H127" s="6" t="str">
        <v>Prepackaged Software</v>
      </c>
      <c r="I127" s="6" t="str">
        <v>81689N</v>
      </c>
      <c r="J127" s="6" t="str">
        <v>Sendit AB</v>
      </c>
      <c r="K127" s="6" t="str">
        <v>Sendit AB</v>
      </c>
      <c r="L127" s="7">
        <f>=DATE(1999,5,12)</f>
        <v>36291.99949074074</v>
      </c>
      <c r="M127" s="7">
        <f>=DATE(1999,7,1)</f>
        <v>36341.99949074074</v>
      </c>
      <c r="N127" s="8">
        <v>124.680207998667</v>
      </c>
      <c r="O127" s="8">
        <v>124.680207998667</v>
      </c>
      <c r="W127" s="6" t="str">
        <v>Operating Systems;Monitors/Terminals;Applications Software(Business;Computer Consulting Services;Other Peripherals;Internet Services &amp; Software</v>
      </c>
      <c r="X127" s="6" t="str">
        <v>Applications Software(Business</v>
      </c>
      <c r="Y127" s="6" t="str">
        <v>Applications Software(Business</v>
      </c>
      <c r="Z127" s="6" t="str">
        <v>Applications Software(Business</v>
      </c>
      <c r="AA127" s="6" t="str">
        <v>Other Peripherals;Operating Systems;Computer Consulting Services;Monitors/Terminals;Applications Software(Business;Internet Services &amp; Software</v>
      </c>
      <c r="AB127" s="6" t="str">
        <v>Monitors/Terminals;Computer Consulting Services;Applications Software(Business;Other Peripherals;Operating Systems;Internet Services &amp; Software</v>
      </c>
      <c r="AC127" s="8">
        <v>124.680207998667</v>
      </c>
      <c r="AD127" s="7">
        <f>=DATE(1999,5,12)</f>
        <v>36291.99949074074</v>
      </c>
      <c r="AE127" s="8">
        <v>124.680207998667</v>
      </c>
      <c r="AH127" s="6" t="str">
        <v>False</v>
      </c>
      <c r="AI127" s="6" t="str">
        <v>1999</v>
      </c>
      <c r="AJ127" s="6" t="str">
        <v>Completed</v>
      </c>
      <c r="AK127" s="8">
        <v>124.680207998667</v>
      </c>
      <c r="AL127" s="8">
        <v>3.224</v>
      </c>
      <c r="AM127" s="6" t="str">
        <v>Tender/Merger;Tender Offer</v>
      </c>
      <c r="AO127" s="6" t="str">
        <v>SWEDEN. Microsoft Corp of the US acquired, via a tender offer, the entire share capital of Sendit AB, mobile telephone and internet technology company, for 325 krona ($38.9) in cash per ordinary share, or a total value of 1.048 bil krona ($125.42 mil). Sendit pioneered Internet Cellular Smart Access. In a competing deal, Skandia had raised its stake in Sendit to 10.1% from 5%.</v>
      </c>
    </row>
    <row r="128">
      <c r="A128" s="6" t="str">
        <v>98870Q</v>
      </c>
      <c r="B128" s="6" t="str">
        <v>United States</v>
      </c>
      <c r="C128" s="6" t="str">
        <v>Yupi Internet Inc</v>
      </c>
      <c r="D128" s="6" t="str">
        <v>Yupi Internet Inc</v>
      </c>
      <c r="F128" s="6" t="str">
        <v>Spain</v>
      </c>
      <c r="G128" s="6" t="str">
        <v>Ciudadfutura.Com</v>
      </c>
      <c r="H128" s="6" t="str">
        <v>Business Services</v>
      </c>
      <c r="I128" s="6" t="str">
        <v>17284J</v>
      </c>
      <c r="J128" s="6" t="str">
        <v>Ciudadfutura.Com</v>
      </c>
      <c r="K128" s="6" t="str">
        <v>Ciudadfutura.Com</v>
      </c>
      <c r="L128" s="7">
        <f>=DATE(1999,5,13)</f>
        <v>36292.99949074074</v>
      </c>
      <c r="M128" s="7">
        <f>=DATE(1999,5,13)</f>
        <v>36292.99949074074</v>
      </c>
      <c r="W128" s="6" t="str">
        <v>Internet Services &amp; Software</v>
      </c>
      <c r="X128" s="6" t="str">
        <v>Internet Services &amp; Software</v>
      </c>
      <c r="Y128" s="6" t="str">
        <v>Internet Services &amp; Software</v>
      </c>
      <c r="Z128" s="6" t="str">
        <v>Internet Services &amp; Software</v>
      </c>
      <c r="AA128" s="6" t="str">
        <v>Internet Services &amp; Software</v>
      </c>
      <c r="AB128" s="6" t="str">
        <v>Internet Services &amp; Software</v>
      </c>
      <c r="AH128" s="6" t="str">
        <v>False</v>
      </c>
      <c r="AI128" s="6" t="str">
        <v>1999</v>
      </c>
      <c r="AJ128" s="6" t="str">
        <v>Completed</v>
      </c>
      <c r="AM128" s="6" t="str">
        <v>Not Applicable</v>
      </c>
      <c r="AO128" s="6" t="str">
        <v>Yupi.com acquired Ciudadfutura.Com.</v>
      </c>
    </row>
    <row r="129">
      <c r="A129" s="6" t="str">
        <v>023135</v>
      </c>
      <c r="B129" s="6" t="str">
        <v>United States</v>
      </c>
      <c r="C129" s="6" t="str">
        <v>Amazon.com Inc</v>
      </c>
      <c r="D129" s="6" t="str">
        <v>Amazon.com Inc</v>
      </c>
      <c r="F129" s="6" t="str">
        <v>United States</v>
      </c>
      <c r="G129" s="6" t="str">
        <v>HomeGrocer.com</v>
      </c>
      <c r="H129" s="6" t="str">
        <v>Business Services</v>
      </c>
      <c r="I129" s="6" t="str">
        <v>43740K</v>
      </c>
      <c r="J129" s="6" t="str">
        <v>HomeGrocer.com</v>
      </c>
      <c r="K129" s="6" t="str">
        <v>HomeGrocer.com</v>
      </c>
      <c r="L129" s="7">
        <f>=DATE(1999,5,18)</f>
        <v>36297.99949074074</v>
      </c>
      <c r="M129" s="7">
        <f>=DATE(1999,5,18)</f>
        <v>36297.99949074074</v>
      </c>
      <c r="N129" s="8">
        <v>42.5</v>
      </c>
      <c r="O129" s="8">
        <v>42.5</v>
      </c>
      <c r="P129" s="8" t="str">
        <v>171.28</v>
      </c>
      <c r="R129" s="8">
        <v>-12.004</v>
      </c>
      <c r="W129" s="6" t="str">
        <v>Primary Business not Hi-Tech</v>
      </c>
      <c r="X129" s="6" t="str">
        <v>Internet Services &amp; Software</v>
      </c>
      <c r="Y129" s="6" t="str">
        <v>Internet Services &amp; Software</v>
      </c>
      <c r="Z129" s="6" t="str">
        <v>Internet Services &amp; Software</v>
      </c>
      <c r="AA129" s="6" t="str">
        <v>Primary Business not Hi-Tech</v>
      </c>
      <c r="AB129" s="6" t="str">
        <v>Primary Business not Hi-Tech</v>
      </c>
      <c r="AC129" s="8">
        <v>42.5</v>
      </c>
      <c r="AD129" s="7">
        <f>=DATE(1999,5,18)</f>
        <v>36297.99949074074</v>
      </c>
      <c r="AF129" s="8" t="str">
        <v>171.28</v>
      </c>
      <c r="AG129" s="8" t="str">
        <v>171.28</v>
      </c>
      <c r="AH129" s="6" t="str">
        <v>True</v>
      </c>
      <c r="AI129" s="6" t="str">
        <v>1999</v>
      </c>
      <c r="AJ129" s="6" t="str">
        <v>Completed</v>
      </c>
      <c r="AM129" s="6" t="str">
        <v>Privately Negotiated Purchase</v>
      </c>
      <c r="AN129" s="8">
        <v>2</v>
      </c>
      <c r="AO129" s="6" t="str">
        <v>Amazon.com Inc acquired a 35% stake in HomeGrocer.com for $42.5 mil.</v>
      </c>
    </row>
    <row r="130">
      <c r="A130" s="6" t="str">
        <v>594918</v>
      </c>
      <c r="B130" s="6" t="str">
        <v>United States</v>
      </c>
      <c r="C130" s="6" t="str">
        <v>Microsoft Corp</v>
      </c>
      <c r="D130" s="6" t="str">
        <v>Microsoft Corp</v>
      </c>
      <c r="F130" s="6" t="str">
        <v>United States</v>
      </c>
      <c r="G130" s="6" t="str">
        <v>WebMD Inc</v>
      </c>
      <c r="H130" s="6" t="str">
        <v>Business Services</v>
      </c>
      <c r="I130" s="6" t="str">
        <v>94734Q</v>
      </c>
      <c r="J130" s="6" t="str">
        <v>Healtheon Corp</v>
      </c>
      <c r="K130" s="6" t="str">
        <v>Healtheon Corp</v>
      </c>
      <c r="L130" s="7">
        <f>=DATE(1999,5,26)</f>
        <v>36305.99949074074</v>
      </c>
      <c r="M130" s="7">
        <f>=DATE(1999,7,5)</f>
        <v>36345.99949074074</v>
      </c>
      <c r="N130" s="8">
        <v>250</v>
      </c>
      <c r="O130" s="8">
        <v>250</v>
      </c>
      <c r="R130" s="8">
        <v>-39.555</v>
      </c>
      <c r="S130" s="8">
        <v>2.458</v>
      </c>
      <c r="W130" s="6" t="str">
        <v>Computer Consulting Services;Applications Software(Business;Other Peripherals;Monitors/Terminals;Internet Services &amp; Software;Operating Systems</v>
      </c>
      <c r="X130" s="6" t="str">
        <v>Internet Services &amp; Software</v>
      </c>
      <c r="Y130" s="6" t="str">
        <v>Internet Services &amp; Software;Data Processing Services</v>
      </c>
      <c r="Z130" s="6" t="str">
        <v>Data Processing Services;Internet Services &amp; Software</v>
      </c>
      <c r="AA130" s="6" t="str">
        <v>Internet Services &amp; Software;Computer Consulting Services;Operating Systems;Monitors/Terminals;Applications Software(Business;Other Peripherals</v>
      </c>
      <c r="AB130" s="6" t="str">
        <v>Applications Software(Business;Operating Systems;Internet Services &amp; Software;Monitors/Terminals;Other Peripherals;Computer Consulting Services</v>
      </c>
      <c r="AC130" s="8">
        <v>250</v>
      </c>
      <c r="AD130" s="7">
        <f>=DATE(1999,5,26)</f>
        <v>36305.99949074074</v>
      </c>
      <c r="AH130" s="6" t="str">
        <v>True</v>
      </c>
      <c r="AI130" s="6" t="str">
        <v>1999</v>
      </c>
      <c r="AJ130" s="6" t="str">
        <v>Completed</v>
      </c>
      <c r="AM130" s="6" t="str">
        <v>Not Applicable</v>
      </c>
      <c r="AN130" s="8">
        <v>50.861</v>
      </c>
      <c r="AO130" s="6" t="str">
        <v>Microsoft Corp acquired an undisclosed minority stake in WebMD Inc for $250 mil in cash.</v>
      </c>
    </row>
    <row r="131">
      <c r="A131" s="6" t="str">
        <v>037833</v>
      </c>
      <c r="B131" s="6" t="str">
        <v>United States</v>
      </c>
      <c r="C131" s="6" t="str">
        <v>Apple Computer Inc</v>
      </c>
      <c r="D131" s="6" t="str">
        <v>Apple Computer Inc</v>
      </c>
      <c r="F131" s="6" t="str">
        <v>United States</v>
      </c>
      <c r="G131" s="6" t="str">
        <v>Akamai Technologies Inc</v>
      </c>
      <c r="H131" s="6" t="str">
        <v>Business Services</v>
      </c>
      <c r="I131" s="6" t="str">
        <v>00971T</v>
      </c>
      <c r="J131" s="6" t="str">
        <v>Akamai Technologies Inc</v>
      </c>
      <c r="K131" s="6" t="str">
        <v>Akamai Technologies Inc</v>
      </c>
      <c r="L131" s="7">
        <f>=DATE(1999,6,1)</f>
        <v>36311.99949074074</v>
      </c>
      <c r="M131" s="7">
        <f>=DATE(1999,6,1)</f>
        <v>36311.99949074074</v>
      </c>
      <c r="N131" s="8">
        <v>12.5</v>
      </c>
      <c r="O131" s="8">
        <v>12.5</v>
      </c>
      <c r="P131" s="8" t="str">
        <v>0.88</v>
      </c>
      <c r="R131" s="8">
        <v>-0.89</v>
      </c>
      <c r="T131" s="8">
        <v>8.326</v>
      </c>
      <c r="U131" s="8">
        <v>-1.748</v>
      </c>
      <c r="V131" s="8">
        <v>0.002</v>
      </c>
      <c r="W131" s="6" t="str">
        <v>Other Software (inq. Games);Monitors/Terminals;Portable Computers;Micro-Computers (PCs);Mainframes &amp; Super Computers;Disk Drives;Printers;Other Peripherals</v>
      </c>
      <c r="X131" s="6" t="str">
        <v>Internet Services &amp; Software</v>
      </c>
      <c r="Y131" s="6" t="str">
        <v>Internet Services &amp; Software</v>
      </c>
      <c r="Z131" s="6" t="str">
        <v>Internet Services &amp; Software</v>
      </c>
      <c r="AA131" s="6" t="str">
        <v>Micro-Computers (PCs);Other Software (inq. Games);Monitors/Terminals;Other Peripherals;Disk Drives;Printers;Portable Computers;Mainframes &amp; Super Computers</v>
      </c>
      <c r="AB131" s="6" t="str">
        <v>Monitors/Terminals;Other Software (inq. Games);Disk Drives;Other Peripherals;Portable Computers;Printers;Mainframes &amp; Super Computers;Micro-Computers (PCs)</v>
      </c>
      <c r="AC131" s="8">
        <v>12.5</v>
      </c>
      <c r="AF131" s="8" t="str">
        <v>0.88</v>
      </c>
      <c r="AG131" s="8" t="str">
        <v>0.88</v>
      </c>
      <c r="AH131" s="6" t="str">
        <v>True</v>
      </c>
      <c r="AI131" s="6" t="str">
        <v>1999</v>
      </c>
      <c r="AJ131" s="6" t="str">
        <v>Completed</v>
      </c>
      <c r="AM131" s="6" t="str">
        <v>Not Applicable</v>
      </c>
      <c r="AN131" s="8">
        <v>0.481</v>
      </c>
      <c r="AO131" s="6" t="str">
        <v>US - Apple Inc acquired a 5% stake in Akamai Technologies Inc, a developer of Internet software, for $12.5 mil.</v>
      </c>
    </row>
    <row r="132">
      <c r="A132" s="6" t="str">
        <v>594918</v>
      </c>
      <c r="B132" s="6" t="str">
        <v>United States</v>
      </c>
      <c r="C132" s="6" t="str">
        <v>Microsoft Corp</v>
      </c>
      <c r="D132" s="6" t="str">
        <v>Microsoft Corp</v>
      </c>
      <c r="F132" s="6" t="str">
        <v>Canada</v>
      </c>
      <c r="G132" s="6" t="str">
        <v>ShadowFactor Software Inc</v>
      </c>
      <c r="H132" s="6" t="str">
        <v>Business Services</v>
      </c>
      <c r="I132" s="6" t="str">
        <v>82088Q</v>
      </c>
      <c r="J132" s="6" t="str">
        <v>ShadowFactor Software Inc</v>
      </c>
      <c r="K132" s="6" t="str">
        <v>ShadowFactor Software Inc</v>
      </c>
      <c r="L132" s="7">
        <f>=DATE(1999,6,7)</f>
        <v>36317.99949074074</v>
      </c>
      <c r="M132" s="7">
        <f>=DATE(1999,6,7)</f>
        <v>36317.99949074074</v>
      </c>
      <c r="W132" s="6" t="str">
        <v>Applications Software(Business;Monitors/Terminals;Operating Systems;Other Peripherals;Internet Services &amp; Software;Computer Consulting Services</v>
      </c>
      <c r="X132" s="6" t="str">
        <v>Applications Software(Business</v>
      </c>
      <c r="Y132" s="6" t="str">
        <v>Applications Software(Business</v>
      </c>
      <c r="Z132" s="6" t="str">
        <v>Applications Software(Business</v>
      </c>
      <c r="AA132" s="6" t="str">
        <v>Other Peripherals;Operating Systems;Monitors/Terminals;Applications Software(Business;Internet Services &amp; Software;Computer Consulting Services</v>
      </c>
      <c r="AB132" s="6" t="str">
        <v>Other Peripherals;Internet Services &amp; Software;Computer Consulting Services;Operating Systems;Monitors/Terminals;Applications Software(Business</v>
      </c>
      <c r="AH132" s="6" t="str">
        <v>False</v>
      </c>
      <c r="AI132" s="6" t="str">
        <v>1999</v>
      </c>
      <c r="AJ132" s="6" t="str">
        <v>Completed</v>
      </c>
      <c r="AM132" s="6" t="str">
        <v>Not Applicable</v>
      </c>
      <c r="AO132" s="6" t="str">
        <v>Microsoft Corp acquired ShadowFactor Software Inc. Terms were not disclosed.</v>
      </c>
    </row>
    <row r="133">
      <c r="A133" s="6" t="str">
        <v>594918</v>
      </c>
      <c r="B133" s="6" t="str">
        <v>United States</v>
      </c>
      <c r="C133" s="6" t="str">
        <v>Microsoft Corp</v>
      </c>
      <c r="D133" s="6" t="str">
        <v>Microsoft Corp</v>
      </c>
      <c r="F133" s="6" t="str">
        <v>United States</v>
      </c>
      <c r="G133" s="6" t="str">
        <v>Inprise Corp</v>
      </c>
      <c r="H133" s="6" t="str">
        <v>Prepackaged Software</v>
      </c>
      <c r="I133" s="6" t="str">
        <v>45766C</v>
      </c>
      <c r="J133" s="6" t="str">
        <v>Inprise Corp</v>
      </c>
      <c r="K133" s="6" t="str">
        <v>Inprise Corp</v>
      </c>
      <c r="L133" s="7">
        <f>=DATE(1999,6,8)</f>
        <v>36318.99949074074</v>
      </c>
      <c r="M133" s="7">
        <f>=DATE(1999,6,8)</f>
        <v>36318.99949074074</v>
      </c>
      <c r="N133" s="8">
        <v>125</v>
      </c>
      <c r="O133" s="8">
        <v>125</v>
      </c>
      <c r="R133" s="8">
        <v>-4.206</v>
      </c>
      <c r="S133" s="8">
        <v>186.041</v>
      </c>
      <c r="T133" s="8">
        <v>-12.658</v>
      </c>
      <c r="U133" s="8">
        <v>6.459</v>
      </c>
      <c r="V133" s="8">
        <v>-24.358</v>
      </c>
      <c r="W133" s="6" t="str">
        <v>Operating Systems;Applications Software(Business;Computer Consulting Services;Internet Services &amp; Software;Other Peripherals;Monitors/Terminals</v>
      </c>
      <c r="X133" s="6" t="str">
        <v>Applications Software(Business;Applications Software(Home);Other Software (inq. Games)</v>
      </c>
      <c r="Y133" s="6" t="str">
        <v>Applications Software(Business;Other Software (inq. Games);Applications Software(Home)</v>
      </c>
      <c r="Z133" s="6" t="str">
        <v>Other Software (inq. Games);Applications Software(Business;Applications Software(Home)</v>
      </c>
      <c r="AA133" s="6" t="str">
        <v>Operating Systems;Internet Services &amp; Software;Applications Software(Business;Other Peripherals;Monitors/Terminals;Computer Consulting Services</v>
      </c>
      <c r="AB133" s="6" t="str">
        <v>Other Peripherals;Computer Consulting Services;Monitors/Terminals;Applications Software(Business;Operating Systems;Internet Services &amp; Software</v>
      </c>
      <c r="AC133" s="8">
        <v>125</v>
      </c>
      <c r="AD133" s="7">
        <f>=DATE(1999,6,8)</f>
        <v>36318.99949074074</v>
      </c>
      <c r="AH133" s="6" t="str">
        <v>True</v>
      </c>
      <c r="AI133" s="6" t="str">
        <v>1999</v>
      </c>
      <c r="AJ133" s="6" t="str">
        <v>Completed</v>
      </c>
      <c r="AM133" s="6" t="str">
        <v>Privately Negotiated Purchase</v>
      </c>
      <c r="AO133" s="6" t="str">
        <v>Microsoft Corp acquired an undisclosed minority stake in Inprise Corp for $125 mil, in a privately negotiated transaction.</v>
      </c>
    </row>
    <row r="134">
      <c r="A134" s="6" t="str">
        <v>594918</v>
      </c>
      <c r="B134" s="6" t="str">
        <v>United States</v>
      </c>
      <c r="C134" s="6" t="str">
        <v>Microsoft Corp</v>
      </c>
      <c r="D134" s="6" t="str">
        <v>Microsoft Corp</v>
      </c>
      <c r="F134" s="6" t="str">
        <v>United States</v>
      </c>
      <c r="G134" s="6" t="str">
        <v>NaviSite Inc</v>
      </c>
      <c r="H134" s="6" t="str">
        <v>Business Services</v>
      </c>
      <c r="I134" s="6" t="str">
        <v>63935M</v>
      </c>
      <c r="J134" s="6" t="str">
        <v>CMGI Inc</v>
      </c>
      <c r="K134" s="6" t="str">
        <v>CMGI Inc</v>
      </c>
      <c r="L134" s="7">
        <f>=DATE(1999,6,8)</f>
        <v>36318.99949074074</v>
      </c>
      <c r="M134" s="7">
        <f>=DATE(1999,6,8)</f>
        <v>36318.99949074074</v>
      </c>
      <c r="R134" s="8">
        <v>-9.172</v>
      </c>
      <c r="S134" s="8">
        <v>4.029</v>
      </c>
      <c r="T134" s="8">
        <v>9.083</v>
      </c>
      <c r="U134" s="8">
        <v>-1.226</v>
      </c>
      <c r="V134" s="8">
        <v>-7.857</v>
      </c>
      <c r="W134" s="6" t="str">
        <v>Computer Consulting Services;Internet Services &amp; Software;Applications Software(Business;Operating Systems;Other Peripherals;Monitors/Terminals</v>
      </c>
      <c r="X134" s="6" t="str">
        <v>Internet Services &amp; Software;Communication/Network Software</v>
      </c>
      <c r="Y134" s="6" t="str">
        <v>Internet Services &amp; Software;Communication/Network Software</v>
      </c>
      <c r="Z134" s="6" t="str">
        <v>Communication/Network Software;Internet Services &amp; Software</v>
      </c>
      <c r="AA134" s="6" t="str">
        <v>Other Peripherals;Applications Software(Business;Monitors/Terminals;Computer Consulting Services;Operating Systems;Internet Services &amp; Software</v>
      </c>
      <c r="AB134" s="6" t="str">
        <v>Computer Consulting Services;Monitors/Terminals;Applications Software(Business;Internet Services &amp; Software;Other Peripherals;Operating Systems</v>
      </c>
      <c r="AH134" s="6" t="str">
        <v>True</v>
      </c>
      <c r="AI134" s="6" t="str">
        <v>1999</v>
      </c>
      <c r="AJ134" s="6" t="str">
        <v>Completed</v>
      </c>
      <c r="AM134" s="6" t="str">
        <v>Not Applicable</v>
      </c>
      <c r="AN134" s="8">
        <v>0.997</v>
      </c>
      <c r="AO134" s="6" t="str">
        <v>Microsoft Corp acquired a 4.4% stake, in Navisite Internet Services, a unit of CMG Information Services Inc.</v>
      </c>
    </row>
    <row r="135">
      <c r="A135" s="6" t="str">
        <v>594918</v>
      </c>
      <c r="B135" s="6" t="str">
        <v>United States</v>
      </c>
      <c r="C135" s="6" t="str">
        <v>Microsoft Corp</v>
      </c>
      <c r="D135" s="6" t="str">
        <v>Microsoft Corp</v>
      </c>
      <c r="F135" s="6" t="str">
        <v>United States</v>
      </c>
      <c r="G135" s="6" t="str">
        <v>Omnibrowse Inc</v>
      </c>
      <c r="H135" s="6" t="str">
        <v>Prepackaged Software</v>
      </c>
      <c r="I135" s="6" t="str">
        <v>68196W</v>
      </c>
      <c r="J135" s="6" t="str">
        <v>Omnibrowse Inc</v>
      </c>
      <c r="K135" s="6" t="str">
        <v>Omnibrowse Inc</v>
      </c>
      <c r="L135" s="7">
        <f>=DATE(1999,6,15)</f>
        <v>36325.99949074074</v>
      </c>
      <c r="M135" s="7">
        <f>=DATE(1999,6,15)</f>
        <v>36325.99949074074</v>
      </c>
      <c r="W135" s="6" t="str">
        <v>Operating Systems;Internet Services &amp; Software;Other Peripherals;Computer Consulting Services;Monitors/Terminals;Applications Software(Business</v>
      </c>
      <c r="X135" s="6" t="str">
        <v>Communication/Network Software;Internet Services &amp; Software</v>
      </c>
      <c r="Y135" s="6" t="str">
        <v>Internet Services &amp; Software;Communication/Network Software</v>
      </c>
      <c r="Z135" s="6" t="str">
        <v>Internet Services &amp; Software;Communication/Network Software</v>
      </c>
      <c r="AA135" s="6" t="str">
        <v>Applications Software(Business;Internet Services &amp; Software;Computer Consulting Services;Operating Systems;Other Peripherals;Monitors/Terminals</v>
      </c>
      <c r="AB135" s="6" t="str">
        <v>Other Peripherals;Internet Services &amp; Software;Applications Software(Business;Operating Systems;Monitors/Terminals;Computer Consulting Services</v>
      </c>
      <c r="AH135" s="6" t="str">
        <v>True</v>
      </c>
      <c r="AI135" s="6" t="str">
        <v>1999</v>
      </c>
      <c r="AJ135" s="6" t="str">
        <v>Completed</v>
      </c>
      <c r="AM135" s="6" t="str">
        <v>Not Applicable</v>
      </c>
      <c r="AO135" s="6" t="str">
        <v>Microsoft Corp acquired Omnibrowse Inc. Terms were not disclosed.</v>
      </c>
    </row>
    <row r="136">
      <c r="A136" s="6" t="str">
        <v>594918</v>
      </c>
      <c r="B136" s="6" t="str">
        <v>United States</v>
      </c>
      <c r="C136" s="6" t="str">
        <v>Microsoft Corp</v>
      </c>
      <c r="D136" s="6" t="str">
        <v>Microsoft Corp</v>
      </c>
      <c r="F136" s="6" t="str">
        <v>United States</v>
      </c>
      <c r="G136" s="6" t="str">
        <v>Concentric Network Corp</v>
      </c>
      <c r="H136" s="6" t="str">
        <v>Telecommunications</v>
      </c>
      <c r="I136" s="6" t="str">
        <v>20589R</v>
      </c>
      <c r="J136" s="6" t="str">
        <v>Concentric Network Corp</v>
      </c>
      <c r="K136" s="6" t="str">
        <v>Concentric Network Corp</v>
      </c>
      <c r="L136" s="7">
        <f>=DATE(1999,6,22)</f>
        <v>36332.99949074074</v>
      </c>
      <c r="M136" s="7">
        <f>=DATE(1999,6,22)</f>
        <v>36332.99949074074</v>
      </c>
      <c r="N136" s="8">
        <v>50</v>
      </c>
      <c r="O136" s="8">
        <v>50</v>
      </c>
      <c r="R136" s="8">
        <v>-81.826</v>
      </c>
      <c r="S136" s="8">
        <v>96.389</v>
      </c>
      <c r="T136" s="8">
        <v>309.018</v>
      </c>
      <c r="U136" s="8">
        <v>-101.232</v>
      </c>
      <c r="V136" s="8">
        <v>-45.832</v>
      </c>
      <c r="W136" s="6" t="str">
        <v>Applications Software(Business;Computer Consulting Services;Other Peripherals;Monitors/Terminals;Internet Services &amp; Software;Operating Systems</v>
      </c>
      <c r="X136" s="6" t="str">
        <v>Internet Services &amp; Software;Other Computer Related Svcs</v>
      </c>
      <c r="Y136" s="6" t="str">
        <v>Internet Services &amp; Software;Other Computer Related Svcs</v>
      </c>
      <c r="Z136" s="6" t="str">
        <v>Other Computer Related Svcs;Internet Services &amp; Software</v>
      </c>
      <c r="AA136" s="6" t="str">
        <v>Applications Software(Business;Operating Systems;Internet Services &amp; Software;Other Peripherals;Computer Consulting Services;Monitors/Terminals</v>
      </c>
      <c r="AB136" s="6" t="str">
        <v>Applications Software(Business;Operating Systems;Internet Services &amp; Software;Monitors/Terminals;Computer Consulting Services;Other Peripherals</v>
      </c>
      <c r="AC136" s="8">
        <v>50</v>
      </c>
      <c r="AD136" s="7">
        <f>=DATE(1999,6,22)</f>
        <v>36332.99949074074</v>
      </c>
      <c r="AH136" s="6" t="str">
        <v>True</v>
      </c>
      <c r="AI136" s="6" t="str">
        <v>1999</v>
      </c>
      <c r="AJ136" s="6" t="str">
        <v>Completed</v>
      </c>
      <c r="AM136" s="6" t="str">
        <v>Privately Negotiated Purchase</v>
      </c>
      <c r="AN136" s="8">
        <v>18.973</v>
      </c>
      <c r="AO136" s="6" t="str">
        <v>Microsoft Corp acquired an undisclosed minority stake in Concentric Network Corp for $50 mil in a privately negotiated transaction.</v>
      </c>
    </row>
    <row r="137">
      <c r="A137" s="6" t="str">
        <v>023135</v>
      </c>
      <c r="B137" s="6" t="str">
        <v>United States</v>
      </c>
      <c r="C137" s="6" t="str">
        <v>Amazon.com Inc</v>
      </c>
      <c r="D137" s="6" t="str">
        <v>Amazon.com Inc</v>
      </c>
      <c r="F137" s="6" t="str">
        <v>United States</v>
      </c>
      <c r="G137" s="6" t="str">
        <v>Beyond.com Corp</v>
      </c>
      <c r="H137" s="6" t="str">
        <v>Business Services</v>
      </c>
      <c r="I137" s="6" t="str">
        <v>08860E</v>
      </c>
      <c r="J137" s="6" t="str">
        <v>Beyond.com Corp</v>
      </c>
      <c r="K137" s="6" t="str">
        <v>Beyond.com Corp</v>
      </c>
      <c r="L137" s="7">
        <f>=DATE(1999,6,23)</f>
        <v>36333.99949074074</v>
      </c>
      <c r="R137" s="8">
        <v>-47.642</v>
      </c>
      <c r="S137" s="8">
        <v>49.56</v>
      </c>
      <c r="T137" s="8">
        <v>109.443</v>
      </c>
      <c r="U137" s="8">
        <v>-10.325</v>
      </c>
      <c r="V137" s="8">
        <v>-50.9</v>
      </c>
      <c r="W137" s="6" t="str">
        <v>Primary Business not Hi-Tech</v>
      </c>
      <c r="X137" s="6" t="str">
        <v>Internet Services &amp; Software;Communication/Network Software</v>
      </c>
      <c r="Y137" s="6" t="str">
        <v>Communication/Network Software;Internet Services &amp; Software</v>
      </c>
      <c r="Z137" s="6" t="str">
        <v>Internet Services &amp; Software;Communication/Network Software</v>
      </c>
      <c r="AA137" s="6" t="str">
        <v>Primary Business not Hi-Tech</v>
      </c>
      <c r="AB137" s="6" t="str">
        <v>Primary Business not Hi-Tech</v>
      </c>
      <c r="AH137" s="6" t="str">
        <v>True</v>
      </c>
      <c r="AJ137" s="6" t="str">
        <v>Dismissed Rumor</v>
      </c>
      <c r="AL137" s="8">
        <v>35.745957</v>
      </c>
      <c r="AM137" s="6" t="str">
        <v>Rumored Deal</v>
      </c>
      <c r="AN137" s="8">
        <v>136.196</v>
      </c>
      <c r="AO137" s="6" t="str">
        <v>Amazon.Com Inc was rumored to be planning to acquire all the outstanding common stock of Beyond.Com Corp. The Current status of this deal is unknown.</v>
      </c>
    </row>
    <row r="138">
      <c r="A138" s="6" t="str">
        <v>80609W</v>
      </c>
      <c r="B138" s="6" t="str">
        <v>United States</v>
      </c>
      <c r="C138" s="6" t="str">
        <v>ScanSoft Inc</v>
      </c>
      <c r="D138" s="6" t="str">
        <v>ScanSoft Inc</v>
      </c>
      <c r="F138" s="6" t="str">
        <v>United States</v>
      </c>
      <c r="G138" s="6" t="str">
        <v>MetaCreations Corp-Certain Photo Imaging Software Products</v>
      </c>
      <c r="H138" s="6" t="str">
        <v>Prepackaged Software</v>
      </c>
      <c r="I138" s="6" t="str">
        <v>59102W</v>
      </c>
      <c r="J138" s="6" t="str">
        <v>MetaCreations Corp</v>
      </c>
      <c r="K138" s="6" t="str">
        <v>MetaCreations Corp</v>
      </c>
      <c r="L138" s="7">
        <f>=DATE(1999,7,1)</f>
        <v>36341.99949074074</v>
      </c>
      <c r="M138" s="7">
        <f>=DATE(1999,7,1)</f>
        <v>36341.99949074074</v>
      </c>
      <c r="N138" s="8">
        <v>4.55</v>
      </c>
      <c r="O138" s="8">
        <v>4.55</v>
      </c>
      <c r="W138" s="6" t="str">
        <v>Other Software (inq. Games)</v>
      </c>
      <c r="X138" s="6" t="str">
        <v>Applications Software(Business;Other Software (inq. Games);Applications Software(Home)</v>
      </c>
      <c r="Y138" s="6" t="str">
        <v>Applications Software(Business;Other Software (inq. Games);Applications Software(Home)</v>
      </c>
      <c r="Z138" s="6" t="str">
        <v>Other Software (inq. Games);Applications Software(Business;Applications Software(Home)</v>
      </c>
      <c r="AA138" s="6" t="str">
        <v>Other Software (inq. Games)</v>
      </c>
      <c r="AB138" s="6" t="str">
        <v>Other Software (inq. Games)</v>
      </c>
      <c r="AC138" s="8">
        <v>4.55</v>
      </c>
      <c r="AD138" s="7">
        <f>=DATE(1999,7,1)</f>
        <v>36341.99949074074</v>
      </c>
      <c r="AH138" s="6" t="str">
        <v>False</v>
      </c>
      <c r="AI138" s="6" t="str">
        <v>1999</v>
      </c>
      <c r="AJ138" s="6" t="str">
        <v>Completed</v>
      </c>
      <c r="AM138" s="6" t="str">
        <v>Divestiture</v>
      </c>
      <c r="AO138" s="6" t="str">
        <v>ScanSoft Inc, a majority-owned unit of Visioneer Inc, agreed to acquire certain photo imaging software products and technology of MetaCreations Corp for $4.55 mil. The consideration was to consist of $2.6 mil in cash and a note, the assumption of up to $.95 mil in liabilities, and up to $1 mil in profit-related payments. The specific products included in the transaction are Kai's Super GOO, Kai's Photo Soap 2, and Kai's Power Show.</v>
      </c>
    </row>
    <row r="139">
      <c r="A139" s="6" t="str">
        <v>594918</v>
      </c>
      <c r="B139" s="6" t="str">
        <v>United States</v>
      </c>
      <c r="C139" s="6" t="str">
        <v>Microsoft Corp</v>
      </c>
      <c r="D139" s="6" t="str">
        <v>Microsoft Corp</v>
      </c>
      <c r="F139" s="6" t="str">
        <v>Canada</v>
      </c>
      <c r="G139" s="6" t="str">
        <v>Zoomit Corp(Pretty Good Privacy Inc)</v>
      </c>
      <c r="H139" s="6" t="str">
        <v>Prepackaged Software</v>
      </c>
      <c r="I139" s="6" t="str">
        <v>98988E</v>
      </c>
      <c r="J139" s="6" t="str">
        <v>Network Associates Inc</v>
      </c>
      <c r="K139" s="6" t="str">
        <v>Pretty Good Privacy Inc (Network Associates Inc)</v>
      </c>
      <c r="L139" s="7">
        <f>=DATE(1999,7,7)</f>
        <v>36347.99949074074</v>
      </c>
      <c r="M139" s="7">
        <f>=DATE(1999,7,7)</f>
        <v>36347.99949074074</v>
      </c>
      <c r="W139" s="6" t="str">
        <v>Applications Software(Business;Other Peripherals;Operating Systems;Monitors/Terminals;Computer Consulting Services;Internet Services &amp; Software</v>
      </c>
      <c r="X139" s="6" t="str">
        <v>Applications Software(Business</v>
      </c>
      <c r="Y139" s="6" t="str">
        <v>Applications Software(Business</v>
      </c>
      <c r="Z139" s="6" t="str">
        <v>Communication/Network Software</v>
      </c>
      <c r="AA139" s="6" t="str">
        <v>Operating Systems;Computer Consulting Services;Other Peripherals;Internet Services &amp; Software;Applications Software(Business;Monitors/Terminals</v>
      </c>
      <c r="AB139" s="6" t="str">
        <v>Internet Services &amp; Software;Computer Consulting Services;Operating Systems;Monitors/Terminals;Applications Software(Business;Other Peripherals</v>
      </c>
      <c r="AH139" s="6" t="str">
        <v>False</v>
      </c>
      <c r="AI139" s="6" t="str">
        <v>1999</v>
      </c>
      <c r="AJ139" s="6" t="str">
        <v>Completed</v>
      </c>
      <c r="AM139" s="6" t="str">
        <v>Divestiture</v>
      </c>
      <c r="AO139" s="6" t="str">
        <v>Microsoft Corp acquired Zoomit Corp, a unit of Pretty Good Privacy Inc.</v>
      </c>
    </row>
    <row r="140">
      <c r="A140" s="6" t="str">
        <v>594918</v>
      </c>
      <c r="B140" s="6" t="str">
        <v>United States</v>
      </c>
      <c r="C140" s="6" t="str">
        <v>Microsoft Corp</v>
      </c>
      <c r="D140" s="6" t="str">
        <v>Microsoft Corp</v>
      </c>
      <c r="F140" s="6" t="str">
        <v>Canada</v>
      </c>
      <c r="G140" s="6" t="str">
        <v>Rogers Communications Inc</v>
      </c>
      <c r="H140" s="6" t="str">
        <v>Telecommunications</v>
      </c>
      <c r="I140" s="6" t="str">
        <v>775109</v>
      </c>
      <c r="J140" s="6" t="str">
        <v>Rogers Communications Inc</v>
      </c>
      <c r="K140" s="6" t="str">
        <v>Rogers Communications Inc</v>
      </c>
      <c r="L140" s="7">
        <f>=DATE(1999,7,12)</f>
        <v>36352.99949074074</v>
      </c>
      <c r="M140" s="7">
        <f>=DATE(1999,8,25)</f>
        <v>36396.99949074074</v>
      </c>
      <c r="N140" s="8">
        <v>405.487598837602</v>
      </c>
      <c r="O140" s="8">
        <v>405.487598837602</v>
      </c>
      <c r="R140" s="8">
        <v>415.017325923504</v>
      </c>
      <c r="S140" s="8">
        <v>1856.31186662308</v>
      </c>
      <c r="T140" s="8">
        <v>-443.608218</v>
      </c>
      <c r="U140" s="8">
        <v>228.187476</v>
      </c>
      <c r="V140" s="8">
        <v>215.420742</v>
      </c>
      <c r="W140" s="6" t="str">
        <v>Other Peripherals;Internet Services &amp; Software;Operating Systems;Applications Software(Business;Computer Consulting Services;Monitors/Terminals</v>
      </c>
      <c r="X140" s="6" t="str">
        <v>Cellular Communications;Satellite Communications</v>
      </c>
      <c r="Y140" s="6" t="str">
        <v>Cellular Communications;Satellite Communications</v>
      </c>
      <c r="Z140" s="6" t="str">
        <v>Satellite Communications;Cellular Communications</v>
      </c>
      <c r="AA140" s="6" t="str">
        <v>Internet Services &amp; Software;Applications Software(Business;Monitors/Terminals;Operating Systems;Computer Consulting Services;Other Peripherals</v>
      </c>
      <c r="AB140" s="6" t="str">
        <v>Internet Services &amp; Software;Monitors/Terminals;Applications Software(Business;Operating Systems;Computer Consulting Services;Other Peripherals</v>
      </c>
      <c r="AC140" s="8">
        <v>405.487598837602</v>
      </c>
      <c r="AD140" s="7">
        <f>=DATE(1999,7,12)</f>
        <v>36352.99949074074</v>
      </c>
      <c r="AH140" s="6" t="str">
        <v>True</v>
      </c>
      <c r="AI140" s="6" t="str">
        <v>1999</v>
      </c>
      <c r="AJ140" s="6" t="str">
        <v>Completed</v>
      </c>
      <c r="AM140" s="6" t="str">
        <v>Privately Negotiated Purchase</v>
      </c>
      <c r="AN140" s="8">
        <v>1029.0153644982</v>
      </c>
      <c r="AO140" s="6" t="str">
        <v>Microsoft Corp acquired an undisclosed minority stake, or convertible preferred shares, in Rogers Communications Inc (RC) for 600 mil Canadian dollars ($405.12 US) in a privately negotiated transaction. The preferred shares were convertible into Class B RC common shares at a price of C$35 ($23.63) per share.</v>
      </c>
    </row>
    <row r="141">
      <c r="A141" s="6" t="str">
        <v>037833</v>
      </c>
      <c r="B141" s="6" t="str">
        <v>United States</v>
      </c>
      <c r="C141" s="6" t="str">
        <v>Apple Computer Inc</v>
      </c>
      <c r="D141" s="6" t="str">
        <v>Apple Computer Inc</v>
      </c>
      <c r="F141" s="6" t="str">
        <v>United States</v>
      </c>
      <c r="G141" s="6" t="str">
        <v>Apple Computer Inc</v>
      </c>
      <c r="H141" s="6" t="str">
        <v>Computer and Office Equipment</v>
      </c>
      <c r="I141" s="6" t="str">
        <v>037833</v>
      </c>
      <c r="J141" s="6" t="str">
        <v>Apple Computer Inc</v>
      </c>
      <c r="K141" s="6" t="str">
        <v>Apple Computer Inc</v>
      </c>
      <c r="L141" s="7">
        <f>=DATE(1999,7,14)</f>
        <v>36354.99949074074</v>
      </c>
      <c r="N141" s="8">
        <v>500</v>
      </c>
      <c r="O141" s="8">
        <v>500</v>
      </c>
      <c r="R141" s="8">
        <v>596</v>
      </c>
      <c r="S141" s="8">
        <v>6354</v>
      </c>
      <c r="T141" s="8">
        <v>69</v>
      </c>
      <c r="U141" s="8">
        <v>-402</v>
      </c>
      <c r="V141" s="8">
        <v>903</v>
      </c>
      <c r="W141" s="6" t="str">
        <v>Printers;Other Peripherals;Other Software (inq. Games);Micro-Computers (PCs);Mainframes &amp; Super Computers;Monitors/Terminals;Portable Computers;Disk Drives</v>
      </c>
      <c r="X141" s="6" t="str">
        <v>Micro-Computers (PCs);Disk Drives;Mainframes &amp; Super Computers;Monitors/Terminals;Other Peripherals;Portable Computers;Other Software (inq. Games);Printers</v>
      </c>
      <c r="Y141" s="6" t="str">
        <v>Micro-Computers (PCs);Other Software (inq. Games);Disk Drives;Mainframes &amp; Super Computers;Printers;Monitors/Terminals;Portable Computers;Other Peripherals</v>
      </c>
      <c r="Z141" s="6" t="str">
        <v>Disk Drives;Micro-Computers (PCs);Monitors/Terminals;Other Peripherals;Portable Computers;Other Software (inq. Games);Mainframes &amp; Super Computers;Printers</v>
      </c>
      <c r="AA141" s="6" t="str">
        <v>Portable Computers;Other Peripherals;Other Software (inq. Games);Printers;Mainframes &amp; Super Computers;Micro-Computers (PCs);Disk Drives;Monitors/Terminals</v>
      </c>
      <c r="AB141" s="6" t="str">
        <v>Portable Computers;Other Software (inq. Games);Micro-Computers (PCs);Monitors/Terminals;Printers;Mainframes &amp; Super Computers;Other Peripherals;Disk Drives</v>
      </c>
      <c r="AC141" s="8">
        <v>500</v>
      </c>
      <c r="AD141" s="7">
        <f>=DATE(1999,7,14)</f>
        <v>36354.99949074074</v>
      </c>
      <c r="AH141" s="6" t="str">
        <v>True</v>
      </c>
      <c r="AJ141" s="6" t="str">
        <v>Intended</v>
      </c>
      <c r="AM141" s="6" t="str">
        <v>Open Market Purchase;Privately Negotiated Purchase;Repurchase</v>
      </c>
      <c r="AO141" s="6" t="str">
        <v>In July 1999, Apple Computer Inc's board authorized the repurchase of up to $500 mil of the company's common stock outstanding in open market or privately negotiated transactions.</v>
      </c>
    </row>
    <row r="142">
      <c r="A142" s="6" t="str">
        <v>023135</v>
      </c>
      <c r="B142" s="6" t="str">
        <v>United States</v>
      </c>
      <c r="C142" s="6" t="str">
        <v>Amazon.com Inc</v>
      </c>
      <c r="D142" s="6" t="str">
        <v>Amazon.com Inc</v>
      </c>
      <c r="F142" s="6" t="str">
        <v>United States</v>
      </c>
      <c r="G142" s="6" t="str">
        <v>Gear.Com</v>
      </c>
      <c r="H142" s="6" t="str">
        <v>Miscellaneous Retail Trade</v>
      </c>
      <c r="I142" s="6" t="str">
        <v>36182X</v>
      </c>
      <c r="J142" s="6" t="str">
        <v>Gear.Com</v>
      </c>
      <c r="K142" s="6" t="str">
        <v>Gear.Com</v>
      </c>
      <c r="L142" s="7">
        <f>=DATE(1999,7,14)</f>
        <v>36354.99949074074</v>
      </c>
      <c r="M142" s="7">
        <f>=DATE(1999,7,14)</f>
        <v>36354.99949074074</v>
      </c>
      <c r="W142" s="6" t="str">
        <v>Primary Business not Hi-Tech</v>
      </c>
      <c r="X142" s="6" t="str">
        <v>Internet Services &amp; Software;Primary Business not Hi-Tech</v>
      </c>
      <c r="Y142" s="6" t="str">
        <v>Internet Services &amp; Software;Primary Business not Hi-Tech</v>
      </c>
      <c r="Z142" s="6" t="str">
        <v>Internet Services &amp; Software;Primary Business not Hi-Tech</v>
      </c>
      <c r="AA142" s="6" t="str">
        <v>Primary Business not Hi-Tech</v>
      </c>
      <c r="AB142" s="6" t="str">
        <v>Primary Business not Hi-Tech</v>
      </c>
      <c r="AH142" s="6" t="str">
        <v>False</v>
      </c>
      <c r="AI142" s="6" t="str">
        <v>1999</v>
      </c>
      <c r="AJ142" s="6" t="str">
        <v>Completed</v>
      </c>
      <c r="AM142" s="6" t="str">
        <v>Not Applicable</v>
      </c>
      <c r="AO142" s="6" t="str">
        <v>Amazon.com acquired a 49% stake in Gear.com.</v>
      </c>
    </row>
    <row r="143">
      <c r="A143" s="6" t="str">
        <v>594918</v>
      </c>
      <c r="B143" s="6" t="str">
        <v>United States</v>
      </c>
      <c r="C143" s="6" t="str">
        <v>Microsoft Corp</v>
      </c>
      <c r="D143" s="6" t="str">
        <v>Microsoft Corp</v>
      </c>
      <c r="F143" s="6" t="str">
        <v>United Kingdom</v>
      </c>
      <c r="G143" s="6" t="str">
        <v>STNC Ltd</v>
      </c>
      <c r="H143" s="6" t="str">
        <v>Communications Equipment</v>
      </c>
      <c r="I143" s="6" t="str">
        <v>78541H</v>
      </c>
      <c r="J143" s="6" t="str">
        <v>STNC Ltd</v>
      </c>
      <c r="K143" s="6" t="str">
        <v>STNC Ltd</v>
      </c>
      <c r="L143" s="7">
        <f>=DATE(1999,7,21)</f>
        <v>36361.99949074074</v>
      </c>
      <c r="M143" s="7">
        <f>=DATE(1999,7,21)</f>
        <v>36361.99949074074</v>
      </c>
      <c r="W143" s="6" t="str">
        <v>Computer Consulting Services;Monitors/Terminals;Applications Software(Business;Operating Systems;Internet Services &amp; Software;Other Peripherals</v>
      </c>
      <c r="X143" s="6" t="str">
        <v>Other Software (inq. Games)</v>
      </c>
      <c r="Y143" s="6" t="str">
        <v>Other Software (inq. Games)</v>
      </c>
      <c r="Z143" s="6" t="str">
        <v>Other Software (inq. Games)</v>
      </c>
      <c r="AA143" s="6" t="str">
        <v>Computer Consulting Services;Other Peripherals;Monitors/Terminals;Operating Systems;Applications Software(Business;Internet Services &amp; Software</v>
      </c>
      <c r="AB143" s="6" t="str">
        <v>Operating Systems;Other Peripherals;Monitors/Terminals;Applications Software(Business;Internet Services &amp; Software;Computer Consulting Services</v>
      </c>
      <c r="AH143" s="6" t="str">
        <v>False</v>
      </c>
      <c r="AI143" s="6" t="str">
        <v>1999</v>
      </c>
      <c r="AJ143" s="6" t="str">
        <v>Completed</v>
      </c>
      <c r="AM143" s="6" t="str">
        <v>Not Applicable</v>
      </c>
      <c r="AO143" s="6" t="str">
        <v>UK. Microsoft Corp of the US acquired STNC Ltd, Bury St Edmunds-based developer of communications software. Terms were not disclosed.</v>
      </c>
    </row>
    <row r="144">
      <c r="A144" s="6" t="str">
        <v>594918</v>
      </c>
      <c r="B144" s="6" t="str">
        <v>United States</v>
      </c>
      <c r="C144" s="6" t="str">
        <v>Microsoft Corp</v>
      </c>
      <c r="D144" s="6" t="str">
        <v>Microsoft Corp</v>
      </c>
      <c r="F144" s="6" t="str">
        <v>United States</v>
      </c>
      <c r="G144" s="6" t="str">
        <v>Tuttle Decision Systems Inc</v>
      </c>
      <c r="H144" s="6" t="str">
        <v>Business Services</v>
      </c>
      <c r="I144" s="6" t="str">
        <v>90110T</v>
      </c>
      <c r="J144" s="6" t="str">
        <v>Tuttle Decision Systems Inc</v>
      </c>
      <c r="K144" s="6" t="str">
        <v>Tuttle Decision Systems Inc</v>
      </c>
      <c r="L144" s="7">
        <f>=DATE(1999,8,20)</f>
        <v>36391.99949074074</v>
      </c>
      <c r="M144" s="7">
        <f>=DATE(1999,8,20)</f>
        <v>36391.99949074074</v>
      </c>
      <c r="W144" s="6" t="str">
        <v>Other Peripherals;Monitors/Terminals;Computer Consulting Services;Operating Systems;Internet Services &amp; Software;Applications Software(Business</v>
      </c>
      <c r="X144" s="6" t="str">
        <v>Internet Services &amp; Software</v>
      </c>
      <c r="Y144" s="6" t="str">
        <v>Internet Services &amp; Software</v>
      </c>
      <c r="Z144" s="6" t="str">
        <v>Internet Services &amp; Software</v>
      </c>
      <c r="AA144" s="6" t="str">
        <v>Other Peripherals;Monitors/Terminals;Operating Systems;Applications Software(Business;Internet Services &amp; Software;Computer Consulting Services</v>
      </c>
      <c r="AB144" s="6" t="str">
        <v>Applications Software(Business;Monitors/Terminals;Other Peripherals;Computer Consulting Services;Internet Services &amp; Software;Operating Systems</v>
      </c>
      <c r="AH144" s="6" t="str">
        <v>False</v>
      </c>
      <c r="AI144" s="6" t="str">
        <v>1999</v>
      </c>
      <c r="AJ144" s="6" t="str">
        <v>Completed</v>
      </c>
      <c r="AM144" s="6" t="str">
        <v>Not Applicable</v>
      </c>
      <c r="AO144" s="6" t="str">
        <v>Microsoft Corp acquired an undisclosed minority stake in Tuttle Decision Systems Inc.</v>
      </c>
    </row>
    <row r="145">
      <c r="A145" s="6" t="str">
        <v>594918</v>
      </c>
      <c r="B145" s="6" t="str">
        <v>United States</v>
      </c>
      <c r="C145" s="6" t="str">
        <v>Microsoft Corp</v>
      </c>
      <c r="D145" s="6" t="str">
        <v>Microsoft Corp</v>
      </c>
      <c r="F145" s="6" t="str">
        <v>United States</v>
      </c>
      <c r="G145" s="6" t="str">
        <v>Visio Corp</v>
      </c>
      <c r="H145" s="6" t="str">
        <v>Prepackaged Software</v>
      </c>
      <c r="I145" s="6" t="str">
        <v>927914</v>
      </c>
      <c r="J145" s="6" t="str">
        <v>Visio Corp</v>
      </c>
      <c r="K145" s="6" t="str">
        <v>Visio Corp</v>
      </c>
      <c r="L145" s="7">
        <f>=DATE(1999,9,15)</f>
        <v>36417.99949074074</v>
      </c>
      <c r="M145" s="7">
        <f>=DATE(2000,1,7)</f>
        <v>36531.99949074074</v>
      </c>
      <c r="N145" s="8">
        <v>1577.674</v>
      </c>
      <c r="O145" s="8">
        <v>1374.91</v>
      </c>
      <c r="P145" s="8" t="str">
        <v>1,266.96</v>
      </c>
      <c r="R145" s="8">
        <v>28.108</v>
      </c>
      <c r="S145" s="8">
        <v>165.995</v>
      </c>
      <c r="T145" s="8">
        <v>5.643</v>
      </c>
      <c r="U145" s="8">
        <v>-30.096</v>
      </c>
      <c r="V145" s="8">
        <v>30.856</v>
      </c>
      <c r="W145" s="6" t="str">
        <v>Operating Systems;Applications Software(Business;Monitors/Terminals;Internet Services &amp; Software;Other Peripherals;Computer Consulting Services</v>
      </c>
      <c r="X145" s="6" t="str">
        <v>Applications Software(Business</v>
      </c>
      <c r="Y145" s="6" t="str">
        <v>Applications Software(Business</v>
      </c>
      <c r="Z145" s="6" t="str">
        <v>Applications Software(Business</v>
      </c>
      <c r="AA145" s="6" t="str">
        <v>Operating Systems;Monitors/Terminals;Internet Services &amp; Software;Computer Consulting Services;Applications Software(Business;Other Peripherals</v>
      </c>
      <c r="AB145" s="6" t="str">
        <v>Applications Software(Business;Monitors/Terminals;Other Peripherals;Computer Consulting Services;Internet Services &amp; Software;Operating Systems</v>
      </c>
      <c r="AC145" s="8">
        <v>1374.91</v>
      </c>
      <c r="AD145" s="7">
        <f>=DATE(1999,9,15)</f>
        <v>36417.99949074074</v>
      </c>
      <c r="AE145" s="8">
        <v>1453.932974526</v>
      </c>
      <c r="AF145" s="8" t="str">
        <v>1,265.88</v>
      </c>
      <c r="AG145" s="8" t="str">
        <v>1,385.26</v>
      </c>
      <c r="AH145" s="6" t="str">
        <v>True</v>
      </c>
      <c r="AI145" s="6" t="str">
        <v>2000</v>
      </c>
      <c r="AJ145" s="6" t="str">
        <v>Completed</v>
      </c>
      <c r="AK145" s="8">
        <v>1453.932974526</v>
      </c>
      <c r="AL145" s="8">
        <v>33.987867</v>
      </c>
      <c r="AM145" s="6" t="str">
        <v>Pooling of Interests;Stock Swap</v>
      </c>
      <c r="AN145" s="8">
        <v>4.609</v>
      </c>
      <c r="AO145" s="6" t="str">
        <v>Microsoft Corp (MC) acquired all the outstanding common stock of Visio Corp (VC) in a stock swap transaction valued at $1.375 bil. MC offered VC .45 common shares per VC share. Based on MC's closing stock price of $95.063 on September 14, the last full trading day prior to the announcement, each VC share was valued at $42.778. The transaction was accounted for as a pooling of interests.</v>
      </c>
      <c r="AP145" s="6" t="str">
        <v>Option to acquire up to 19.9% stake at $42.78/sh is granted</v>
      </c>
    </row>
    <row r="146">
      <c r="A146" s="6" t="str">
        <v>594918</v>
      </c>
      <c r="B146" s="6" t="str">
        <v>United States</v>
      </c>
      <c r="C146" s="6" t="str">
        <v>Microsoft Corp</v>
      </c>
      <c r="D146" s="6" t="str">
        <v>Microsoft Corp</v>
      </c>
      <c r="F146" s="6" t="str">
        <v>United States</v>
      </c>
      <c r="G146" s="6" t="str">
        <v>Softway Systems Inc</v>
      </c>
      <c r="H146" s="6" t="str">
        <v>Prepackaged Software</v>
      </c>
      <c r="I146" s="6" t="str">
        <v>83331M</v>
      </c>
      <c r="J146" s="6" t="str">
        <v>Softway Systems Inc</v>
      </c>
      <c r="K146" s="6" t="str">
        <v>Softway Systems Inc</v>
      </c>
      <c r="L146" s="7">
        <f>=DATE(1999,9,19)</f>
        <v>36421.99949074074</v>
      </c>
      <c r="M146" s="7">
        <f>=DATE(1999,9,19)</f>
        <v>36421.99949074074</v>
      </c>
      <c r="W146" s="6" t="str">
        <v>Internet Services &amp; Software;Monitors/Terminals;Computer Consulting Services;Operating Systems;Applications Software(Business;Other Peripherals</v>
      </c>
      <c r="X146" s="6" t="str">
        <v>Communication/Network Software</v>
      </c>
      <c r="Y146" s="6" t="str">
        <v>Communication/Network Software</v>
      </c>
      <c r="Z146" s="6" t="str">
        <v>Communication/Network Software</v>
      </c>
      <c r="AA146" s="6" t="str">
        <v>Applications Software(Business;Internet Services &amp; Software;Other Peripherals;Monitors/Terminals;Computer Consulting Services;Operating Systems</v>
      </c>
      <c r="AB146" s="6" t="str">
        <v>Monitors/Terminals;Operating Systems;Other Peripherals;Internet Services &amp; Software;Computer Consulting Services;Applications Software(Business</v>
      </c>
      <c r="AH146" s="6" t="str">
        <v>True</v>
      </c>
      <c r="AI146" s="6" t="str">
        <v>1999</v>
      </c>
      <c r="AJ146" s="6" t="str">
        <v>Completed</v>
      </c>
      <c r="AM146" s="6" t="str">
        <v>Not Applicable</v>
      </c>
      <c r="AO146" s="6" t="str">
        <v>Microsoft Corp acquired Softway Systems Inc.</v>
      </c>
    </row>
    <row r="147">
      <c r="A147" s="6" t="str">
        <v>023135</v>
      </c>
      <c r="B147" s="6" t="str">
        <v>United States</v>
      </c>
      <c r="C147" s="6" t="str">
        <v>Amazon.com Inc</v>
      </c>
      <c r="D147" s="6" t="str">
        <v>Amazon.com Inc</v>
      </c>
      <c r="F147" s="6" t="str">
        <v>United States</v>
      </c>
      <c r="G147" s="6" t="str">
        <v>Convergence Corp</v>
      </c>
      <c r="H147" s="6" t="str">
        <v>Prepackaged Software</v>
      </c>
      <c r="I147" s="6" t="str">
        <v>21249E</v>
      </c>
      <c r="J147" s="6" t="str">
        <v>Convergence Corp</v>
      </c>
      <c r="K147" s="6" t="str">
        <v>Convergence Corp</v>
      </c>
      <c r="L147" s="7">
        <f>=DATE(1999,10,4)</f>
        <v>36436.99949074074</v>
      </c>
      <c r="M147" s="7">
        <f>=DATE(1999,10,4)</f>
        <v>36436.99949074074</v>
      </c>
      <c r="N147" s="8">
        <v>20</v>
      </c>
      <c r="O147" s="8">
        <v>20</v>
      </c>
      <c r="W147" s="6" t="str">
        <v>Primary Business not Hi-Tech</v>
      </c>
      <c r="X147" s="6" t="str">
        <v>Internet Services &amp; Software;Communication/Network Software</v>
      </c>
      <c r="Y147" s="6" t="str">
        <v>Internet Services &amp; Software;Communication/Network Software</v>
      </c>
      <c r="Z147" s="6" t="str">
        <v>Internet Services &amp; Software;Communication/Network Software</v>
      </c>
      <c r="AA147" s="6" t="str">
        <v>Primary Business not Hi-Tech</v>
      </c>
      <c r="AB147" s="6" t="str">
        <v>Primary Business not Hi-Tech</v>
      </c>
      <c r="AC147" s="8">
        <v>20</v>
      </c>
      <c r="AD147" s="7">
        <f>=DATE(1999,10,4)</f>
        <v>36436.99949074074</v>
      </c>
      <c r="AH147" s="6" t="str">
        <v>True</v>
      </c>
      <c r="AI147" s="6" t="str">
        <v>1999</v>
      </c>
      <c r="AJ147" s="6" t="str">
        <v>Completed</v>
      </c>
      <c r="AM147" s="6" t="str">
        <v>Not Applicable</v>
      </c>
      <c r="AO147" s="6" t="str">
        <v>Amazon.com Inc acquired Convergence Corp for an estimated $20 mil.</v>
      </c>
    </row>
    <row r="148">
      <c r="A148" s="6" t="str">
        <v>594918</v>
      </c>
      <c r="B148" s="6" t="str">
        <v>United States</v>
      </c>
      <c r="C148" s="6" t="str">
        <v>Microsoft Corp</v>
      </c>
      <c r="D148" s="6" t="str">
        <v>Microsoft Corp</v>
      </c>
      <c r="F148" s="6" t="str">
        <v>South Korea</v>
      </c>
      <c r="G148" s="6" t="str">
        <v>Thrunet Co Ltd</v>
      </c>
      <c r="H148" s="6" t="str">
        <v>Telecommunications</v>
      </c>
      <c r="I148" s="6" t="str">
        <v>88602V</v>
      </c>
      <c r="J148" s="6" t="str">
        <v>Thrunet Co Ltd</v>
      </c>
      <c r="K148" s="6" t="str">
        <v>Thrunet Co Ltd</v>
      </c>
      <c r="L148" s="7">
        <f>=DATE(1999,10,7)</f>
        <v>36439.99949074074</v>
      </c>
      <c r="N148" s="8">
        <v>10.0113926788686</v>
      </c>
      <c r="O148" s="8">
        <v>10.0113926788686</v>
      </c>
      <c r="W148" s="6" t="str">
        <v>Monitors/Terminals;Computer Consulting Services;Operating Systems;Other Peripherals;Applications Software(Business;Internet Services &amp; Software</v>
      </c>
      <c r="X148" s="6" t="str">
        <v>Internet Services &amp; Software</v>
      </c>
      <c r="Y148" s="6" t="str">
        <v>Internet Services &amp; Software</v>
      </c>
      <c r="Z148" s="6" t="str">
        <v>Internet Services &amp; Software</v>
      </c>
      <c r="AA148" s="6" t="str">
        <v>Applications Software(Business;Internet Services &amp; Software;Operating Systems;Computer Consulting Services;Monitors/Terminals;Other Peripherals</v>
      </c>
      <c r="AB148" s="6" t="str">
        <v>Monitors/Terminals;Applications Software(Business;Other Peripherals;Operating Systems;Computer Consulting Services;Internet Services &amp; Software</v>
      </c>
      <c r="AC148" s="8">
        <v>10.0113926788686</v>
      </c>
      <c r="AD148" s="7">
        <f>=DATE(1999,10,7)</f>
        <v>36439.99949074074</v>
      </c>
      <c r="AF148" s="8" t="str">
        <v>185.40</v>
      </c>
      <c r="AH148" s="6" t="str">
        <v>False</v>
      </c>
      <c r="AJ148" s="6" t="str">
        <v>Pending</v>
      </c>
      <c r="AM148" s="6" t="str">
        <v>Not Applicable</v>
      </c>
      <c r="AO148" s="6" t="str">
        <v>Microsoft Corp planned to acquire a 5.4% stake in Thrunet Co Ltd, for an estimated 12.034 bil Korean won ($10 mil US).</v>
      </c>
    </row>
    <row r="149">
      <c r="A149" s="6" t="str">
        <v>594918</v>
      </c>
      <c r="B149" s="6" t="str">
        <v>United States</v>
      </c>
      <c r="C149" s="6" t="str">
        <v>Microsoft Corp</v>
      </c>
      <c r="D149" s="6" t="str">
        <v>Microsoft Corp</v>
      </c>
      <c r="E149" s="6" t="str">
        <v>AT&amp;T Corp;Microsoft Corp</v>
      </c>
      <c r="F149" s="6" t="str">
        <v>United Kingdom</v>
      </c>
      <c r="G149" s="6" t="str">
        <v>Telewest Communications PLC</v>
      </c>
      <c r="H149" s="6" t="str">
        <v>Radio and Television Broadcasting Stations</v>
      </c>
      <c r="I149" s="6" t="str">
        <v>87956P</v>
      </c>
      <c r="J149" s="6" t="str">
        <v>NTL Inc</v>
      </c>
      <c r="K149" s="6" t="str">
        <v>Telewest Global Inc</v>
      </c>
      <c r="L149" s="7">
        <f>=DATE(1999,10,21)</f>
        <v>36453.99949074074</v>
      </c>
      <c r="M149" s="7">
        <f>=DATE(2000,7,7)</f>
        <v>36713.99949074074</v>
      </c>
      <c r="N149" s="8">
        <v>2156.25460513095</v>
      </c>
      <c r="O149" s="8">
        <v>2272.42280125929</v>
      </c>
      <c r="P149" s="8" t="str">
        <v>4,437.55</v>
      </c>
      <c r="Q149" s="8" t="str">
        <v>49,278.87;5,000.00</v>
      </c>
      <c r="R149" s="8">
        <v>-516.816896283678</v>
      </c>
      <c r="S149" s="8">
        <v>891.742057125846</v>
      </c>
      <c r="T149" s="8">
        <v>1036.3358556</v>
      </c>
      <c r="U149" s="8">
        <v>-1051.3885581</v>
      </c>
      <c r="V149" s="8">
        <v>33.83748</v>
      </c>
      <c r="W149" s="6" t="str">
        <v>Internet Services &amp; Software;Applications Software(Business;Other Peripherals;Monitors/Terminals;Operating Systems;Computer Consulting Services</v>
      </c>
      <c r="X149" s="6" t="str">
        <v>Internet Services &amp; Software;Satellite Communications</v>
      </c>
      <c r="Y149" s="6" t="str">
        <v>Telecommunications Equipment</v>
      </c>
      <c r="Z149" s="6" t="str">
        <v>Internet Services &amp; Software;Communication/Network Software</v>
      </c>
      <c r="AA149" s="6" t="str">
        <v>Computer Consulting Services;Operating Systems;Other Peripherals;Monitors/Terminals;Applications Software(Business;Internet Services &amp; Software</v>
      </c>
      <c r="AB149" s="6" t="str">
        <v>Other Peripherals;Operating Systems;Monitors/Terminals;Computer Consulting Services;Internet Services &amp; Software;Applications Software(Business</v>
      </c>
      <c r="AC149" s="8">
        <v>2272.42280125929</v>
      </c>
      <c r="AD149" s="7">
        <f>=DATE(1999,10,21)</f>
        <v>36453.99949074074</v>
      </c>
      <c r="AE149" s="8">
        <v>988.888174167727</v>
      </c>
      <c r="AF149" s="8" t="str">
        <v>4,978.72</v>
      </c>
      <c r="AG149" s="8" t="str">
        <v>3,954.98</v>
      </c>
      <c r="AH149" s="6" t="str">
        <v>True</v>
      </c>
      <c r="AI149" s="6" t="str">
        <v>2000</v>
      </c>
      <c r="AJ149" s="6" t="str">
        <v>Completed</v>
      </c>
      <c r="AK149" s="8">
        <v>988.888174167727</v>
      </c>
      <c r="AL149" s="8">
        <v>49.060926</v>
      </c>
      <c r="AM149" s="6" t="str">
        <v>Privately Negotiated Purchase</v>
      </c>
      <c r="AN149" s="8">
        <v>1519.54914575856</v>
      </c>
      <c r="AO149" s="6" t="str">
        <v>Microsoft Corp (MC) acquired a 22.98% stake, or 490,609,260 American Depositary Shares (ADS), in Telewest Communications PLC (TC), from MediaOne Group Inc (MO), in a privately negotiated transaction, valued at 1.357 bil British pounds ($2.263 bil US). MC offered .05 common shares per TC ADS. Each TC ordinary share was equivalent to 10 ADS'. Based on MC's closing stock price of 55.319 pounds ($92.25) on October 20, the last full trading day prior to the announcement each TC share was valued at 2.766 pounds ($4.613). Concurrently, MC acquired a minority stake in AT&amp;T Corp for $5 bil. Previously, AT&amp;T Corp acquired MediaOne Group Inc for $60.52 bil.</v>
      </c>
    </row>
    <row r="150">
      <c r="A150" s="6" t="str">
        <v>98870Q</v>
      </c>
      <c r="B150" s="6" t="str">
        <v>United States</v>
      </c>
      <c r="C150" s="6" t="str">
        <v>Yupi Internet Inc</v>
      </c>
      <c r="D150" s="6" t="str">
        <v>Yupi Internet Inc</v>
      </c>
      <c r="F150" s="6" t="str">
        <v>Colombia</v>
      </c>
      <c r="G150" s="6" t="str">
        <v>Bogota.Com</v>
      </c>
      <c r="H150" s="6" t="str">
        <v>Business Services</v>
      </c>
      <c r="I150" s="6" t="str">
        <v>09722T</v>
      </c>
      <c r="J150" s="6" t="str">
        <v>Bogota.Com</v>
      </c>
      <c r="K150" s="6" t="str">
        <v>Bogota.Com</v>
      </c>
      <c r="L150" s="7">
        <f>=DATE(1999,10,25)</f>
        <v>36457.99949074074</v>
      </c>
      <c r="M150" s="7">
        <f>=DATE(1999,10,25)</f>
        <v>36457.99949074074</v>
      </c>
      <c r="W150" s="6" t="str">
        <v>Internet Services &amp; Software</v>
      </c>
      <c r="X150" s="6" t="str">
        <v>Communication/Network Software;Internet Services &amp; Software</v>
      </c>
      <c r="Y150" s="6" t="str">
        <v>Communication/Network Software;Internet Services &amp; Software</v>
      </c>
      <c r="Z150" s="6" t="str">
        <v>Internet Services &amp; Software;Communication/Network Software</v>
      </c>
      <c r="AA150" s="6" t="str">
        <v>Internet Services &amp; Software</v>
      </c>
      <c r="AB150" s="6" t="str">
        <v>Internet Services &amp; Software</v>
      </c>
      <c r="AH150" s="6" t="str">
        <v>False</v>
      </c>
      <c r="AI150" s="6" t="str">
        <v>1999</v>
      </c>
      <c r="AJ150" s="6" t="str">
        <v>Completed</v>
      </c>
      <c r="AM150" s="6" t="str">
        <v>Not Applicable</v>
      </c>
      <c r="AO150" s="6" t="str">
        <v>Yupi.Com acquired Bogota.Com.</v>
      </c>
    </row>
    <row r="151">
      <c r="A151" s="6" t="str">
        <v>594918</v>
      </c>
      <c r="B151" s="6" t="str">
        <v>United States</v>
      </c>
      <c r="C151" s="6" t="str">
        <v>Microsoft Corp</v>
      </c>
      <c r="D151" s="6" t="str">
        <v>Microsoft Corp</v>
      </c>
      <c r="F151" s="6" t="str">
        <v>Taiwan</v>
      </c>
      <c r="G151" s="6" t="str">
        <v>Hoshin Giga-Media Center</v>
      </c>
      <c r="H151" s="6" t="str">
        <v>Business Services</v>
      </c>
      <c r="I151" s="6" t="str">
        <v>44102T</v>
      </c>
      <c r="J151" s="6" t="str">
        <v>Hoshin Giga-Media Center</v>
      </c>
      <c r="K151" s="6" t="str">
        <v>Hoshin Giga-Media Center</v>
      </c>
      <c r="L151" s="7">
        <f>=DATE(1999,10,28)</f>
        <v>36460.99949074074</v>
      </c>
      <c r="W151" s="6" t="str">
        <v>Other Peripherals;Computer Consulting Services;Operating Systems;Internet Services &amp; Software;Monitors/Terminals;Applications Software(Business</v>
      </c>
      <c r="X151" s="6" t="str">
        <v>Internet Services &amp; Software</v>
      </c>
      <c r="Y151" s="6" t="str">
        <v>Internet Services &amp; Software</v>
      </c>
      <c r="Z151" s="6" t="str">
        <v>Internet Services &amp; Software</v>
      </c>
      <c r="AA151" s="6" t="str">
        <v>Other Peripherals;Operating Systems;Monitors/Terminals;Computer Consulting Services;Internet Services &amp; Software;Applications Software(Business</v>
      </c>
      <c r="AB151" s="6" t="str">
        <v>Other Peripherals;Monitors/Terminals;Applications Software(Business;Computer Consulting Services;Operating Systems;Internet Services &amp; Software</v>
      </c>
      <c r="AH151" s="6" t="str">
        <v>False</v>
      </c>
      <c r="AJ151" s="6" t="str">
        <v>Pending</v>
      </c>
      <c r="AM151" s="6" t="str">
        <v>Not Applicable</v>
      </c>
      <c r="AO151" s="6" t="str">
        <v>Microsoft Corp planned to acquire an undisclosed minority stake in Hoshin Giga-Media Center.</v>
      </c>
    </row>
    <row r="152">
      <c r="A152" s="6" t="str">
        <v>594918</v>
      </c>
      <c r="B152" s="6" t="str">
        <v>United States</v>
      </c>
      <c r="C152" s="6" t="str">
        <v>Microsoft Corp</v>
      </c>
      <c r="D152" s="6" t="str">
        <v>Microsoft Corp</v>
      </c>
      <c r="F152" s="6" t="str">
        <v>United States</v>
      </c>
      <c r="G152" s="6" t="str">
        <v>Entropic Inc</v>
      </c>
      <c r="H152" s="6" t="str">
        <v>Prepackaged Software</v>
      </c>
      <c r="I152" s="6" t="str">
        <v>29351T</v>
      </c>
      <c r="J152" s="6" t="str">
        <v>Entropic Inc</v>
      </c>
      <c r="K152" s="6" t="str">
        <v>Entropic Inc</v>
      </c>
      <c r="L152" s="7">
        <f>=DATE(1999,10,29)</f>
        <v>36461.99949074074</v>
      </c>
      <c r="M152" s="7">
        <f>=DATE(1999,10,29)</f>
        <v>36461.99949074074</v>
      </c>
      <c r="W152" s="6" t="str">
        <v>Computer Consulting Services;Internet Services &amp; Software;Monitors/Terminals;Other Peripherals;Operating Systems;Applications Software(Business</v>
      </c>
      <c r="X152" s="6" t="str">
        <v>Communication/Network Software</v>
      </c>
      <c r="Y152" s="6" t="str">
        <v>Communication/Network Software</v>
      </c>
      <c r="Z152" s="6" t="str">
        <v>Communication/Network Software</v>
      </c>
      <c r="AA152" s="6" t="str">
        <v>Operating Systems;Monitors/Terminals;Internet Services &amp; Software;Computer Consulting Services;Applications Software(Business;Other Peripherals</v>
      </c>
      <c r="AB152" s="6" t="str">
        <v>Computer Consulting Services;Other Peripherals;Applications Software(Business;Internet Services &amp; Software;Operating Systems;Monitors/Terminals</v>
      </c>
      <c r="AH152" s="6" t="str">
        <v>False</v>
      </c>
      <c r="AI152" s="6" t="str">
        <v>1999</v>
      </c>
      <c r="AJ152" s="6" t="str">
        <v>Completed</v>
      </c>
      <c r="AM152" s="6" t="str">
        <v>Not Applicable</v>
      </c>
      <c r="AO152" s="6" t="str">
        <v>Microsoft Corp acquired Entropic Inc.</v>
      </c>
    </row>
    <row r="153">
      <c r="A153" s="6" t="str">
        <v>594918</v>
      </c>
      <c r="B153" s="6" t="str">
        <v>United States</v>
      </c>
      <c r="C153" s="6" t="str">
        <v>Microsoft Corp</v>
      </c>
      <c r="D153" s="6" t="str">
        <v>Microsoft Corp</v>
      </c>
      <c r="F153" s="6" t="str">
        <v>Israel</v>
      </c>
      <c r="G153" s="6" t="str">
        <v>CommTouch Software Ltd</v>
      </c>
      <c r="H153" s="6" t="str">
        <v>Prepackaged Software</v>
      </c>
      <c r="I153" s="6" t="str">
        <v>M25596</v>
      </c>
      <c r="J153" s="6" t="str">
        <v>CommTouch Software Ltd</v>
      </c>
      <c r="K153" s="6" t="str">
        <v>CommTouch Software Ltd</v>
      </c>
      <c r="L153" s="7">
        <f>=DATE(1999,11,1)</f>
        <v>36464.99949074074</v>
      </c>
      <c r="M153" s="7">
        <f>=DATE(1999,12,30)</f>
        <v>36523.99949074074</v>
      </c>
      <c r="N153" s="8">
        <v>20.4765809657035</v>
      </c>
      <c r="O153" s="8">
        <v>20.4765809657035</v>
      </c>
      <c r="S153" s="8">
        <v>0.300717484470554</v>
      </c>
      <c r="W153" s="6" t="str">
        <v>Computer Consulting Services;Internet Services &amp; Software;Operating Systems;Monitors/Terminals;Other Peripherals;Applications Software(Business</v>
      </c>
      <c r="X153" s="6" t="str">
        <v>Communication/Network Software;Internet Services &amp; Software</v>
      </c>
      <c r="Y153" s="6" t="str">
        <v>Communication/Network Software;Internet Services &amp; Software</v>
      </c>
      <c r="Z153" s="6" t="str">
        <v>Internet Services &amp; Software;Communication/Network Software</v>
      </c>
      <c r="AA153" s="6" t="str">
        <v>Monitors/Terminals;Other Peripherals;Computer Consulting Services;Internet Services &amp; Software;Applications Software(Business;Operating Systems</v>
      </c>
      <c r="AB153" s="6" t="str">
        <v>Operating Systems;Other Peripherals;Internet Services &amp; Software;Computer Consulting Services;Monitors/Terminals;Applications Software(Business</v>
      </c>
      <c r="AC153" s="8">
        <v>20.4765809657035</v>
      </c>
      <c r="AD153" s="7">
        <f>=DATE(1999,12,30)</f>
        <v>36523.99949074074</v>
      </c>
      <c r="AE153" s="8">
        <v>365.764967201775</v>
      </c>
      <c r="AH153" s="6" t="str">
        <v>True</v>
      </c>
      <c r="AI153" s="6" t="str">
        <v>1999</v>
      </c>
      <c r="AJ153" s="6" t="str">
        <v>Completed</v>
      </c>
      <c r="AK153" s="8">
        <v>365.764967201775</v>
      </c>
      <c r="AL153" s="8">
        <v>0.707964</v>
      </c>
      <c r="AM153" s="6" t="str">
        <v>Privately Negotiated Purchase</v>
      </c>
      <c r="AO153" s="6" t="str">
        <v>ISRAEL - Microsoft Corp of the US exercised its call option to acquire 707,964 ordinary shares, or about 5.6% of the entire share capital of CommTouch Software Ltd, a developer of email software, for 119.958 Israeli shekels ($28.25) per share, or a total value of 84.926 mil shekels ($20 mil), in a privately negotiated transaction.</v>
      </c>
    </row>
    <row r="154">
      <c r="A154" s="6" t="str">
        <v>037833</v>
      </c>
      <c r="B154" s="6" t="str">
        <v>United States</v>
      </c>
      <c r="C154" s="6" t="str">
        <v>Apple Computer Inc</v>
      </c>
      <c r="D154" s="6" t="str">
        <v>Apple Computer Inc</v>
      </c>
      <c r="F154" s="6" t="str">
        <v>United States</v>
      </c>
      <c r="G154" s="6" t="str">
        <v>Raycer Graphics</v>
      </c>
      <c r="H154" s="6" t="str">
        <v>Wholesale Trade-Durable Goods</v>
      </c>
      <c r="I154" s="6" t="str">
        <v>75458V</v>
      </c>
      <c r="J154" s="6" t="str">
        <v>Raycer Graphics</v>
      </c>
      <c r="K154" s="6" t="str">
        <v>Raycer Graphics</v>
      </c>
      <c r="L154" s="7">
        <f>=DATE(1999,11,3)</f>
        <v>36466.99949074074</v>
      </c>
      <c r="M154" s="7">
        <f>=DATE(1999,11,3)</f>
        <v>36466.99949074074</v>
      </c>
      <c r="N154" s="8">
        <v>15</v>
      </c>
      <c r="O154" s="8">
        <v>15</v>
      </c>
      <c r="W154" s="6" t="str">
        <v>Other Software (inq. Games);Monitors/Terminals;Disk Drives;Printers;Mainframes &amp; Super Computers;Portable Computers;Micro-Computers (PCs);Other Peripherals</v>
      </c>
      <c r="X154" s="6" t="str">
        <v>Primary Business not Hi-Tech;Other Peripherals</v>
      </c>
      <c r="Y154" s="6" t="str">
        <v>Primary Business not Hi-Tech;Other Peripherals</v>
      </c>
      <c r="Z154" s="6" t="str">
        <v>Primary Business not Hi-Tech;Other Peripherals</v>
      </c>
      <c r="AA154" s="6" t="str">
        <v>Printers;Mainframes &amp; Super Computers;Monitors/Terminals;Disk Drives;Other Software (inq. Games);Portable Computers;Micro-Computers (PCs);Other Peripherals</v>
      </c>
      <c r="AB154" s="6" t="str">
        <v>Disk Drives;Printers;Portable Computers;Mainframes &amp; Super Computers;Monitors/Terminals;Other Peripherals;Other Software (inq. Games);Micro-Computers (PCs)</v>
      </c>
      <c r="AC154" s="8">
        <v>15</v>
      </c>
      <c r="AD154" s="7">
        <f>=DATE(1999,11,3)</f>
        <v>36466.99949074074</v>
      </c>
      <c r="AH154" s="6" t="str">
        <v>True</v>
      </c>
      <c r="AI154" s="6" t="str">
        <v>1999</v>
      </c>
      <c r="AJ154" s="6" t="str">
        <v>Completed</v>
      </c>
      <c r="AM154" s="6" t="str">
        <v>Not Applicable</v>
      </c>
      <c r="AO154" s="6" t="str">
        <v>Apple Computer Inc acquired Raycer Graphics for an estimated $15 mil.</v>
      </c>
    </row>
    <row r="155">
      <c r="A155" s="6" t="str">
        <v>594918</v>
      </c>
      <c r="B155" s="6" t="str">
        <v>United States</v>
      </c>
      <c r="C155" s="6" t="str">
        <v>Microsoft Corp</v>
      </c>
      <c r="D155" s="6" t="str">
        <v>Microsoft Corp</v>
      </c>
      <c r="F155" s="6" t="str">
        <v>Taiwan</v>
      </c>
      <c r="G155" s="6" t="str">
        <v>Gigamedia Ltd</v>
      </c>
      <c r="H155" s="6" t="str">
        <v>Business Services</v>
      </c>
      <c r="I155" s="6" t="str">
        <v>Y2711Y</v>
      </c>
      <c r="J155" s="6" t="str">
        <v>Gigamedia Ltd</v>
      </c>
      <c r="K155" s="6" t="str">
        <v>Gigamedia Ltd</v>
      </c>
      <c r="L155" s="7">
        <f>=DATE(1999,11,11)</f>
        <v>36474.99949074074</v>
      </c>
      <c r="M155" s="7">
        <f>=DATE(1999,12,31)</f>
        <v>36524.99949074074</v>
      </c>
      <c r="N155" s="8">
        <v>31.5059861373661</v>
      </c>
      <c r="O155" s="8">
        <v>31.5059861373661</v>
      </c>
      <c r="P155" s="8" t="str">
        <v>304.45</v>
      </c>
      <c r="R155" s="8">
        <v>-22.9790488032328</v>
      </c>
      <c r="S155" s="8">
        <v>0.106589990674541</v>
      </c>
      <c r="W155" s="6" t="str">
        <v>Internet Services &amp; Software;Computer Consulting Services;Monitors/Terminals;Other Peripherals;Applications Software(Business;Operating Systems</v>
      </c>
      <c r="X155" s="6" t="str">
        <v>Internet Services &amp; Software;Communication/Network Software</v>
      </c>
      <c r="Y155" s="6" t="str">
        <v>Communication/Network Software;Internet Services &amp; Software</v>
      </c>
      <c r="Z155" s="6" t="str">
        <v>Internet Services &amp; Software;Communication/Network Software</v>
      </c>
      <c r="AA155" s="6" t="str">
        <v>Internet Services &amp; Software;Other Peripherals;Operating Systems;Monitors/Terminals;Applications Software(Business;Computer Consulting Services</v>
      </c>
      <c r="AB155" s="6" t="str">
        <v>Applications Software(Business;Internet Services &amp; Software;Other Peripherals;Monitors/Terminals;Computer Consulting Services;Operating Systems</v>
      </c>
      <c r="AC155" s="8">
        <v>31.5059861373661</v>
      </c>
      <c r="AD155" s="7">
        <f>=DATE(1999,11,11)</f>
        <v>36474.99949074074</v>
      </c>
      <c r="AF155" s="8" t="str">
        <v>308.57</v>
      </c>
      <c r="AG155" s="8" t="str">
        <v>312.11</v>
      </c>
      <c r="AH155" s="6" t="str">
        <v>True</v>
      </c>
      <c r="AI155" s="6" t="str">
        <v>1999</v>
      </c>
      <c r="AJ155" s="6" t="str">
        <v>Completed</v>
      </c>
      <c r="AM155" s="6" t="str">
        <v>Not Applicable</v>
      </c>
      <c r="AN155" s="8">
        <v>1.35492695057507</v>
      </c>
      <c r="AO155" s="6" t="str">
        <v>Microsoft Corp acquired a 10% stake in Gigamedia Ltd for an estimated 1 bil Taiwanese dollars ($31.47 mil US).</v>
      </c>
    </row>
    <row r="156">
      <c r="A156" s="6" t="str">
        <v>594918</v>
      </c>
      <c r="B156" s="6" t="str">
        <v>United States</v>
      </c>
      <c r="C156" s="6" t="str">
        <v>Microsoft Corp</v>
      </c>
      <c r="D156" s="6" t="str">
        <v>Microsoft Corp</v>
      </c>
      <c r="F156" s="6" t="str">
        <v>South Korea</v>
      </c>
      <c r="G156" s="6" t="str">
        <v>Korea Thrunet Co</v>
      </c>
      <c r="H156" s="6" t="str">
        <v>Business Services</v>
      </c>
      <c r="I156" s="6" t="str">
        <v>Y49975</v>
      </c>
      <c r="J156" s="6" t="str">
        <v>Korea Thrunet Co</v>
      </c>
      <c r="K156" s="6" t="str">
        <v>Korea Thrunet Co</v>
      </c>
      <c r="L156" s="7">
        <f>=DATE(1999,11,24)</f>
        <v>36487.99949074074</v>
      </c>
      <c r="M156" s="7">
        <f>=DATE(1999,12,3)</f>
        <v>36496.99949074074</v>
      </c>
      <c r="N156" s="8">
        <v>36.2318843478261</v>
      </c>
      <c r="O156" s="8">
        <v>36.2318843478261</v>
      </c>
      <c r="W156" s="6" t="str">
        <v>Operating Systems;Monitors/Terminals;Other Peripherals;Applications Software(Business;Internet Services &amp; Software;Computer Consulting Services</v>
      </c>
      <c r="X156" s="6" t="str">
        <v>Internet Services &amp; Software;Communication/Network Software</v>
      </c>
      <c r="Y156" s="6" t="str">
        <v>Communication/Network Software;Internet Services &amp; Software</v>
      </c>
      <c r="Z156" s="6" t="str">
        <v>Communication/Network Software;Internet Services &amp; Software</v>
      </c>
      <c r="AA156" s="6" t="str">
        <v>Monitors/Terminals;Computer Consulting Services;Applications Software(Business;Other Peripherals;Internet Services &amp; Software;Operating Systems</v>
      </c>
      <c r="AB156" s="6" t="str">
        <v>Other Peripherals;Computer Consulting Services;Applications Software(Business;Operating Systems;Monitors/Terminals;Internet Services &amp; Software</v>
      </c>
      <c r="AC156" s="8">
        <v>36.2318843478261</v>
      </c>
      <c r="AD156" s="7">
        <f>=DATE(1999,12,3)</f>
        <v>36496.99949074074</v>
      </c>
      <c r="AF156" s="8" t="str">
        <v>597.63</v>
      </c>
      <c r="AG156" s="8" t="str">
        <v>603.86</v>
      </c>
      <c r="AH156" s="6" t="str">
        <v>False</v>
      </c>
      <c r="AI156" s="6" t="str">
        <v>1999</v>
      </c>
      <c r="AJ156" s="6" t="str">
        <v>Completed</v>
      </c>
      <c r="AM156" s="6" t="str">
        <v>Open Market Purchase</v>
      </c>
      <c r="AO156" s="6" t="str">
        <v>Microsoft Corp raised its stake to 10.5% from 4.5% in Korea Thrunet Co Ltd, for 41.667 bil Korean won ($36 mil US), in open market ransactions.</v>
      </c>
    </row>
    <row r="157">
      <c r="A157" s="6" t="str">
        <v>023135</v>
      </c>
      <c r="B157" s="6" t="str">
        <v>United States</v>
      </c>
      <c r="C157" s="6" t="str">
        <v>Amazon.com Inc</v>
      </c>
      <c r="D157" s="6" t="str">
        <v>Amazon.com Inc</v>
      </c>
      <c r="F157" s="6" t="str">
        <v>United States</v>
      </c>
      <c r="G157" s="6" t="str">
        <v>Ashford.Com Inc</v>
      </c>
      <c r="H157" s="6" t="str">
        <v>Miscellaneous Retail Trade</v>
      </c>
      <c r="I157" s="6" t="str">
        <v>044093</v>
      </c>
      <c r="J157" s="6" t="str">
        <v>Ashford.Com Inc</v>
      </c>
      <c r="K157" s="6" t="str">
        <v>Ashford.Com Inc</v>
      </c>
      <c r="L157" s="7">
        <f>=DATE(1999,12,1)</f>
        <v>36494.99949074074</v>
      </c>
      <c r="M157" s="7">
        <f>=DATE(2000,1,14)</f>
        <v>36538.99949074074</v>
      </c>
      <c r="N157" s="8">
        <v>10</v>
      </c>
      <c r="O157" s="8">
        <v>10</v>
      </c>
      <c r="P157" s="8" t="str">
        <v>60.34</v>
      </c>
      <c r="R157" s="8">
        <v>-1.3</v>
      </c>
      <c r="S157" s="8">
        <v>5.9</v>
      </c>
      <c r="T157" s="8">
        <v>5</v>
      </c>
      <c r="U157" s="8">
        <v>-0.4</v>
      </c>
      <c r="V157" s="8">
        <v>-3.7</v>
      </c>
      <c r="W157" s="6" t="str">
        <v>Primary Business not Hi-Tech</v>
      </c>
      <c r="X157" s="6" t="str">
        <v>Internet Services &amp; Software</v>
      </c>
      <c r="Y157" s="6" t="str">
        <v>Internet Services &amp; Software</v>
      </c>
      <c r="Z157" s="6" t="str">
        <v>Internet Services &amp; Software</v>
      </c>
      <c r="AA157" s="6" t="str">
        <v>Primary Business not Hi-Tech</v>
      </c>
      <c r="AB157" s="6" t="str">
        <v>Primary Business not Hi-Tech</v>
      </c>
      <c r="AC157" s="8">
        <v>10</v>
      </c>
      <c r="AD157" s="7">
        <f>=DATE(1999,12,1)</f>
        <v>36494.99949074074</v>
      </c>
      <c r="AF157" s="8" t="str">
        <v>60.34</v>
      </c>
      <c r="AG157" s="8" t="str">
        <v>60.34</v>
      </c>
      <c r="AH157" s="6" t="str">
        <v>True</v>
      </c>
      <c r="AI157" s="6" t="str">
        <v>2000</v>
      </c>
      <c r="AJ157" s="6" t="str">
        <v>Completed</v>
      </c>
      <c r="AL157" s="8">
        <v>6.119495</v>
      </c>
      <c r="AM157" s="6" t="str">
        <v>Privately Negotiated Purchase</v>
      </c>
      <c r="AO157" s="6" t="str">
        <v>US - Amazon.com Inc acquired a 16.6% stake, or 6.119 mil common shares, in Ashford.com Inc, an Internet retailer of luxury goods, for $10 mil in cash, in a privately negotiated transaction.</v>
      </c>
    </row>
    <row r="158">
      <c r="A158" s="6" t="str">
        <v>98870Q</v>
      </c>
      <c r="B158" s="6" t="str">
        <v>United States</v>
      </c>
      <c r="C158" s="6" t="str">
        <v>Yupi Internet Inc</v>
      </c>
      <c r="D158" s="6" t="str">
        <v>Yupi Internet Inc</v>
      </c>
      <c r="F158" s="6" t="str">
        <v>Argentina</v>
      </c>
      <c r="G158" s="6" t="str">
        <v>LaCosa.Com</v>
      </c>
      <c r="H158" s="6" t="str">
        <v>Business Services</v>
      </c>
      <c r="I158" s="6" t="str">
        <v>50561V</v>
      </c>
      <c r="J158" s="6" t="str">
        <v>LaCosa.Com</v>
      </c>
      <c r="K158" s="6" t="str">
        <v>LaCosa.Com</v>
      </c>
      <c r="L158" s="7">
        <f>=DATE(1999,12,1)</f>
        <v>36494.99949074074</v>
      </c>
      <c r="M158" s="7">
        <f>=DATE(1999,12,1)</f>
        <v>36494.99949074074</v>
      </c>
      <c r="W158" s="6" t="str">
        <v>Internet Services &amp; Software</v>
      </c>
      <c r="X158" s="6" t="str">
        <v>Internet Services &amp; Software</v>
      </c>
      <c r="Y158" s="6" t="str">
        <v>Internet Services &amp; Software</v>
      </c>
      <c r="Z158" s="6" t="str">
        <v>Internet Services &amp; Software</v>
      </c>
      <c r="AA158" s="6" t="str">
        <v>Internet Services &amp; Software</v>
      </c>
      <c r="AB158" s="6" t="str">
        <v>Internet Services &amp; Software</v>
      </c>
      <c r="AH158" s="6" t="str">
        <v>False</v>
      </c>
      <c r="AI158" s="6" t="str">
        <v>1999</v>
      </c>
      <c r="AJ158" s="6" t="str">
        <v>Completed</v>
      </c>
      <c r="AM158" s="6" t="str">
        <v>Not Applicable</v>
      </c>
      <c r="AO158" s="6" t="str">
        <v>Yupi.com acquired LaCosa.Com.</v>
      </c>
    </row>
    <row r="159">
      <c r="A159" s="6" t="str">
        <v>594918</v>
      </c>
      <c r="B159" s="6" t="str">
        <v>United States</v>
      </c>
      <c r="C159" s="6" t="str">
        <v>Microsoft Corp</v>
      </c>
      <c r="D159" s="6" t="str">
        <v>Microsoft Corp</v>
      </c>
      <c r="F159" s="6" t="str">
        <v>Brazil</v>
      </c>
      <c r="G159" s="6" t="str">
        <v>Globocabo.com(Globo Cabo SA)</v>
      </c>
      <c r="H159" s="6" t="str">
        <v>Business Services</v>
      </c>
      <c r="I159" s="6" t="str">
        <v>37992C</v>
      </c>
      <c r="J159" s="6" t="str">
        <v>Globo Cabo SA</v>
      </c>
      <c r="K159" s="6" t="str">
        <v>Globo Cabo SA</v>
      </c>
      <c r="L159" s="7">
        <f>=DATE(1999,12,17)</f>
        <v>36510.99949074074</v>
      </c>
      <c r="W159" s="6" t="str">
        <v>Operating Systems;Internet Services &amp; Software;Monitors/Terminals;Other Peripherals;Applications Software(Business;Computer Consulting Services</v>
      </c>
      <c r="X159" s="6" t="str">
        <v>Communication/Network Software;Internet Services &amp; Software</v>
      </c>
      <c r="Y159" s="6" t="str">
        <v>Primary Business not Hi-Tech</v>
      </c>
      <c r="Z159" s="6" t="str">
        <v>Primary Business not Hi-Tech</v>
      </c>
      <c r="AA159" s="6" t="str">
        <v>Operating Systems;Internet Services &amp; Software;Monitors/Terminals;Other Peripherals;Computer Consulting Services;Applications Software(Business</v>
      </c>
      <c r="AB159" s="6" t="str">
        <v>Internet Services &amp; Software;Other Peripherals;Monitors/Terminals;Computer Consulting Services;Operating Systems;Applications Software(Business</v>
      </c>
      <c r="AH159" s="6" t="str">
        <v>False</v>
      </c>
      <c r="AJ159" s="6" t="str">
        <v>Pending</v>
      </c>
      <c r="AM159" s="6" t="str">
        <v>Open Market Purchase</v>
      </c>
      <c r="AO159" s="6" t="str">
        <v>BRAZIL - Microsoft Corp planned to raise its stake to 25% from 15% in Globocabo.com, an internet service provider and unit of Globo Cabo Holdings SA's (GCH) Globo Cabo SA subsidiary, by acquiring a 10% stake in a privately negotiated transaction. GCH was a unit of Globopar. Terms were not disclosed.</v>
      </c>
    </row>
    <row r="160">
      <c r="A160" s="6" t="str">
        <v>594918</v>
      </c>
      <c r="B160" s="6" t="str">
        <v>United States</v>
      </c>
      <c r="C160" s="6" t="str">
        <v>Microsoft Corp</v>
      </c>
      <c r="D160" s="6" t="str">
        <v>Microsoft Corp</v>
      </c>
      <c r="F160" s="6" t="str">
        <v>United States</v>
      </c>
      <c r="G160" s="6" t="str">
        <v>InterVU Inc</v>
      </c>
      <c r="H160" s="6" t="str">
        <v>Business Services</v>
      </c>
      <c r="I160" s="6" t="str">
        <v>46114R</v>
      </c>
      <c r="J160" s="6" t="str">
        <v>InterVU Inc</v>
      </c>
      <c r="K160" s="6" t="str">
        <v>InterVU Inc</v>
      </c>
      <c r="L160" s="7">
        <f>=DATE(1999,12,20)</f>
        <v>36513.99949074074</v>
      </c>
      <c r="N160" s="8">
        <v>30</v>
      </c>
      <c r="O160" s="8">
        <v>30</v>
      </c>
      <c r="R160" s="8">
        <v>-19.797</v>
      </c>
      <c r="S160" s="8">
        <v>7.419</v>
      </c>
      <c r="T160" s="8">
        <v>99.46</v>
      </c>
      <c r="U160" s="8">
        <v>-63.974</v>
      </c>
      <c r="V160" s="8">
        <v>-20.203</v>
      </c>
      <c r="W160" s="6" t="str">
        <v>Other Peripherals;Computer Consulting Services;Monitors/Terminals;Applications Software(Business;Operating Systems;Internet Services &amp; Software</v>
      </c>
      <c r="X160" s="6" t="str">
        <v>Internet Services &amp; Software</v>
      </c>
      <c r="Y160" s="6" t="str">
        <v>Internet Services &amp; Software</v>
      </c>
      <c r="Z160" s="6" t="str">
        <v>Internet Services &amp; Software</v>
      </c>
      <c r="AA160" s="6" t="str">
        <v>Computer Consulting Services;Internet Services &amp; Software;Operating Systems;Monitors/Terminals;Applications Software(Business;Other Peripherals</v>
      </c>
      <c r="AB160" s="6" t="str">
        <v>Internet Services &amp; Software;Other Peripherals;Monitors/Terminals;Operating Systems;Computer Consulting Services;Applications Software(Business</v>
      </c>
      <c r="AC160" s="8">
        <v>30</v>
      </c>
      <c r="AD160" s="7">
        <f>=DATE(1999,12,20)</f>
        <v>36513.99949074074</v>
      </c>
      <c r="AH160" s="6" t="str">
        <v>True</v>
      </c>
      <c r="AJ160" s="6" t="str">
        <v>Pending</v>
      </c>
      <c r="AM160" s="6" t="str">
        <v>Privately Negotiated Purchase</v>
      </c>
      <c r="AN160" s="8">
        <v>1.128</v>
      </c>
      <c r="AO160" s="6" t="str">
        <v>US - Microsoft Corp planned to acquire an undisclosed minority stake in Intervu Inc, a provider of Internet video distribution services, for $30 mil.</v>
      </c>
    </row>
    <row r="161">
      <c r="A161" s="6" t="str">
        <v>037833</v>
      </c>
      <c r="B161" s="6" t="str">
        <v>United States</v>
      </c>
      <c r="C161" s="6" t="str">
        <v>Apple Computer Inc</v>
      </c>
      <c r="D161" s="6" t="str">
        <v>Apple Computer Inc</v>
      </c>
      <c r="F161" s="6" t="str">
        <v>United States</v>
      </c>
      <c r="G161" s="6" t="str">
        <v>NetSelector</v>
      </c>
      <c r="H161" s="6" t="str">
        <v>Prepackaged Software</v>
      </c>
      <c r="I161" s="6" t="str">
        <v>64146L</v>
      </c>
      <c r="J161" s="6" t="str">
        <v>NetSelector</v>
      </c>
      <c r="K161" s="6" t="str">
        <v>NetSelector</v>
      </c>
      <c r="L161" s="7">
        <f>=DATE(2000,1,7)</f>
        <v>36531.99949074074</v>
      </c>
      <c r="M161" s="7">
        <f>=DATE(2000,1,7)</f>
        <v>36531.99949074074</v>
      </c>
      <c r="W161" s="6" t="str">
        <v>Disk Drives;Micro-Computers (PCs);Portable Computers;Monitors/Terminals;Other Software (inq. Games);Printers;Mainframes &amp; Super Computers;Other Peripherals</v>
      </c>
      <c r="X161" s="6" t="str">
        <v>Communication/Network Software;Internet Services &amp; Software</v>
      </c>
      <c r="Y161" s="6" t="str">
        <v>Internet Services &amp; Software;Communication/Network Software</v>
      </c>
      <c r="Z161" s="6" t="str">
        <v>Communication/Network Software;Internet Services &amp; Software</v>
      </c>
      <c r="AA161" s="6" t="str">
        <v>Mainframes &amp; Super Computers;Monitors/Terminals;Other Software (inq. Games);Micro-Computers (PCs);Other Peripherals;Printers;Portable Computers;Disk Drives</v>
      </c>
      <c r="AB161" s="6" t="str">
        <v>Printers;Disk Drives;Monitors/Terminals;Mainframes &amp; Super Computers;Portable Computers;Other Software (inq. Games);Other Peripherals;Micro-Computers (PCs)</v>
      </c>
      <c r="AH161" s="6" t="str">
        <v>True</v>
      </c>
      <c r="AI161" s="6" t="str">
        <v>2000</v>
      </c>
      <c r="AJ161" s="6" t="str">
        <v>Completed</v>
      </c>
      <c r="AM161" s="6" t="str">
        <v>Not Applicable</v>
      </c>
      <c r="AO161" s="6" t="str">
        <v>US - Apple Computer Inc acquired NetSelector, a developer of software that allows parents to control what their children see and do on the Internet.</v>
      </c>
    </row>
    <row r="162">
      <c r="A162" s="6" t="str">
        <v>80609W</v>
      </c>
      <c r="B162" s="6" t="str">
        <v>United States</v>
      </c>
      <c r="C162" s="6" t="str">
        <v>ScanSoft Inc</v>
      </c>
      <c r="D162" s="6" t="str">
        <v>ScanSoft Inc</v>
      </c>
      <c r="F162" s="6" t="str">
        <v>United States</v>
      </c>
      <c r="G162" s="6" t="str">
        <v>Caere Corp</v>
      </c>
      <c r="H162" s="6" t="str">
        <v>Prepackaged Software</v>
      </c>
      <c r="I162" s="6" t="str">
        <v>127646</v>
      </c>
      <c r="J162" s="6" t="str">
        <v>Caere Corp</v>
      </c>
      <c r="K162" s="6" t="str">
        <v>Caere Corp</v>
      </c>
      <c r="L162" s="7">
        <f>=DATE(2000,1,17)</f>
        <v>36541.99949074074</v>
      </c>
      <c r="M162" s="7">
        <f>=DATE(2000,3,13)</f>
        <v>36597.99949074074</v>
      </c>
      <c r="N162" s="8">
        <v>147.456</v>
      </c>
      <c r="O162" s="8">
        <v>147.456</v>
      </c>
      <c r="P162" s="8" t="str">
        <v>97.85</v>
      </c>
      <c r="R162" s="8">
        <v>9.086</v>
      </c>
      <c r="S162" s="8">
        <v>65.29</v>
      </c>
      <c r="T162" s="8">
        <v>-6.409</v>
      </c>
      <c r="U162" s="8">
        <v>14.554</v>
      </c>
      <c r="V162" s="8">
        <v>11.147</v>
      </c>
      <c r="W162" s="6" t="str">
        <v>Other Software (inq. Games)</v>
      </c>
      <c r="X162" s="6" t="str">
        <v>Applications Software(Business;Data Processing Services</v>
      </c>
      <c r="Y162" s="6" t="str">
        <v>Data Processing Services;Applications Software(Business</v>
      </c>
      <c r="Z162" s="6" t="str">
        <v>Applications Software(Business;Data Processing Services</v>
      </c>
      <c r="AA162" s="6" t="str">
        <v>Other Software (inq. Games)</v>
      </c>
      <c r="AB162" s="6" t="str">
        <v>Other Software (inq. Games)</v>
      </c>
      <c r="AC162" s="8">
        <v>147.456</v>
      </c>
      <c r="AD162" s="7">
        <f>=DATE(2000,1,17)</f>
        <v>36541.99949074074</v>
      </c>
      <c r="AE162" s="8">
        <v>160.4825105</v>
      </c>
      <c r="AF162" s="8" t="str">
        <v>97.85</v>
      </c>
      <c r="AG162" s="8" t="str">
        <v>97.85</v>
      </c>
      <c r="AH162" s="6" t="str">
        <v>True</v>
      </c>
      <c r="AI162" s="6" t="str">
        <v>2000</v>
      </c>
      <c r="AJ162" s="6" t="str">
        <v>Completed</v>
      </c>
      <c r="AK162" s="8">
        <v>160.4825105</v>
      </c>
      <c r="AL162" s="8">
        <v>13.658086</v>
      </c>
      <c r="AM162" s="6" t="str">
        <v>Collar;Stock Swap</v>
      </c>
      <c r="AO162" s="6" t="str">
        <v>US - ScanSoft Inc (SS), a unit of Visioneer Inc, acquired all the outstanding common stock of Caere Corp (CC), a software developer, in a stock swap transaction valued at $147.456 mil. SS offered $4 in cash and $7.75 in common stock per CC share, subject to a collar agreement. Upon completion, the combined company used the SS name.</v>
      </c>
    </row>
    <row r="163">
      <c r="A163" s="6" t="str">
        <v>023135</v>
      </c>
      <c r="B163" s="6" t="str">
        <v>United States</v>
      </c>
      <c r="C163" s="6" t="str">
        <v>Amazon.com Inc</v>
      </c>
      <c r="D163" s="6" t="str">
        <v>Amazon.com Inc</v>
      </c>
      <c r="F163" s="6" t="str">
        <v>United States</v>
      </c>
      <c r="G163" s="6" t="str">
        <v>Greenlight.com</v>
      </c>
      <c r="H163" s="6" t="str">
        <v>Miscellaneous Retail Trade</v>
      </c>
      <c r="I163" s="6" t="str">
        <v>39536Y</v>
      </c>
      <c r="J163" s="6" t="str">
        <v>Greenlight.com</v>
      </c>
      <c r="K163" s="6" t="str">
        <v>Greenlight.com</v>
      </c>
      <c r="L163" s="7">
        <f>=DATE(2000,1,21)</f>
        <v>36545.99949074074</v>
      </c>
      <c r="W163" s="6" t="str">
        <v>Primary Business not Hi-Tech</v>
      </c>
      <c r="X163" s="6" t="str">
        <v>Internet Services &amp; Software</v>
      </c>
      <c r="Y163" s="6" t="str">
        <v>Internet Services &amp; Software</v>
      </c>
      <c r="Z163" s="6" t="str">
        <v>Internet Services &amp; Software</v>
      </c>
      <c r="AA163" s="6" t="str">
        <v>Primary Business not Hi-Tech</v>
      </c>
      <c r="AB163" s="6" t="str">
        <v>Primary Business not Hi-Tech</v>
      </c>
      <c r="AH163" s="6" t="str">
        <v>True</v>
      </c>
      <c r="AJ163" s="6" t="str">
        <v>Pending</v>
      </c>
      <c r="AM163" s="6" t="str">
        <v>Not Applicable</v>
      </c>
      <c r="AO163" s="6" t="str">
        <v>US - Amazon.com Inc agreed to acquire a 5% stake in Greenlight.com, a provider of online car buying services.</v>
      </c>
    </row>
    <row r="164">
      <c r="A164" s="6" t="str">
        <v>594918</v>
      </c>
      <c r="B164" s="6" t="str">
        <v>United States</v>
      </c>
      <c r="C164" s="6" t="str">
        <v>Microsoft Corp</v>
      </c>
      <c r="D164" s="6" t="str">
        <v>Microsoft Corp</v>
      </c>
      <c r="F164" s="6" t="str">
        <v>United States</v>
      </c>
      <c r="G164" s="6" t="str">
        <v>Intertainer Inc</v>
      </c>
      <c r="H164" s="6" t="str">
        <v>Business Services</v>
      </c>
      <c r="I164" s="6" t="str">
        <v>45831N</v>
      </c>
      <c r="J164" s="6" t="str">
        <v>Intertainer Inc</v>
      </c>
      <c r="K164" s="6" t="str">
        <v>Intertainer Inc</v>
      </c>
      <c r="L164" s="7">
        <f>=DATE(2000,1,23)</f>
        <v>36547.99949074074</v>
      </c>
      <c r="M164" s="7">
        <f>=DATE(2000,1,24)</f>
        <v>36548.99949074074</v>
      </c>
      <c r="N164" s="8">
        <v>56</v>
      </c>
      <c r="O164" s="8">
        <v>56</v>
      </c>
      <c r="W164" s="6" t="str">
        <v>Internet Services &amp; Software;Operating Systems;Computer Consulting Services;Applications Software(Business;Other Peripherals;Monitors/Terminals</v>
      </c>
      <c r="X164" s="6" t="str">
        <v>Internet Services &amp; Software</v>
      </c>
      <c r="Y164" s="6" t="str">
        <v>Internet Services &amp; Software</v>
      </c>
      <c r="Z164" s="6" t="str">
        <v>Internet Services &amp; Software</v>
      </c>
      <c r="AA164" s="6" t="str">
        <v>Monitors/Terminals;Computer Consulting Services;Applications Software(Business;Other Peripherals;Internet Services &amp; Software;Operating Systems</v>
      </c>
      <c r="AB164" s="6" t="str">
        <v>Applications Software(Business;Internet Services &amp; Software;Operating Systems;Monitors/Terminals;Computer Consulting Services;Other Peripherals</v>
      </c>
      <c r="AC164" s="8">
        <v>56</v>
      </c>
      <c r="AD164" s="7">
        <f>=DATE(2000,1,23)</f>
        <v>36547.99949074074</v>
      </c>
      <c r="AH164" s="6" t="str">
        <v>True</v>
      </c>
      <c r="AI164" s="6" t="str">
        <v>2000</v>
      </c>
      <c r="AJ164" s="6" t="str">
        <v>Completed</v>
      </c>
      <c r="AM164" s="6" t="str">
        <v>Not Applicable</v>
      </c>
      <c r="AO164" s="6" t="str">
        <v>US - Microsoft Corp acquired an undisclosed minority stake in Intertainer Inc, a manufacturer of interactive systems, for $56 mil.</v>
      </c>
    </row>
    <row r="165">
      <c r="A165" s="6" t="str">
        <v>594918</v>
      </c>
      <c r="B165" s="6" t="str">
        <v>United States</v>
      </c>
      <c r="C165" s="6" t="str">
        <v>Microsoft Corp</v>
      </c>
      <c r="D165" s="6" t="str">
        <v>Microsoft Corp</v>
      </c>
      <c r="F165" s="6" t="str">
        <v>United States</v>
      </c>
      <c r="G165" s="6" t="str">
        <v>VerticalNet Inc</v>
      </c>
      <c r="H165" s="6" t="str">
        <v>Prepackaged Software</v>
      </c>
      <c r="I165" s="6" t="str">
        <v>92532L</v>
      </c>
      <c r="J165" s="6" t="str">
        <v>VerticalNet Inc</v>
      </c>
      <c r="K165" s="6" t="str">
        <v>VerticalNet Inc</v>
      </c>
      <c r="L165" s="7">
        <f>=DATE(2000,1,24)</f>
        <v>36548.99949074074</v>
      </c>
      <c r="R165" s="8">
        <v>-53.48</v>
      </c>
      <c r="S165" s="8">
        <v>34.929</v>
      </c>
      <c r="T165" s="8">
        <v>167.776</v>
      </c>
      <c r="U165" s="8">
        <v>-142.382</v>
      </c>
      <c r="V165" s="8">
        <v>-16.803</v>
      </c>
      <c r="W165" s="6" t="str">
        <v>Computer Consulting Services;Internet Services &amp; Software;Monitors/Terminals;Other Peripherals;Operating Systems;Applications Software(Business</v>
      </c>
      <c r="X165" s="6" t="str">
        <v>Other Software (inq. Games)</v>
      </c>
      <c r="Y165" s="6" t="str">
        <v>Other Software (inq. Games)</v>
      </c>
      <c r="Z165" s="6" t="str">
        <v>Other Software (inq. Games)</v>
      </c>
      <c r="AA165" s="6" t="str">
        <v>Operating Systems;Other Peripherals;Internet Services &amp; Software;Computer Consulting Services;Monitors/Terminals;Applications Software(Business</v>
      </c>
      <c r="AB165" s="6" t="str">
        <v>Operating Systems;Other Peripherals;Internet Services &amp; Software;Computer Consulting Services;Applications Software(Business;Monitors/Terminals</v>
      </c>
      <c r="AH165" s="6" t="str">
        <v>True</v>
      </c>
      <c r="AJ165" s="6" t="str">
        <v>Pending</v>
      </c>
      <c r="AL165" s="8">
        <v>0.480676</v>
      </c>
      <c r="AM165" s="6" t="str">
        <v>Privately Negotiated Purchase</v>
      </c>
      <c r="AN165" s="8">
        <v>177.924</v>
      </c>
      <c r="AO165" s="6" t="str">
        <v>US - Microsoft Corp (MC) was granted warrants to raise its stake to 3% from 1.65% in VerticalNet Inc (VN), an operator of Web sites for utility companies, in a privately negotiated transaction. Concurrently, MC acquired a 1.65% stake, or an estimated .588 mil common shares in VN for $170 per share, or a total value of $100 mil. The transaction was part of a marketing partnership agreement between VN and MC in which VN was to link its business-oriented Web portals to MC's network of Web sites.</v>
      </c>
    </row>
    <row r="166">
      <c r="A166" s="6" t="str">
        <v>023135</v>
      </c>
      <c r="B166" s="6" t="str">
        <v>United States</v>
      </c>
      <c r="C166" s="6" t="str">
        <v>Amazon.com Inc</v>
      </c>
      <c r="D166" s="6" t="str">
        <v>Amazon.com Inc</v>
      </c>
      <c r="F166" s="6" t="str">
        <v>Australia</v>
      </c>
      <c r="G166" s="6" t="str">
        <v>f2 Ltd(John Fairfax Holdings)</v>
      </c>
      <c r="H166" s="6" t="str">
        <v>Business Services</v>
      </c>
      <c r="I166" s="6" t="str">
        <v>23263E</v>
      </c>
      <c r="J166" s="6" t="str">
        <v>John Fairfax Holdings Ltd</v>
      </c>
      <c r="K166" s="6" t="str">
        <v>John Fairfax Holdings Ltd</v>
      </c>
      <c r="L166" s="7">
        <f>=DATE(2000,1,27)</f>
        <v>36551.99949074074</v>
      </c>
      <c r="M166" s="7">
        <f>=DATE(2000,1,27)</f>
        <v>36551.99949074074</v>
      </c>
      <c r="W166" s="6" t="str">
        <v>Primary Business not Hi-Tech</v>
      </c>
      <c r="X166" s="6" t="str">
        <v>Internet Services &amp; Software</v>
      </c>
      <c r="Y166" s="6" t="str">
        <v>Primary Business not Hi-Tech</v>
      </c>
      <c r="Z166" s="6" t="str">
        <v>Primary Business not Hi-Tech</v>
      </c>
      <c r="AA166" s="6" t="str">
        <v>Primary Business not Hi-Tech</v>
      </c>
      <c r="AB166" s="6" t="str">
        <v>Primary Business not Hi-Tech</v>
      </c>
      <c r="AH166" s="6" t="str">
        <v>False</v>
      </c>
      <c r="AI166" s="6" t="str">
        <v>2000</v>
      </c>
      <c r="AJ166" s="6" t="str">
        <v>Completed</v>
      </c>
      <c r="AM166" s="6" t="str">
        <v>Divestiture</v>
      </c>
      <c r="AO166" s="6" t="str">
        <v>AUSTRALIA - Amazon.com Inc acquired a 50% interest in f2 Ltd, a provider of online publishing services, from John Fairfax Holdings Ltd. Terms were not disclosed.</v>
      </c>
    </row>
    <row r="167">
      <c r="A167" s="6" t="str">
        <v>594918</v>
      </c>
      <c r="B167" s="6" t="str">
        <v>United States</v>
      </c>
      <c r="C167" s="6" t="str">
        <v>Microsoft Corp</v>
      </c>
      <c r="D167" s="6" t="str">
        <v>Microsoft Corp</v>
      </c>
      <c r="F167" s="6" t="str">
        <v>Japan</v>
      </c>
      <c r="G167" s="6" t="str">
        <v>Uchida Spectrum Inc(Uchida Yoko Ltd,Software Spectrum)</v>
      </c>
      <c r="H167" s="6" t="str">
        <v>Wholesale Trade-Durable Goods</v>
      </c>
      <c r="I167" s="6" t="str">
        <v>90361H</v>
      </c>
      <c r="J167" s="6" t="str">
        <v>UCHIDA YOKO CO LTD</v>
      </c>
      <c r="K167" s="6" t="str">
        <v>UCHIDA YOKO CO LTD</v>
      </c>
      <c r="L167" s="7">
        <f>=DATE(2000,1,27)</f>
        <v>36551.99949074074</v>
      </c>
      <c r="W167" s="6" t="str">
        <v>Other Peripherals;Applications Software(Business;Computer Consulting Services;Operating Systems;Monitors/Terminals;Internet Services &amp; Software</v>
      </c>
      <c r="X167" s="6" t="str">
        <v>Primary Business not Hi-Tech;Internet Services &amp; Software;Other Computer Related Svcs;Computer Consulting Services</v>
      </c>
      <c r="Y167" s="6" t="str">
        <v>Primary Business not Hi-Tech</v>
      </c>
      <c r="Z167" s="6" t="str">
        <v>Primary Business not Hi-Tech</v>
      </c>
      <c r="AA167" s="6" t="str">
        <v>Internet Services &amp; Software;Computer Consulting Services;Other Peripherals;Applications Software(Business;Operating Systems;Monitors/Terminals</v>
      </c>
      <c r="AB167" s="6" t="str">
        <v>Applications Software(Business;Internet Services &amp; Software;Monitors/Terminals;Computer Consulting Services;Operating Systems;Other Peripherals</v>
      </c>
      <c r="AH167" s="6" t="str">
        <v>False</v>
      </c>
      <c r="AJ167" s="6" t="str">
        <v>Pending</v>
      </c>
      <c r="AM167" s="6" t="str">
        <v>Not Applicable</v>
      </c>
      <c r="AO167" s="6" t="str">
        <v>JAPAN - Microsoft Corp planned to acquire a 3.45% stake in Uchida Spectrum Inc, a company that provides computer software leasing, a joint-venture between Uchida Yoko Co Ltd and Software Spectrum Inc.</v>
      </c>
    </row>
    <row r="168">
      <c r="A168" s="6" t="str">
        <v>023135</v>
      </c>
      <c r="B168" s="6" t="str">
        <v>United States</v>
      </c>
      <c r="C168" s="6" t="str">
        <v>Amazon.com Inc</v>
      </c>
      <c r="D168" s="6" t="str">
        <v>Amazon.com Inc</v>
      </c>
      <c r="F168" s="6" t="str">
        <v>United States</v>
      </c>
      <c r="G168" s="6" t="str">
        <v>Audible Inc</v>
      </c>
      <c r="H168" s="6" t="str">
        <v>Business Services</v>
      </c>
      <c r="I168" s="6" t="str">
        <v>05069A</v>
      </c>
      <c r="J168" s="6" t="str">
        <v>Audible Inc</v>
      </c>
      <c r="K168" s="6" t="str">
        <v>Audible Inc</v>
      </c>
      <c r="L168" s="7">
        <f>=DATE(2000,1,31)</f>
        <v>36555.99949074074</v>
      </c>
      <c r="M168" s="7">
        <f>=DATE(2000,4,1)</f>
        <v>36616.99949074074</v>
      </c>
      <c r="R168" s="8">
        <v>-13.5</v>
      </c>
      <c r="S168" s="8">
        <v>1.7</v>
      </c>
      <c r="T168" s="8">
        <v>37.9</v>
      </c>
      <c r="U168" s="8">
        <v>-26</v>
      </c>
      <c r="V168" s="8">
        <v>-10.4</v>
      </c>
      <c r="W168" s="6" t="str">
        <v>Primary Business not Hi-Tech</v>
      </c>
      <c r="X168" s="6" t="str">
        <v>Internet Services &amp; Software</v>
      </c>
      <c r="Y168" s="6" t="str">
        <v>Internet Services &amp; Software</v>
      </c>
      <c r="Z168" s="6" t="str">
        <v>Internet Services &amp; Software</v>
      </c>
      <c r="AA168" s="6" t="str">
        <v>Primary Business not Hi-Tech</v>
      </c>
      <c r="AB168" s="6" t="str">
        <v>Primary Business not Hi-Tech</v>
      </c>
      <c r="AH168" s="6" t="str">
        <v>True</v>
      </c>
      <c r="AI168" s="6" t="str">
        <v>2000</v>
      </c>
      <c r="AJ168" s="6" t="str">
        <v>Completed</v>
      </c>
      <c r="AL168" s="8">
        <v>1.26</v>
      </c>
      <c r="AM168" s="6" t="str">
        <v>Not Applicable</v>
      </c>
      <c r="AO168" s="6" t="str">
        <v>US - Amazon.com Inc acquired a 5% stake, or 1.26 mil common shares, in Audible Inc, an audio playback services provider, in an open market transaction.</v>
      </c>
    </row>
    <row r="169">
      <c r="A169" s="6" t="str">
        <v>023135</v>
      </c>
      <c r="B169" s="6" t="str">
        <v>United States</v>
      </c>
      <c r="C169" s="6" t="str">
        <v>Amazon.com Inc</v>
      </c>
      <c r="D169" s="6" t="str">
        <v>Amazon.com Inc</v>
      </c>
      <c r="F169" s="6" t="str">
        <v>United States</v>
      </c>
      <c r="G169" s="6" t="str">
        <v>Living.com Inc</v>
      </c>
      <c r="H169" s="6" t="str">
        <v>Business Services</v>
      </c>
      <c r="I169" s="6" t="str">
        <v>53840H</v>
      </c>
      <c r="J169" s="6" t="str">
        <v>Living.com Inc</v>
      </c>
      <c r="K169" s="6" t="str">
        <v>Living.com Inc</v>
      </c>
      <c r="L169" s="7">
        <f>=DATE(2000,2,1)</f>
        <v>36556.99949074074</v>
      </c>
      <c r="M169" s="7">
        <f>=DATE(2000,3,31)</f>
        <v>36615.99949074074</v>
      </c>
      <c r="W169" s="6" t="str">
        <v>Primary Business not Hi-Tech</v>
      </c>
      <c r="X169" s="6" t="str">
        <v>Internet Services &amp; Software;Communication/Network Software</v>
      </c>
      <c r="Y169" s="6" t="str">
        <v>Communication/Network Software;Internet Services &amp; Software</v>
      </c>
      <c r="Z169" s="6" t="str">
        <v>Internet Services &amp; Software;Communication/Network Software</v>
      </c>
      <c r="AA169" s="6" t="str">
        <v>Primary Business not Hi-Tech</v>
      </c>
      <c r="AB169" s="6" t="str">
        <v>Primary Business not Hi-Tech</v>
      </c>
      <c r="AH169" s="6" t="str">
        <v>False</v>
      </c>
      <c r="AI169" s="6" t="str">
        <v>2000</v>
      </c>
      <c r="AJ169" s="6" t="str">
        <v>Completed</v>
      </c>
      <c r="AM169" s="6" t="str">
        <v>Not Applicable</v>
      </c>
      <c r="AO169" s="6" t="str">
        <v>US - Amazon.com Inc acquired an 18% stake in Living.com Inc, a provider of on-line home furniture services. Under the agreement, Amazon.com will receive $145 million from living.com over five years in exchange for being the exclusive Amazon.com home living store.</v>
      </c>
    </row>
    <row r="170">
      <c r="A170" s="6" t="str">
        <v>302125</v>
      </c>
      <c r="B170" s="6" t="str">
        <v>United States</v>
      </c>
      <c r="C170" s="6" t="str">
        <v>Expedia Inc</v>
      </c>
      <c r="D170" s="6" t="str">
        <v>Microsoft Corp</v>
      </c>
      <c r="E170" s="6" t="str">
        <v>Expedia Inc</v>
      </c>
      <c r="F170" s="6" t="str">
        <v>United States</v>
      </c>
      <c r="G170" s="6" t="str">
        <v>Travelscape.com</v>
      </c>
      <c r="H170" s="6" t="str">
        <v>Business Services</v>
      </c>
      <c r="I170" s="6" t="str">
        <v>89417Q</v>
      </c>
      <c r="J170" s="6" t="str">
        <v>Travelscape.com</v>
      </c>
      <c r="K170" s="6" t="str">
        <v>Travelscape.com</v>
      </c>
      <c r="L170" s="7">
        <f>=DATE(2000,2,1)</f>
        <v>36556.99949074074</v>
      </c>
      <c r="M170" s="7">
        <f>=DATE(2000,3,17)</f>
        <v>36601.99949074074</v>
      </c>
      <c r="N170" s="8">
        <v>86.75</v>
      </c>
      <c r="O170" s="8">
        <v>89.75</v>
      </c>
      <c r="Q170" s="8" t="str">
        <v>70.85</v>
      </c>
      <c r="W170" s="6" t="str">
        <v>Internet Services &amp; Software</v>
      </c>
      <c r="X170" s="6" t="str">
        <v>Internet Services &amp; Software;Communication/Network Software</v>
      </c>
      <c r="Y170" s="6" t="str">
        <v>Internet Services &amp; Software;Communication/Network Software</v>
      </c>
      <c r="Z170" s="6" t="str">
        <v>Communication/Network Software;Internet Services &amp; Software</v>
      </c>
      <c r="AA170" s="6" t="str">
        <v>Internet Services &amp; Software;Monitors/Terminals;Other Peripherals;Computer Consulting Services;Operating Systems;Applications Software(Business</v>
      </c>
      <c r="AB170" s="6" t="str">
        <v>Computer Consulting Services;Internet Services &amp; Software;Applications Software(Business;Operating Systems;Other Peripherals;Monitors/Terminals</v>
      </c>
      <c r="AC170" s="8">
        <v>89.75</v>
      </c>
      <c r="AD170" s="7">
        <f>=DATE(2000,2,1)</f>
        <v>36556.99949074074</v>
      </c>
      <c r="AH170" s="6" t="str">
        <v>False</v>
      </c>
      <c r="AI170" s="6" t="str">
        <v>2000</v>
      </c>
      <c r="AJ170" s="6" t="str">
        <v>Completed</v>
      </c>
      <c r="AM170" s="6" t="str">
        <v>Not Applicable</v>
      </c>
      <c r="AO170" s="6" t="str">
        <v>US - Expedia Inc (EI) acquired Travelscape.com (TS), an internet service provider, for $89.75 mil. The consideration consisted of 3 mil common shares, valued at $81.75 mil and $8 mil in TS debt. The shares were valued based on EI's closing stock price of $27.25 on January 31, the last full trading day prior to the announcement. Concurrently, EI agreed to acquire Vacationspot.com.</v>
      </c>
    </row>
    <row r="171">
      <c r="A171" s="6" t="str">
        <v>302125</v>
      </c>
      <c r="B171" s="6" t="str">
        <v>United States</v>
      </c>
      <c r="C171" s="6" t="str">
        <v>Expedia Inc</v>
      </c>
      <c r="D171" s="6" t="str">
        <v>Microsoft Corp</v>
      </c>
      <c r="E171" s="6" t="str">
        <v>Expedia Inc</v>
      </c>
      <c r="F171" s="6" t="str">
        <v>United States</v>
      </c>
      <c r="G171" s="6" t="str">
        <v>Vacationspot.com</v>
      </c>
      <c r="H171" s="6" t="str">
        <v>Business Services</v>
      </c>
      <c r="I171" s="6" t="str">
        <v>91855K</v>
      </c>
      <c r="J171" s="6" t="str">
        <v>Vacationspot.com</v>
      </c>
      <c r="K171" s="6" t="str">
        <v>Vacationspot.com</v>
      </c>
      <c r="L171" s="7">
        <f>=DATE(2000,2,1)</f>
        <v>36556.99949074074</v>
      </c>
      <c r="M171" s="7">
        <f>=DATE(2001,3,17)</f>
        <v>36966.99949074074</v>
      </c>
      <c r="N171" s="8">
        <v>68.25</v>
      </c>
      <c r="O171" s="8">
        <v>70.85</v>
      </c>
      <c r="Q171" s="8" t="str">
        <v>89.75</v>
      </c>
      <c r="W171" s="6" t="str">
        <v>Internet Services &amp; Software</v>
      </c>
      <c r="X171" s="6" t="str">
        <v>Internet Services &amp; Software;Communication/Network Software</v>
      </c>
      <c r="Y171" s="6" t="str">
        <v>Internet Services &amp; Software;Communication/Network Software</v>
      </c>
      <c r="Z171" s="6" t="str">
        <v>Internet Services &amp; Software;Communication/Network Software</v>
      </c>
      <c r="AA171" s="6" t="str">
        <v>Computer Consulting Services;Monitors/Terminals;Applications Software(Business;Other Peripherals;Operating Systems;Internet Services &amp; Software</v>
      </c>
      <c r="AB171" s="6" t="str">
        <v>Operating Systems;Monitors/Terminals;Other Peripherals;Computer Consulting Services;Internet Services &amp; Software;Applications Software(Business</v>
      </c>
      <c r="AC171" s="8">
        <v>70.85</v>
      </c>
      <c r="AD171" s="7">
        <f>=DATE(2000,2,1)</f>
        <v>36556.99949074074</v>
      </c>
      <c r="AH171" s="6" t="str">
        <v>False</v>
      </c>
      <c r="AI171" s="6" t="str">
        <v>2001</v>
      </c>
      <c r="AJ171" s="6" t="str">
        <v>Completed</v>
      </c>
      <c r="AM171" s="6" t="str">
        <v>Not Applicable</v>
      </c>
      <c r="AO171" s="6" t="str">
        <v>US - Expedia Inc (EI) acquired Vacationspot.com, an internet service provider, for 2.6 mil common shares valued at $70.85 mil. The shares were valued based on EI's closing stock price of $27.25 on January 31, the last full trading day prior to the announcement. Concurrently, EI agreed to acquire Travelscape.com.</v>
      </c>
    </row>
    <row r="172">
      <c r="A172" s="6" t="str">
        <v>023135</v>
      </c>
      <c r="B172" s="6" t="str">
        <v>United States</v>
      </c>
      <c r="C172" s="6" t="str">
        <v>Amazon.com Inc</v>
      </c>
      <c r="D172" s="6" t="str">
        <v>Amazon.com Inc</v>
      </c>
      <c r="F172" s="6" t="str">
        <v>United States</v>
      </c>
      <c r="G172" s="6" t="str">
        <v>Greg Manning Auctions Inc</v>
      </c>
      <c r="H172" s="6" t="str">
        <v>Business Services</v>
      </c>
      <c r="I172" s="6" t="str">
        <v>563823</v>
      </c>
      <c r="J172" s="6" t="str">
        <v>Collectibles Realty Management Inc</v>
      </c>
      <c r="K172" s="6" t="str">
        <v>Collectibles Realty Management Inc</v>
      </c>
      <c r="L172" s="7">
        <f>=DATE(2000,2,3)</f>
        <v>36558.99949074074</v>
      </c>
      <c r="M172" s="7">
        <f>=DATE(2000,2,3)</f>
        <v>36558.99949074074</v>
      </c>
      <c r="N172" s="8">
        <v>5</v>
      </c>
      <c r="O172" s="8">
        <v>5</v>
      </c>
      <c r="R172" s="8">
        <v>-1.543</v>
      </c>
      <c r="S172" s="8">
        <v>15.77</v>
      </c>
      <c r="T172" s="8">
        <v>6.578</v>
      </c>
      <c r="U172" s="8">
        <v>0.608</v>
      </c>
      <c r="V172" s="8">
        <v>-6.631</v>
      </c>
      <c r="W172" s="6" t="str">
        <v>Primary Business not Hi-Tech</v>
      </c>
      <c r="X172" s="6" t="str">
        <v>Internet Services &amp; Software</v>
      </c>
      <c r="Y172" s="6" t="str">
        <v>Primary Business not Hi-Tech</v>
      </c>
      <c r="Z172" s="6" t="str">
        <v>Primary Business not Hi-Tech</v>
      </c>
      <c r="AA172" s="6" t="str">
        <v>Primary Business not Hi-Tech</v>
      </c>
      <c r="AB172" s="6" t="str">
        <v>Primary Business not Hi-Tech</v>
      </c>
      <c r="AC172" s="8">
        <v>5</v>
      </c>
      <c r="AD172" s="7">
        <f>=DATE(2000,2,3)</f>
        <v>36558.99949074074</v>
      </c>
      <c r="AH172" s="6" t="str">
        <v>True</v>
      </c>
      <c r="AI172" s="6" t="str">
        <v>2000</v>
      </c>
      <c r="AJ172" s="6" t="str">
        <v>Completed</v>
      </c>
      <c r="AM172" s="6" t="str">
        <v>Privately Negotiated Purchase</v>
      </c>
      <c r="AN172" s="8">
        <v>7.222</v>
      </c>
      <c r="AO172" s="6" t="str">
        <v>US - Amazon.com Inc (AM) acquired an undisclosed minority stake in Greg Manning Auctions Inc (GM), a provider of online auction services, and a majority-owned unit of Collectibles Realty Management Inc, for $5 mil. The transaction was part of a marketing agreement in which GM will appear on AM's Web site.</v>
      </c>
    </row>
    <row r="173">
      <c r="A173" s="6" t="str">
        <v>594918</v>
      </c>
      <c r="B173" s="6" t="str">
        <v>United States</v>
      </c>
      <c r="C173" s="6" t="str">
        <v>Microsoft Corp</v>
      </c>
      <c r="D173" s="6" t="str">
        <v>Microsoft Corp</v>
      </c>
      <c r="F173" s="6" t="str">
        <v>United States</v>
      </c>
      <c r="G173" s="6" t="str">
        <v>Itran Communications Ltd</v>
      </c>
      <c r="H173" s="6" t="str">
        <v>Prepackaged Software</v>
      </c>
      <c r="I173" s="6" t="str">
        <v>46570X</v>
      </c>
      <c r="J173" s="6" t="str">
        <v>Itran Communications Ltd</v>
      </c>
      <c r="K173" s="6" t="str">
        <v>Itran Communications Ltd</v>
      </c>
      <c r="L173" s="7">
        <f>=DATE(2000,2,9)</f>
        <v>36564.99949074074</v>
      </c>
      <c r="W173" s="6" t="str">
        <v>Computer Consulting Services;Applications Software(Business;Monitors/Terminals;Operating Systems;Other Peripherals;Internet Services &amp; Software</v>
      </c>
      <c r="X173" s="6" t="str">
        <v>Internet Services &amp; Software;Communication/Network Software</v>
      </c>
      <c r="Y173" s="6" t="str">
        <v>Internet Services &amp; Software;Communication/Network Software</v>
      </c>
      <c r="Z173" s="6" t="str">
        <v>Internet Services &amp; Software;Communication/Network Software</v>
      </c>
      <c r="AA173" s="6" t="str">
        <v>Applications Software(Business;Other Peripherals;Monitors/Terminals;Internet Services &amp; Software;Operating Systems;Computer Consulting Services</v>
      </c>
      <c r="AB173" s="6" t="str">
        <v>Other Peripherals;Internet Services &amp; Software;Operating Systems;Monitors/Terminals;Computer Consulting Services;Applications Software(Business</v>
      </c>
      <c r="AH173" s="6" t="str">
        <v>True</v>
      </c>
      <c r="AJ173" s="6" t="str">
        <v>Pending</v>
      </c>
      <c r="AM173" s="6" t="str">
        <v>Not Applicable</v>
      </c>
      <c r="AO173" s="6" t="str">
        <v>US - Microsoft Corp planned to acquire an undisclosed minority stake in Itran Communications Ltd, a developer of communications software that allows transmission of data through home power lines.</v>
      </c>
    </row>
    <row r="174">
      <c r="A174" s="6" t="str">
        <v>023135</v>
      </c>
      <c r="B174" s="6" t="str">
        <v>United States</v>
      </c>
      <c r="C174" s="6" t="str">
        <v>Amazon.com Inc</v>
      </c>
      <c r="D174" s="6" t="str">
        <v>Amazon.com Inc</v>
      </c>
      <c r="F174" s="6" t="str">
        <v>United States</v>
      </c>
      <c r="G174" s="6" t="str">
        <v>Basis Technology Corp</v>
      </c>
      <c r="H174" s="6" t="str">
        <v>Prepackaged Software</v>
      </c>
      <c r="I174" s="6" t="str">
        <v>07016Q</v>
      </c>
      <c r="J174" s="6" t="str">
        <v>Basis Technology Corp</v>
      </c>
      <c r="K174" s="6" t="str">
        <v>Basis Technology Corp</v>
      </c>
      <c r="L174" s="7">
        <f>=DATE(2000,2,18)</f>
        <v>36573.99949074074</v>
      </c>
      <c r="M174" s="7">
        <f>=DATE(2000,2,18)</f>
        <v>36573.99949074074</v>
      </c>
      <c r="W174" s="6" t="str">
        <v>Primary Business not Hi-Tech</v>
      </c>
      <c r="X174" s="6" t="str">
        <v>Other Software (inq. Games)</v>
      </c>
      <c r="Y174" s="6" t="str">
        <v>Other Software (inq. Games)</v>
      </c>
      <c r="Z174" s="6" t="str">
        <v>Other Software (inq. Games)</v>
      </c>
      <c r="AA174" s="6" t="str">
        <v>Primary Business not Hi-Tech</v>
      </c>
      <c r="AB174" s="6" t="str">
        <v>Primary Business not Hi-Tech</v>
      </c>
      <c r="AH174" s="6" t="str">
        <v>False</v>
      </c>
      <c r="AI174" s="6" t="str">
        <v>2000</v>
      </c>
      <c r="AJ174" s="6" t="str">
        <v>Completed</v>
      </c>
      <c r="AM174" s="6" t="str">
        <v>Not Applicable</v>
      </c>
      <c r="AO174" s="6" t="str">
        <v>US - Amazon.com Inc acquired an undisclosed minority stake in Basis Technology Corp, a provider of translation services to web sites. Terms of the deal were not disclosed.</v>
      </c>
    </row>
    <row r="175">
      <c r="A175" s="6" t="str">
        <v>594918</v>
      </c>
      <c r="B175" s="6" t="str">
        <v>United States</v>
      </c>
      <c r="C175" s="6" t="str">
        <v>Microsoft Corp</v>
      </c>
      <c r="D175" s="6" t="str">
        <v>Microsoft Corp</v>
      </c>
      <c r="F175" s="6" t="str">
        <v>United States</v>
      </c>
      <c r="G175" s="6" t="str">
        <v>BroadBand Office Inc{BB0}</v>
      </c>
      <c r="H175" s="6" t="str">
        <v>Business Services</v>
      </c>
      <c r="I175" s="6" t="str">
        <v>11139W</v>
      </c>
      <c r="J175" s="6" t="str">
        <v>BroadBand Office Inc{BB0}</v>
      </c>
      <c r="K175" s="6" t="str">
        <v>BroadBand Office Inc{BB0}</v>
      </c>
      <c r="L175" s="7">
        <f>=DATE(2000,2,23)</f>
        <v>36578.99949074074</v>
      </c>
      <c r="M175" s="7">
        <f>=DATE(2000,2,23)</f>
        <v>36578.99949074074</v>
      </c>
      <c r="N175" s="8">
        <v>25</v>
      </c>
      <c r="O175" s="8">
        <v>25</v>
      </c>
      <c r="W175" s="6" t="str">
        <v>Applications Software(Business;Other Peripherals;Monitors/Terminals;Computer Consulting Services;Operating Systems;Internet Services &amp; Software</v>
      </c>
      <c r="X175" s="6" t="str">
        <v>Communication/Network Software;Internet Services &amp; Software</v>
      </c>
      <c r="Y175" s="6" t="str">
        <v>Internet Services &amp; Software;Communication/Network Software</v>
      </c>
      <c r="Z175" s="6" t="str">
        <v>Internet Services &amp; Software;Communication/Network Software</v>
      </c>
      <c r="AA175" s="6" t="str">
        <v>Computer Consulting Services;Monitors/Terminals;Internet Services &amp; Software;Operating Systems;Applications Software(Business;Other Peripherals</v>
      </c>
      <c r="AB175" s="6" t="str">
        <v>Operating Systems;Monitors/Terminals;Applications Software(Business;Internet Services &amp; Software;Other Peripherals;Computer Consulting Services</v>
      </c>
      <c r="AC175" s="8">
        <v>25</v>
      </c>
      <c r="AD175" s="7">
        <f>=DATE(2000,2,23)</f>
        <v>36578.99949074074</v>
      </c>
      <c r="AH175" s="6" t="str">
        <v>False</v>
      </c>
      <c r="AI175" s="6" t="str">
        <v>2000</v>
      </c>
      <c r="AJ175" s="6" t="str">
        <v>Completed</v>
      </c>
      <c r="AM175" s="6" t="str">
        <v>Not Applicable</v>
      </c>
      <c r="AO175" s="6" t="str">
        <v>US - Microsoft Corp acquired an undisclosed minority stake in Broadband Office Inc, a provider of communication services, for $25 mil.</v>
      </c>
    </row>
    <row r="176">
      <c r="A176" s="6" t="str">
        <v>594918</v>
      </c>
      <c r="B176" s="6" t="str">
        <v>United States</v>
      </c>
      <c r="C176" s="6" t="str">
        <v>Microsoft Corp</v>
      </c>
      <c r="D176" s="6" t="str">
        <v>Microsoft Corp</v>
      </c>
      <c r="F176" s="6" t="str">
        <v>Israel</v>
      </c>
      <c r="G176" s="6" t="str">
        <v>Peach Networks Ltd(Elbit Ltd)</v>
      </c>
      <c r="H176" s="6" t="str">
        <v>Communications Equipment</v>
      </c>
      <c r="I176" s="6" t="str">
        <v>70471F</v>
      </c>
      <c r="J176" s="6" t="str">
        <v>IDB Holding Corp Ltd</v>
      </c>
      <c r="K176" s="6" t="str">
        <v>Elbit Ltd(Elron Electronic Industries Ltd)</v>
      </c>
      <c r="L176" s="7">
        <f>=DATE(2000,3,1)</f>
        <v>36585.99949074074</v>
      </c>
      <c r="W176" s="6" t="str">
        <v>Computer Consulting Services;Other Peripherals;Monitors/Terminals;Operating Systems;Internet Services &amp; Software;Applications Software(Business</v>
      </c>
      <c r="X176" s="6" t="str">
        <v>Other Telecommunications Equip</v>
      </c>
      <c r="Y176" s="6" t="str">
        <v>Defense Related;Other Telecommunications Equip;Search, Detection, Navigation;Cellular Communications;Satellite Communications</v>
      </c>
      <c r="Z176" s="6" t="str">
        <v>Primary Business not Hi-Tech</v>
      </c>
      <c r="AA176" s="6" t="str">
        <v>Other Peripherals;Applications Software(Business;Internet Services &amp; Software;Monitors/Terminals;Computer Consulting Services;Operating Systems</v>
      </c>
      <c r="AB176" s="6" t="str">
        <v>Applications Software(Business;Monitors/Terminals;Operating Systems;Computer Consulting Services;Internet Services &amp; Software;Other Peripherals</v>
      </c>
      <c r="AH176" s="6" t="str">
        <v>False</v>
      </c>
      <c r="AJ176" s="6" t="str">
        <v>Pending</v>
      </c>
      <c r="AM176" s="6" t="str">
        <v>Divestiture</v>
      </c>
      <c r="AO176" s="6" t="str">
        <v>ISRAEL - Microsoft Corp agreed to acquire the entire share capital of Peach Networks Ltd, Or Yahuda-based cable TV and internet service provider, from Elbit Ltd, which held a 57% majority, and Elron Electronic Industries Ltd. Elbit, itself 42% controlled by Elron, agreed to sell its interest for 174 mil shekels ($43 mil US) in cash. No further terms were disclosed.</v>
      </c>
    </row>
    <row r="177">
      <c r="A177" s="6" t="str">
        <v>594918</v>
      </c>
      <c r="B177" s="6" t="str">
        <v>United States</v>
      </c>
      <c r="C177" s="6" t="str">
        <v>Microsoft Corp</v>
      </c>
      <c r="D177" s="6" t="str">
        <v>Microsoft Corp</v>
      </c>
      <c r="F177" s="6" t="str">
        <v>United States</v>
      </c>
      <c r="G177" s="6" t="str">
        <v>Realnames Corporation</v>
      </c>
      <c r="H177" s="6" t="str">
        <v>Business Services</v>
      </c>
      <c r="I177" s="6" t="str">
        <v>75605K</v>
      </c>
      <c r="J177" s="6" t="str">
        <v>Realnames Corporation</v>
      </c>
      <c r="K177" s="6" t="str">
        <v>Realnames Corporation</v>
      </c>
      <c r="L177" s="7">
        <f>=DATE(2000,3,13)</f>
        <v>36597.99949074074</v>
      </c>
      <c r="M177" s="7">
        <f>=DATE(2000,3,13)</f>
        <v>36597.99949074074</v>
      </c>
      <c r="W177" s="6" t="str">
        <v>Monitors/Terminals;Applications Software(Business;Operating Systems;Other Peripherals;Computer Consulting Services;Internet Services &amp; Software</v>
      </c>
      <c r="X177" s="6" t="str">
        <v>Internet Services &amp; Software</v>
      </c>
      <c r="Y177" s="6" t="str">
        <v>Internet Services &amp; Software</v>
      </c>
      <c r="Z177" s="6" t="str">
        <v>Internet Services &amp; Software</v>
      </c>
      <c r="AA177" s="6" t="str">
        <v>Monitors/Terminals;Other Peripherals;Applications Software(Business;Internet Services &amp; Software;Computer Consulting Services;Operating Systems</v>
      </c>
      <c r="AB177" s="6" t="str">
        <v>Applications Software(Business;Monitors/Terminals;Computer Consulting Services;Other Peripherals;Operating Systems;Internet Services &amp; Software</v>
      </c>
      <c r="AH177" s="6" t="str">
        <v>True</v>
      </c>
      <c r="AI177" s="6" t="str">
        <v>2000</v>
      </c>
      <c r="AJ177" s="6" t="str">
        <v>Completed</v>
      </c>
      <c r="AM177" s="6" t="str">
        <v>Not Applicable</v>
      </c>
      <c r="AO177" s="6" t="str">
        <v>US - Microsoft Corp acquired a 20% stake in Realnames Corp, a provider of internet navigation systems.</v>
      </c>
    </row>
    <row r="178">
      <c r="A178" s="6" t="str">
        <v>594918</v>
      </c>
      <c r="B178" s="6" t="str">
        <v>United States</v>
      </c>
      <c r="C178" s="6" t="str">
        <v>Microsoft Corp</v>
      </c>
      <c r="D178" s="6" t="str">
        <v>Microsoft Corp</v>
      </c>
      <c r="F178" s="6" t="str">
        <v>Malaysia</v>
      </c>
      <c r="G178" s="6" t="str">
        <v>MEASAT Broadcast Network System Sdn Bhd</v>
      </c>
      <c r="H178" s="6" t="str">
        <v>Radio and Television Broadcasting Stations</v>
      </c>
      <c r="I178" s="6" t="str">
        <v>55374A</v>
      </c>
      <c r="J178" s="6" t="str">
        <v>Astro All Asia Networks Ltd</v>
      </c>
      <c r="K178" s="6" t="str">
        <v>Astro All Asia Networks Ltd</v>
      </c>
      <c r="L178" s="7">
        <f>=DATE(2000,3,14)</f>
        <v>36598.99949074074</v>
      </c>
      <c r="M178" s="7">
        <f>=DATE(2000,3,14)</f>
        <v>36598.99949074074</v>
      </c>
      <c r="N178" s="8">
        <v>99.9839473684211</v>
      </c>
      <c r="O178" s="8">
        <v>99.9839473684211</v>
      </c>
      <c r="W178" s="6" t="str">
        <v>Other Peripherals;Operating Systems;Internet Services &amp; Software;Monitors/Terminals;Applications Software(Business;Computer Consulting Services</v>
      </c>
      <c r="X178" s="6" t="str">
        <v>Satellite Communications</v>
      </c>
      <c r="Y178" s="6" t="str">
        <v>Satellite Communications</v>
      </c>
      <c r="Z178" s="6" t="str">
        <v>Satellite Communications</v>
      </c>
      <c r="AA178" s="6" t="str">
        <v>Internet Services &amp; Software;Applications Software(Business;Other Peripherals;Computer Consulting Services;Operating Systems;Monitors/Terminals</v>
      </c>
      <c r="AB178" s="6" t="str">
        <v>Applications Software(Business;Other Peripherals;Internet Services &amp; Software;Monitors/Terminals;Computer Consulting Services;Operating Systems</v>
      </c>
      <c r="AC178" s="8">
        <v>99.9839473684211</v>
      </c>
      <c r="AD178" s="7">
        <f>=DATE(2000,3,14)</f>
        <v>36598.99949074074</v>
      </c>
      <c r="AF178" s="8" t="str">
        <v>1,110.93</v>
      </c>
      <c r="AG178" s="8" t="str">
        <v>1,110.93</v>
      </c>
      <c r="AH178" s="6" t="str">
        <v>False</v>
      </c>
      <c r="AI178" s="6" t="str">
        <v>2000</v>
      </c>
      <c r="AJ178" s="6" t="str">
        <v>Completed</v>
      </c>
      <c r="AM178" s="6" t="str">
        <v>Not Applicable</v>
      </c>
      <c r="AO178" s="6" t="str">
        <v>MALAYSIA - Microsoft Corp acquired 9% stake in Measat Broadcast Network System Sdn Bhd, a company that provides satellite communication services, for 379.939 mil Malaysian ringgit ($100 mil US).</v>
      </c>
    </row>
    <row r="179">
      <c r="A179" s="6" t="str">
        <v>023135</v>
      </c>
      <c r="B179" s="6" t="str">
        <v>United States</v>
      </c>
      <c r="C179" s="6" t="str">
        <v>Amazon.com Inc</v>
      </c>
      <c r="D179" s="6" t="str">
        <v>Amazon.com Inc</v>
      </c>
      <c r="F179" s="6" t="str">
        <v>United States</v>
      </c>
      <c r="G179" s="6" t="str">
        <v>Eziba Inc</v>
      </c>
      <c r="H179" s="6" t="str">
        <v>Miscellaneous Retail Trade</v>
      </c>
      <c r="I179" s="6" t="str">
        <v>30194T</v>
      </c>
      <c r="J179" s="6" t="str">
        <v>Eziba Inc</v>
      </c>
      <c r="K179" s="6" t="str">
        <v>Eziba Inc</v>
      </c>
      <c r="L179" s="7">
        <f>=DATE(2000,3,28)</f>
        <v>36612.99949074074</v>
      </c>
      <c r="M179" s="7">
        <f>=DATE(2000,3,28)</f>
        <v>36612.99949074074</v>
      </c>
      <c r="N179" s="8">
        <v>17.5</v>
      </c>
      <c r="O179" s="8">
        <v>17.5</v>
      </c>
      <c r="W179" s="6" t="str">
        <v>Primary Business not Hi-Tech</v>
      </c>
      <c r="X179" s="6" t="str">
        <v>Internet Services &amp; Software</v>
      </c>
      <c r="Y179" s="6" t="str">
        <v>Internet Services &amp; Software</v>
      </c>
      <c r="Z179" s="6" t="str">
        <v>Internet Services &amp; Software</v>
      </c>
      <c r="AA179" s="6" t="str">
        <v>Primary Business not Hi-Tech</v>
      </c>
      <c r="AB179" s="6" t="str">
        <v>Primary Business not Hi-Tech</v>
      </c>
      <c r="AC179" s="8">
        <v>17.5</v>
      </c>
      <c r="AD179" s="7">
        <f>=DATE(2000,3,29)</f>
        <v>36613.99949074074</v>
      </c>
      <c r="AF179" s="8" t="str">
        <v>87.50</v>
      </c>
      <c r="AG179" s="8" t="str">
        <v>87.50</v>
      </c>
      <c r="AH179" s="6" t="str">
        <v>False</v>
      </c>
      <c r="AI179" s="6" t="str">
        <v>2000</v>
      </c>
      <c r="AJ179" s="6" t="str">
        <v>Completed</v>
      </c>
      <c r="AM179" s="6" t="str">
        <v>Not Applicable</v>
      </c>
      <c r="AO179" s="6" t="str">
        <v>US - Amazon.com Inc acquired a 20% stake in eZiba.com, an online retailer of handcrafted products, for $17.5 mil.</v>
      </c>
    </row>
    <row r="180">
      <c r="A180" s="6" t="str">
        <v>037833</v>
      </c>
      <c r="B180" s="6" t="str">
        <v>United States</v>
      </c>
      <c r="C180" s="6" t="str">
        <v>Apple Computer Inc</v>
      </c>
      <c r="D180" s="6" t="str">
        <v>Apple Computer Inc</v>
      </c>
      <c r="F180" s="6" t="str">
        <v>Germany</v>
      </c>
      <c r="G180" s="6" t="str">
        <v>Astarte GmbH-DVD Authoring Software</v>
      </c>
      <c r="H180" s="6" t="str">
        <v>Prepackaged Software</v>
      </c>
      <c r="I180" s="6" t="str">
        <v>04259Z</v>
      </c>
      <c r="J180" s="6" t="str">
        <v>Astarte Gesellschaft fuer Informatinssysteme und Mdnintgrtin mbH</v>
      </c>
      <c r="K180" s="6" t="str">
        <v>Astarte Gesellschaft fuer Informatinssysteme und Mdnintgrtin mbH</v>
      </c>
      <c r="L180" s="7">
        <f>=DATE(2000,4,11)</f>
        <v>36626.99949074074</v>
      </c>
      <c r="M180" s="7">
        <f>=DATE(2000,4,11)</f>
        <v>36626.99949074074</v>
      </c>
      <c r="W180" s="6" t="str">
        <v>Monitors/Terminals;Mainframes &amp; Super Computers;Other Peripherals;Portable Computers;Printers;Micro-Computers (PCs);Disk Drives;Other Software (inq. Games)</v>
      </c>
      <c r="X180" s="6" t="str">
        <v>Other Software (inq. Games)</v>
      </c>
      <c r="Y180" s="6" t="str">
        <v>Other Software (inq. Games)</v>
      </c>
      <c r="Z180" s="6" t="str">
        <v>Other Software (inq. Games)</v>
      </c>
      <c r="AA180" s="6" t="str">
        <v>Mainframes &amp; Super Computers;Portable Computers;Other Peripherals;Disk Drives;Other Software (inq. Games);Monitors/Terminals;Micro-Computers (PCs);Printers</v>
      </c>
      <c r="AB180" s="6" t="str">
        <v>Other Peripherals;Micro-Computers (PCs);Portable Computers;Printers;Other Software (inq. Games);Disk Drives;Mainframes &amp; Super Computers;Monitors/Terminals</v>
      </c>
      <c r="AH180" s="6" t="str">
        <v>False</v>
      </c>
      <c r="AI180" s="6" t="str">
        <v>2000</v>
      </c>
      <c r="AJ180" s="6" t="str">
        <v>Completed</v>
      </c>
      <c r="AM180" s="6" t="str">
        <v>Divestiture</v>
      </c>
      <c r="AO180" s="6" t="str">
        <v>GERMANY - Apple Computer Inc of the US acquired the DVD authoring software unit of Astarte GmbH. Terms were not disclosed.</v>
      </c>
    </row>
    <row r="181">
      <c r="A181" s="6" t="str">
        <v>594918</v>
      </c>
      <c r="B181" s="6" t="str">
        <v>United States</v>
      </c>
      <c r="C181" s="6" t="str">
        <v>Microsoft Corp</v>
      </c>
      <c r="D181" s="6" t="str">
        <v>Microsoft Corp</v>
      </c>
      <c r="F181" s="6" t="str">
        <v>United States</v>
      </c>
      <c r="G181" s="6" t="str">
        <v>Contentguard Inc</v>
      </c>
      <c r="H181" s="6" t="str">
        <v>Prepackaged Software</v>
      </c>
      <c r="I181" s="6" t="str">
        <v>21083T</v>
      </c>
      <c r="J181" s="6" t="str">
        <v>Xerox Holdings Corp</v>
      </c>
      <c r="K181" s="6" t="str">
        <v>Xerox Corp</v>
      </c>
      <c r="L181" s="7">
        <f>=DATE(2000,4,27)</f>
        <v>36642.99949074074</v>
      </c>
      <c r="W181" s="6" t="str">
        <v>Computer Consulting Services;Applications Software(Business;Other Peripherals;Internet Services &amp; Software;Monitors/Terminals;Operating Systems</v>
      </c>
      <c r="X181" s="6" t="str">
        <v>Applications Software(Business</v>
      </c>
      <c r="Y181" s="6" t="str">
        <v>Other Peripherals;Printers;Scanning Devices</v>
      </c>
      <c r="Z181" s="6" t="str">
        <v>Other Computer Systems;Database Software/Programming;Primary Business not Hi-Tech;Operating Systems;Data Commun(Exclude networking;Printers;Communication/Network Software;Scanning Devices;Data Processing Services;Computer Consulting Services;Other Electronics;Other Computer Related Svcs</v>
      </c>
      <c r="AA181" s="6" t="str">
        <v>Computer Consulting Services;Applications Software(Business;Other Peripherals;Monitors/Terminals;Internet Services &amp; Software;Operating Systems</v>
      </c>
      <c r="AB181" s="6" t="str">
        <v>Operating Systems;Other Peripherals;Computer Consulting Services;Monitors/Terminals;Internet Services &amp; Software;Applications Software(Business</v>
      </c>
      <c r="AH181" s="6" t="str">
        <v>False</v>
      </c>
      <c r="AJ181" s="6" t="str">
        <v>Pending</v>
      </c>
      <c r="AM181" s="6" t="str">
        <v>Not Applicable</v>
      </c>
      <c r="AO181" s="6" t="str">
        <v>US - Microsoft Corp planned to acquire a undisclosed minority interest in ContentGuard Inc, a provider of protection of intellectual property rights and control piracy services on the web, from Xerox Corp.</v>
      </c>
    </row>
    <row r="182">
      <c r="A182" s="6" t="str">
        <v>80609W</v>
      </c>
      <c r="B182" s="6" t="str">
        <v>United States</v>
      </c>
      <c r="C182" s="6" t="str">
        <v>ScanSoft Inc</v>
      </c>
      <c r="D182" s="6" t="str">
        <v>ScanSoft Inc</v>
      </c>
      <c r="F182" s="6" t="str">
        <v>United States</v>
      </c>
      <c r="G182" s="6" t="str">
        <v>EchoBahn.com</v>
      </c>
      <c r="H182" s="6" t="str">
        <v>Business Services</v>
      </c>
      <c r="I182" s="6" t="str">
        <v>27881Y</v>
      </c>
      <c r="J182" s="6" t="str">
        <v>EchoBahn.com</v>
      </c>
      <c r="K182" s="6" t="str">
        <v>EchoBahn.com</v>
      </c>
      <c r="L182" s="7">
        <f>=DATE(2000,5,3)</f>
        <v>36648.99949074074</v>
      </c>
      <c r="M182" s="7">
        <f>=DATE(2000,5,3)</f>
        <v>36648.99949074074</v>
      </c>
      <c r="W182" s="6" t="str">
        <v>Other Software (inq. Games)</v>
      </c>
      <c r="X182" s="6" t="str">
        <v>Internet Services &amp; Software</v>
      </c>
      <c r="Y182" s="6" t="str">
        <v>Internet Services &amp; Software</v>
      </c>
      <c r="Z182" s="6" t="str">
        <v>Internet Services &amp; Software</v>
      </c>
      <c r="AA182" s="6" t="str">
        <v>Other Software (inq. Games)</v>
      </c>
      <c r="AB182" s="6" t="str">
        <v>Other Software (inq. Games)</v>
      </c>
      <c r="AH182" s="6" t="str">
        <v>False</v>
      </c>
      <c r="AI182" s="6" t="str">
        <v>2000</v>
      </c>
      <c r="AJ182" s="6" t="str">
        <v>Completed</v>
      </c>
      <c r="AM182" s="6" t="str">
        <v>Not Applicable</v>
      </c>
      <c r="AO182" s="6" t="str">
        <v>US - ScanSoft Inc, a unit of Visioneer Inc, acquired a 10% stake in EchoBahn.com, a provider of ecommerce marketing services.</v>
      </c>
    </row>
    <row r="183">
      <c r="A183" s="6" t="str">
        <v>594918</v>
      </c>
      <c r="B183" s="6" t="str">
        <v>United States</v>
      </c>
      <c r="C183" s="6" t="str">
        <v>Microsoft Corp</v>
      </c>
      <c r="D183" s="6" t="str">
        <v>Microsoft Corp</v>
      </c>
      <c r="F183" s="6" t="str">
        <v>United States</v>
      </c>
      <c r="G183" s="6" t="str">
        <v>Bungie Software</v>
      </c>
      <c r="H183" s="6" t="str">
        <v>Prepackaged Software</v>
      </c>
      <c r="I183" s="6" t="str">
        <v>12057V</v>
      </c>
      <c r="J183" s="6" t="str">
        <v>Bungie Software</v>
      </c>
      <c r="K183" s="6" t="str">
        <v>Bungie Software</v>
      </c>
      <c r="L183" s="7">
        <f>=DATE(2000,6,19)</f>
        <v>36695.99949074074</v>
      </c>
      <c r="M183" s="7">
        <f>=DATE(2000,6,19)</f>
        <v>36695.99949074074</v>
      </c>
      <c r="W183" s="6" t="str">
        <v>Monitors/Terminals;Other Peripherals;Computer Consulting Services;Applications Software(Business;Operating Systems;Internet Services &amp; Software</v>
      </c>
      <c r="X183" s="6" t="str">
        <v>Database Software/Programming</v>
      </c>
      <c r="Y183" s="6" t="str">
        <v>Database Software/Programming</v>
      </c>
      <c r="Z183" s="6" t="str">
        <v>Database Software/Programming</v>
      </c>
      <c r="AA183" s="6" t="str">
        <v>Computer Consulting Services;Applications Software(Business;Internet Services &amp; Software;Operating Systems;Other Peripherals;Monitors/Terminals</v>
      </c>
      <c r="AB183" s="6" t="str">
        <v>Operating Systems;Internet Services &amp; Software;Applications Software(Business;Other Peripherals;Monitors/Terminals;Computer Consulting Services</v>
      </c>
      <c r="AH183" s="6" t="str">
        <v>True</v>
      </c>
      <c r="AI183" s="6" t="str">
        <v>2000</v>
      </c>
      <c r="AJ183" s="6" t="str">
        <v>Completed</v>
      </c>
      <c r="AM183" s="6" t="str">
        <v>Not Applicable</v>
      </c>
      <c r="AO183" s="6" t="str">
        <v>US - Microsoft Corp acquired Bungie Software, a developer of action oriented computer and video games.</v>
      </c>
    </row>
    <row r="184">
      <c r="A184" s="6" t="str">
        <v>594918</v>
      </c>
      <c r="B184" s="6" t="str">
        <v>United States</v>
      </c>
      <c r="C184" s="6" t="str">
        <v>Microsoft Corp</v>
      </c>
      <c r="D184" s="6" t="str">
        <v>Microsoft Corp</v>
      </c>
      <c r="F184" s="6" t="str">
        <v>United States</v>
      </c>
      <c r="G184" s="6" t="str">
        <v>FutureLink Corp</v>
      </c>
      <c r="H184" s="6" t="str">
        <v>Business Services</v>
      </c>
      <c r="I184" s="6" t="str">
        <v>36114Q</v>
      </c>
      <c r="J184" s="6" t="str">
        <v>FutureLink Corp</v>
      </c>
      <c r="K184" s="6" t="str">
        <v>FutureLink Corp</v>
      </c>
      <c r="L184" s="7">
        <f>=DATE(2000,6,30)</f>
        <v>36706.99949074074</v>
      </c>
      <c r="N184" s="8">
        <v>10</v>
      </c>
      <c r="O184" s="8">
        <v>10</v>
      </c>
      <c r="P184" s="8" t="str">
        <v>409.28</v>
      </c>
      <c r="R184" s="8">
        <v>-34.9</v>
      </c>
      <c r="S184" s="8">
        <v>13.6</v>
      </c>
      <c r="T184" s="8">
        <v>70.8</v>
      </c>
      <c r="U184" s="8">
        <v>-35.3</v>
      </c>
      <c r="V184" s="8">
        <v>-16.4</v>
      </c>
      <c r="W184" s="6" t="str">
        <v>Applications Software(Business;Internet Services &amp; Software;Other Peripherals;Monitors/Terminals;Computer Consulting Services;Operating Systems</v>
      </c>
      <c r="X184" s="6" t="str">
        <v>Database Software/Programming;Programming Services</v>
      </c>
      <c r="Y184" s="6" t="str">
        <v>Programming Services;Database Software/Programming</v>
      </c>
      <c r="Z184" s="6" t="str">
        <v>Programming Services;Database Software/Programming</v>
      </c>
      <c r="AA184" s="6" t="str">
        <v>Internet Services &amp; Software;Operating Systems;Other Peripherals;Computer Consulting Services;Applications Software(Business;Monitors/Terminals</v>
      </c>
      <c r="AB184" s="6" t="str">
        <v>Computer Consulting Services;Internet Services &amp; Software;Monitors/Terminals;Operating Systems;Applications Software(Business;Other Peripherals</v>
      </c>
      <c r="AC184" s="8">
        <v>10</v>
      </c>
      <c r="AD184" s="7">
        <f>=DATE(2000,6,30)</f>
        <v>36706.99949074074</v>
      </c>
      <c r="AF184" s="8" t="str">
        <v>409.28</v>
      </c>
      <c r="AH184" s="6" t="str">
        <v>True</v>
      </c>
      <c r="AJ184" s="6" t="str">
        <v>Pending</v>
      </c>
      <c r="AL184" s="8">
        <v>1.428571</v>
      </c>
      <c r="AM184" s="6" t="str">
        <v>Privately Negotiated Purchase</v>
      </c>
      <c r="AN184" s="8">
        <v>186.9</v>
      </c>
      <c r="AO184" s="6" t="str">
        <v>US - Microsoft Corp planned to acquire a 2.42% stake, or 1.429 mil series A convertible preferred common shares, in Futurelink Corp, a provider of server-based computing services, for $7 per share, or a total value of $10 mil.</v>
      </c>
    </row>
    <row r="185">
      <c r="A185" s="6" t="str">
        <v>594918</v>
      </c>
      <c r="B185" s="6" t="str">
        <v>United States</v>
      </c>
      <c r="C185" s="6" t="str">
        <v>Microsoft Corp</v>
      </c>
      <c r="D185" s="6" t="str">
        <v>Microsoft Corp</v>
      </c>
      <c r="F185" s="6" t="str">
        <v>United States</v>
      </c>
      <c r="G185" s="6" t="str">
        <v>NetGames USA</v>
      </c>
      <c r="H185" s="6" t="str">
        <v>Prepackaged Software</v>
      </c>
      <c r="I185" s="6" t="str">
        <v>4F2769</v>
      </c>
      <c r="J185" s="6" t="str">
        <v>NetGames USA</v>
      </c>
      <c r="K185" s="6" t="str">
        <v>NetGames USA</v>
      </c>
      <c r="L185" s="7">
        <f>=DATE(2000,7,12)</f>
        <v>36718.99949074074</v>
      </c>
      <c r="M185" s="7">
        <f>=DATE(2000,7,12)</f>
        <v>36718.99949074074</v>
      </c>
      <c r="W185" s="6" t="str">
        <v>Monitors/Terminals;Internet Services &amp; Software;Computer Consulting Services;Operating Systems;Applications Software(Business;Other Peripherals</v>
      </c>
      <c r="X185" s="6" t="str">
        <v>Other Software (inq. Games)</v>
      </c>
      <c r="Y185" s="6" t="str">
        <v>Other Software (inq. Games)</v>
      </c>
      <c r="Z185" s="6" t="str">
        <v>Other Software (inq. Games)</v>
      </c>
      <c r="AA185" s="6" t="str">
        <v>Other Peripherals;Internet Services &amp; Software;Monitors/Terminals;Computer Consulting Services;Applications Software(Business;Operating Systems</v>
      </c>
      <c r="AB185" s="6" t="str">
        <v>Applications Software(Business;Computer Consulting Services;Other Peripherals;Internet Services &amp; Software;Monitors/Terminals;Operating Systems</v>
      </c>
      <c r="AH185" s="6" t="str">
        <v>True</v>
      </c>
      <c r="AI185" s="6" t="str">
        <v>2000</v>
      </c>
      <c r="AJ185" s="6" t="str">
        <v>Completed</v>
      </c>
      <c r="AM185" s="6" t="str">
        <v>Not Applicable</v>
      </c>
      <c r="AO185" s="6" t="str">
        <v>US - Microsoft Corp acquired NetGames USA, a developer of software.</v>
      </c>
    </row>
    <row r="186">
      <c r="A186" s="6" t="str">
        <v>594918</v>
      </c>
      <c r="B186" s="6" t="str">
        <v>United States</v>
      </c>
      <c r="C186" s="6" t="str">
        <v>Microsoft Corp</v>
      </c>
      <c r="D186" s="6" t="str">
        <v>Microsoft Corp</v>
      </c>
      <c r="F186" s="6" t="str">
        <v>Italy</v>
      </c>
      <c r="G186" s="6" t="str">
        <v>Blixer Net Services Srl</v>
      </c>
      <c r="H186" s="6" t="str">
        <v>Business Services</v>
      </c>
      <c r="I186" s="6" t="str">
        <v>09361Z</v>
      </c>
      <c r="J186" s="6" t="str">
        <v>Blixer Net Services Srl</v>
      </c>
      <c r="K186" s="6" t="str">
        <v>Blixer Net Services Srl</v>
      </c>
      <c r="L186" s="7">
        <f>=DATE(2000,7,13)</f>
        <v>36719.99949074074</v>
      </c>
      <c r="M186" s="7">
        <f>=DATE(2000,7,13)</f>
        <v>36719.99949074074</v>
      </c>
      <c r="W186" s="6" t="str">
        <v>Monitors/Terminals;Internet Services &amp; Software;Operating Systems;Computer Consulting Services;Other Peripherals;Applications Software(Business</v>
      </c>
      <c r="X186" s="6" t="str">
        <v>Communication/Network Software;Internet Services &amp; Software</v>
      </c>
      <c r="Y186" s="6" t="str">
        <v>Communication/Network Software;Internet Services &amp; Software</v>
      </c>
      <c r="Z186" s="6" t="str">
        <v>Communication/Network Software;Internet Services &amp; Software</v>
      </c>
      <c r="AA186" s="6" t="str">
        <v>Applications Software(Business;Monitors/Terminals;Operating Systems;Other Peripherals;Computer Consulting Services;Internet Services &amp; Software</v>
      </c>
      <c r="AB186" s="6" t="str">
        <v>Monitors/Terminals;Applications Software(Business;Other Peripherals;Internet Services &amp; Software;Computer Consulting Services;Operating Systems</v>
      </c>
      <c r="AH186" s="6" t="str">
        <v>False</v>
      </c>
      <c r="AI186" s="6" t="str">
        <v>2000</v>
      </c>
      <c r="AJ186" s="6" t="str">
        <v>Completed</v>
      </c>
      <c r="AM186" s="6" t="str">
        <v>Not Applicable</v>
      </c>
      <c r="AO186" s="6" t="str">
        <v>ITALY - Microsoft Corp of the US acquired an undisclosed minority stake in Blixer, Milan-based provider of telecommunication services over the Internet. Terms were not disclosed.</v>
      </c>
    </row>
    <row r="187">
      <c r="A187" s="6" t="str">
        <v>72605H</v>
      </c>
      <c r="B187" s="6" t="str">
        <v>United States</v>
      </c>
      <c r="C187" s="6" t="str">
        <v>PlaceWare Inc</v>
      </c>
      <c r="D187" s="6" t="str">
        <v>PlaceWare Inc</v>
      </c>
      <c r="F187" s="6" t="str">
        <v>United States</v>
      </c>
      <c r="G187" s="6" t="str">
        <v>Envoyglobal.com</v>
      </c>
      <c r="H187" s="6" t="str">
        <v>Business Services</v>
      </c>
      <c r="I187" s="6" t="str">
        <v>29401W</v>
      </c>
      <c r="J187" s="6" t="str">
        <v>Envoyglobal.com</v>
      </c>
      <c r="K187" s="6" t="str">
        <v>Envoyglobal.com</v>
      </c>
      <c r="L187" s="7">
        <f>=DATE(2000,7,24)</f>
        <v>36730.99949074074</v>
      </c>
      <c r="M187" s="7">
        <f>=DATE(2000,7,24)</f>
        <v>36730.99949074074</v>
      </c>
      <c r="W187" s="6" t="str">
        <v>Internet Services &amp; Software</v>
      </c>
      <c r="X187" s="6" t="str">
        <v>Communication/Network Software;Internet Services &amp; Software;Applications Software(Business</v>
      </c>
      <c r="Y187" s="6" t="str">
        <v>Applications Software(Business;Internet Services &amp; Software;Communication/Network Software</v>
      </c>
      <c r="Z187" s="6" t="str">
        <v>Internet Services &amp; Software;Applications Software(Business;Communication/Network Software</v>
      </c>
      <c r="AA187" s="6" t="str">
        <v>Internet Services &amp; Software</v>
      </c>
      <c r="AB187" s="6" t="str">
        <v>Internet Services &amp; Software</v>
      </c>
      <c r="AH187" s="6" t="str">
        <v>False</v>
      </c>
      <c r="AI187" s="6" t="str">
        <v>2000</v>
      </c>
      <c r="AJ187" s="6" t="str">
        <v>Completed</v>
      </c>
      <c r="AM187" s="6" t="str">
        <v>Not Applicable</v>
      </c>
      <c r="AO187" s="6" t="str">
        <v>US - PlaceWare Inc merged with Envoyglobal.com (EGC), an Internet conferencing Applications Service Provider {ASP}. Upon completion, EGC became Placeware Event Services Division.</v>
      </c>
    </row>
    <row r="188">
      <c r="A188" s="6" t="str">
        <v>594918</v>
      </c>
      <c r="B188" s="6" t="str">
        <v>United States</v>
      </c>
      <c r="C188" s="6" t="str">
        <v>Microsoft Corp</v>
      </c>
      <c r="D188" s="6" t="str">
        <v>Microsoft Corp</v>
      </c>
      <c r="F188" s="6" t="str">
        <v>United States</v>
      </c>
      <c r="G188" s="6" t="str">
        <v>CAIS Internet Inc</v>
      </c>
      <c r="H188" s="6" t="str">
        <v>Business Services</v>
      </c>
      <c r="I188" s="6" t="str">
        <v>12476Q</v>
      </c>
      <c r="J188" s="6" t="str">
        <v>CAIS Internet Inc</v>
      </c>
      <c r="K188" s="6" t="str">
        <v>CAIS Internet Inc</v>
      </c>
      <c r="L188" s="7">
        <f>=DATE(2000,8,4)</f>
        <v>36741.99949074074</v>
      </c>
      <c r="M188" s="7">
        <f>=DATE(2000,8,4)</f>
        <v>36741.99949074074</v>
      </c>
      <c r="N188" s="8">
        <v>40</v>
      </c>
      <c r="O188" s="8">
        <v>40</v>
      </c>
      <c r="R188" s="8">
        <v>-104.5</v>
      </c>
      <c r="S188" s="8">
        <v>23</v>
      </c>
      <c r="T188" s="8">
        <v>137</v>
      </c>
      <c r="U188" s="8">
        <v>-172.8</v>
      </c>
      <c r="V188" s="8">
        <v>-42.7</v>
      </c>
      <c r="W188" s="6" t="str">
        <v>Operating Systems;Other Peripherals;Internet Services &amp; Software;Monitors/Terminals;Applications Software(Business;Computer Consulting Services</v>
      </c>
      <c r="X188" s="6" t="str">
        <v>Communication/Network Software;Data Processing Services;Internet Services &amp; Software</v>
      </c>
      <c r="Y188" s="6" t="str">
        <v>Data Processing Services;Communication/Network Software;Internet Services &amp; Software</v>
      </c>
      <c r="Z188" s="6" t="str">
        <v>Internet Services &amp; Software;Communication/Network Software;Data Processing Services</v>
      </c>
      <c r="AA188" s="6" t="str">
        <v>Internet Services &amp; Software;Computer Consulting Services;Applications Software(Business;Operating Systems;Monitors/Terminals;Other Peripherals</v>
      </c>
      <c r="AB188" s="6" t="str">
        <v>Operating Systems;Applications Software(Business;Internet Services &amp; Software;Monitors/Terminals;Computer Consulting Services;Other Peripherals</v>
      </c>
      <c r="AC188" s="8">
        <v>40</v>
      </c>
      <c r="AD188" s="7">
        <f>=DATE(2000,8,4)</f>
        <v>36741.99949074074</v>
      </c>
      <c r="AH188" s="6" t="str">
        <v>True</v>
      </c>
      <c r="AI188" s="6" t="str">
        <v>2000</v>
      </c>
      <c r="AJ188" s="6" t="str">
        <v>Completed</v>
      </c>
      <c r="AM188" s="6" t="str">
        <v>Not Applicable</v>
      </c>
      <c r="AN188" s="8">
        <v>53.1</v>
      </c>
      <c r="AO188" s="6" t="str">
        <v>US - Microsoft Corp acquired an undisclosed minority stake in CAIS Internet Inc, a provider of Internet access services, for $40 mil.</v>
      </c>
    </row>
    <row r="189">
      <c r="A189" s="6" t="str">
        <v>023135</v>
      </c>
      <c r="B189" s="6" t="str">
        <v>United States</v>
      </c>
      <c r="C189" s="6" t="str">
        <v>Amazon.com Inc</v>
      </c>
      <c r="D189" s="6" t="str">
        <v>Amazon.com Inc</v>
      </c>
      <c r="F189" s="6" t="str">
        <v>United States</v>
      </c>
      <c r="G189" s="6" t="str">
        <v>Toysrus.com LLC</v>
      </c>
      <c r="H189" s="6" t="str">
        <v>Business Services</v>
      </c>
      <c r="I189" s="6" t="str">
        <v>89243M</v>
      </c>
      <c r="J189" s="6" t="str">
        <v>Toys R Us Inc</v>
      </c>
      <c r="K189" s="6" t="str">
        <v>Toys R Us Inc</v>
      </c>
      <c r="L189" s="7">
        <f>=DATE(2000,8,10)</f>
        <v>36747.99949074074</v>
      </c>
      <c r="W189" s="6" t="str">
        <v>Primary Business not Hi-Tech</v>
      </c>
      <c r="X189" s="6" t="str">
        <v>Internet Services &amp; Software</v>
      </c>
      <c r="Y189" s="6" t="str">
        <v>Primary Business not Hi-Tech</v>
      </c>
      <c r="Z189" s="6" t="str">
        <v>Primary Business not Hi-Tech</v>
      </c>
      <c r="AA189" s="6" t="str">
        <v>Primary Business not Hi-Tech</v>
      </c>
      <c r="AB189" s="6" t="str">
        <v>Primary Business not Hi-Tech</v>
      </c>
      <c r="AH189" s="6" t="str">
        <v>False</v>
      </c>
      <c r="AJ189" s="6" t="str">
        <v>Pending</v>
      </c>
      <c r="AM189" s="6" t="str">
        <v>Not Applicable</v>
      </c>
      <c r="AO189" s="6" t="str">
        <v>US - Amazon.com Inc agreed to acquire a 5% stake in Toysrus.com, an online retail toy store, from Toys R Us Inc.</v>
      </c>
    </row>
    <row r="190">
      <c r="A190" s="6" t="str">
        <v>594918</v>
      </c>
      <c r="B190" s="6" t="str">
        <v>United States</v>
      </c>
      <c r="C190" s="6" t="str">
        <v>Microsoft Corp</v>
      </c>
      <c r="D190" s="6" t="str">
        <v>Microsoft Corp</v>
      </c>
      <c r="F190" s="6" t="str">
        <v>United States</v>
      </c>
      <c r="G190" s="6" t="str">
        <v>MongoMusic Inc</v>
      </c>
      <c r="H190" s="6" t="str">
        <v>Business Services</v>
      </c>
      <c r="I190" s="6" t="str">
        <v>60943W</v>
      </c>
      <c r="J190" s="6" t="str">
        <v>MongoMusic Inc</v>
      </c>
      <c r="K190" s="6" t="str">
        <v>MongoMusic Inc</v>
      </c>
      <c r="L190" s="7">
        <f>=DATE(2000,9,13)</f>
        <v>36781.99949074074</v>
      </c>
      <c r="M190" s="7">
        <f>=DATE(2000,9,13)</f>
        <v>36781.99949074074</v>
      </c>
      <c r="N190" s="8">
        <v>65</v>
      </c>
      <c r="O190" s="8">
        <v>65</v>
      </c>
      <c r="W190" s="6" t="str">
        <v>Operating Systems;Monitors/Terminals;Other Peripherals;Computer Consulting Services;Applications Software(Business;Internet Services &amp; Software</v>
      </c>
      <c r="X190" s="6" t="str">
        <v>Internet Services &amp; Software</v>
      </c>
      <c r="Y190" s="6" t="str">
        <v>Internet Services &amp; Software</v>
      </c>
      <c r="Z190" s="6" t="str">
        <v>Internet Services &amp; Software</v>
      </c>
      <c r="AA190" s="6" t="str">
        <v>Applications Software(Business;Monitors/Terminals;Internet Services &amp; Software;Other Peripherals;Computer Consulting Services;Operating Systems</v>
      </c>
      <c r="AB190" s="6" t="str">
        <v>Other Peripherals;Internet Services &amp; Software;Applications Software(Business;Computer Consulting Services;Monitors/Terminals;Operating Systems</v>
      </c>
      <c r="AC190" s="8">
        <v>65</v>
      </c>
      <c r="AD190" s="7">
        <f>=DATE(2000,9,13)</f>
        <v>36781.99949074074</v>
      </c>
      <c r="AH190" s="6" t="str">
        <v>True</v>
      </c>
      <c r="AI190" s="6" t="str">
        <v>2000</v>
      </c>
      <c r="AJ190" s="6" t="str">
        <v>Completed</v>
      </c>
      <c r="AM190" s="6" t="str">
        <v>Not Applicable</v>
      </c>
      <c r="AO190" s="6" t="str">
        <v>US - Microsoft Corp acquired MongoMusic Inc, a provider of online music search engine services, for an estimated $65 mil.</v>
      </c>
    </row>
    <row r="191">
      <c r="A191" s="6" t="str">
        <v>05707L</v>
      </c>
      <c r="B191" s="6" t="str">
        <v>United States</v>
      </c>
      <c r="C191" s="6" t="str">
        <v>BET.com LLC</v>
      </c>
      <c r="D191" s="6" t="str">
        <v>BET Holdings II Inc</v>
      </c>
      <c r="F191" s="6" t="str">
        <v>United States</v>
      </c>
      <c r="G191" s="6" t="str">
        <v>RS1W Inc</v>
      </c>
      <c r="H191" s="6" t="str">
        <v>Business Services</v>
      </c>
      <c r="I191" s="6" t="str">
        <v>75110N</v>
      </c>
      <c r="J191" s="6" t="str">
        <v>RS1W Inc</v>
      </c>
      <c r="K191" s="6" t="str">
        <v>RS1W Inc</v>
      </c>
      <c r="L191" s="7">
        <f>=DATE(2000,9,14)</f>
        <v>36782.99949074074</v>
      </c>
      <c r="M191" s="7">
        <f>=DATE(2000,10,3)</f>
        <v>36801.99949074074</v>
      </c>
      <c r="W191" s="6" t="str">
        <v>Internet Services &amp; Software</v>
      </c>
      <c r="X191" s="6" t="str">
        <v>Internet Services &amp; Software</v>
      </c>
      <c r="Y191" s="6" t="str">
        <v>Internet Services &amp; Software</v>
      </c>
      <c r="Z191" s="6" t="str">
        <v>Internet Services &amp; Software</v>
      </c>
      <c r="AA191" s="6" t="str">
        <v>Primary Business not Hi-Tech</v>
      </c>
      <c r="AB191" s="6" t="str">
        <v>Primary Business not Hi-Tech</v>
      </c>
      <c r="AH191" s="6" t="str">
        <v>False</v>
      </c>
      <c r="AI191" s="6" t="str">
        <v>2000</v>
      </c>
      <c r="AJ191" s="6" t="str">
        <v>Completed</v>
      </c>
      <c r="AM191" s="6" t="str">
        <v>Not Applicable</v>
      </c>
      <c r="AO191" s="6" t="str">
        <v>US - BET.com LLC acquired RS1W Inc, a provider of ecommerce services.</v>
      </c>
    </row>
    <row r="192">
      <c r="A192" s="6" t="str">
        <v>594918</v>
      </c>
      <c r="B192" s="6" t="str">
        <v>United States</v>
      </c>
      <c r="C192" s="6" t="str">
        <v>Microsoft Corp</v>
      </c>
      <c r="D192" s="6" t="str">
        <v>Microsoft Corp</v>
      </c>
      <c r="F192" s="6" t="str">
        <v>United States</v>
      </c>
      <c r="G192" s="6" t="str">
        <v>Pacific Microsonics Inc</v>
      </c>
      <c r="H192" s="6" t="str">
        <v>Electronic and Electrical Equipment</v>
      </c>
      <c r="I192" s="6" t="str">
        <v>69455F</v>
      </c>
      <c r="J192" s="6" t="str">
        <v>Pacific Microsonics Inc</v>
      </c>
      <c r="K192" s="6" t="str">
        <v>Pacific Microsonics Inc</v>
      </c>
      <c r="L192" s="7">
        <f>=DATE(2000,9,27)</f>
        <v>36795.99949074074</v>
      </c>
      <c r="M192" s="7">
        <f>=DATE(2000,9,27)</f>
        <v>36795.99949074074</v>
      </c>
      <c r="W192" s="6" t="str">
        <v>Applications Software(Business;Computer Consulting Services;Internet Services &amp; Software;Operating Systems;Other Peripherals;Monitors/Terminals</v>
      </c>
      <c r="X192" s="6" t="str">
        <v>Other Computer Related Svcs;Other High Technology Industry</v>
      </c>
      <c r="Y192" s="6" t="str">
        <v>Other Computer Related Svcs;Other High Technology Industry</v>
      </c>
      <c r="Z192" s="6" t="str">
        <v>Other High Technology Industry;Other Computer Related Svcs</v>
      </c>
      <c r="AA192" s="6" t="str">
        <v>Other Peripherals;Applications Software(Business;Operating Systems;Internet Services &amp; Software;Monitors/Terminals;Computer Consulting Services</v>
      </c>
      <c r="AB192" s="6" t="str">
        <v>Internet Services &amp; Software;Operating Systems;Other Peripherals;Applications Software(Business;Monitors/Terminals;Computer Consulting Services</v>
      </c>
      <c r="AH192" s="6" t="str">
        <v>False</v>
      </c>
      <c r="AI192" s="6" t="str">
        <v>2000</v>
      </c>
      <c r="AJ192" s="6" t="str">
        <v>Completed</v>
      </c>
      <c r="AM192" s="6" t="str">
        <v>Not Applicable</v>
      </c>
      <c r="AO192" s="6" t="str">
        <v>US - Microsoft Corp acquired Pacific Microsonics Inc, a developer of HDCD digital audio technology.</v>
      </c>
    </row>
    <row r="193">
      <c r="A193" s="6" t="str">
        <v>594918</v>
      </c>
      <c r="B193" s="6" t="str">
        <v>United States</v>
      </c>
      <c r="C193" s="6" t="str">
        <v>Microsoft Corp</v>
      </c>
      <c r="D193" s="6" t="str">
        <v>Microsoft Corp</v>
      </c>
      <c r="F193" s="6" t="str">
        <v>Canada</v>
      </c>
      <c r="G193" s="6" t="str">
        <v>Corel Corp</v>
      </c>
      <c r="H193" s="6" t="str">
        <v>Prepackaged Software</v>
      </c>
      <c r="I193" s="6" t="str">
        <v>21868Q</v>
      </c>
      <c r="J193" s="6" t="str">
        <v>Corel Corp</v>
      </c>
      <c r="K193" s="6" t="str">
        <v>Corel Corp</v>
      </c>
      <c r="L193" s="7">
        <f>=DATE(2000,10,2)</f>
        <v>36800.99949074074</v>
      </c>
      <c r="M193" s="7">
        <f>=DATE(2000,10,2)</f>
        <v>36800.99949074074</v>
      </c>
      <c r="N193" s="8">
        <v>89.4572924259492</v>
      </c>
      <c r="O193" s="8">
        <v>89.4572924259492</v>
      </c>
      <c r="P193" s="8" t="str">
        <v>373.20</v>
      </c>
      <c r="R193" s="8">
        <v>-42.5358429027655</v>
      </c>
      <c r="S193" s="8">
        <v>175.647210708704</v>
      </c>
      <c r="T193" s="8">
        <v>12.5208</v>
      </c>
      <c r="U193" s="8">
        <v>6.90336</v>
      </c>
      <c r="V193" s="8">
        <v>-29.50848</v>
      </c>
      <c r="W193" s="6" t="str">
        <v>Applications Software(Business;Other Peripherals;Operating Systems;Computer Consulting Services;Monitors/Terminals;Internet Services &amp; Software</v>
      </c>
      <c r="X193" s="6" t="str">
        <v>Applications Software(Business;Other Software (inq. Games);Applications Software(Home)</v>
      </c>
      <c r="Y193" s="6" t="str">
        <v>Applications Software(Business;Other Software (inq. Games);Applications Software(Home)</v>
      </c>
      <c r="Z193" s="6" t="str">
        <v>Applications Software(Business;Applications Software(Home);Other Software (inq. Games)</v>
      </c>
      <c r="AA193" s="6" t="str">
        <v>Monitors/Terminals;Operating Systems;Computer Consulting Services;Other Peripherals;Applications Software(Business;Internet Services &amp; Software</v>
      </c>
      <c r="AB193" s="6" t="str">
        <v>Other Peripherals;Applications Software(Business;Monitors/Terminals;Internet Services &amp; Software;Computer Consulting Services;Operating Systems</v>
      </c>
      <c r="AC193" s="8">
        <v>89.4572924259492</v>
      </c>
      <c r="AD193" s="7">
        <f>=DATE(2000,10,2)</f>
        <v>36800.99949074074</v>
      </c>
      <c r="AE193" s="8">
        <v>341.84046410112</v>
      </c>
      <c r="AF193" s="8" t="str">
        <v>342.24</v>
      </c>
      <c r="AG193" s="8" t="str">
        <v>363.96</v>
      </c>
      <c r="AH193" s="6" t="str">
        <v>True</v>
      </c>
      <c r="AI193" s="6" t="str">
        <v>2000</v>
      </c>
      <c r="AJ193" s="6" t="str">
        <v>Completed</v>
      </c>
      <c r="AK193" s="8">
        <v>341.84046410112</v>
      </c>
      <c r="AL193" s="8">
        <v>24</v>
      </c>
      <c r="AM193" s="6" t="str">
        <v>Privately Negotiated Purchase</v>
      </c>
      <c r="AO193" s="6" t="str">
        <v>CANADA - Microsoft Corp acquired 24 mil preferred shares convertible into common shares on a one for one basis, at a price of 5.625 Canadian dollars ($3.742 US) per share, in Corel Corp, a software developer, for a total value of C$135 mil ($89.37 mil), in a privately negotiated transaction.</v>
      </c>
    </row>
    <row r="194">
      <c r="A194" s="6" t="str">
        <v>73959W</v>
      </c>
      <c r="B194" s="6" t="str">
        <v>United States</v>
      </c>
      <c r="C194" s="6" t="str">
        <v>PowerSchool Inc</v>
      </c>
      <c r="D194" s="6" t="str">
        <v>PowerSchool Inc</v>
      </c>
      <c r="F194" s="6" t="str">
        <v>United States</v>
      </c>
      <c r="G194" s="6" t="str">
        <v>Nordex International Inc</v>
      </c>
      <c r="H194" s="6" t="str">
        <v>Business Services</v>
      </c>
      <c r="I194" s="6" t="str">
        <v>65580L</v>
      </c>
      <c r="J194" s="6" t="str">
        <v>Nordex International Inc</v>
      </c>
      <c r="K194" s="6" t="str">
        <v>Nordex International Inc</v>
      </c>
      <c r="L194" s="7">
        <f>=DATE(2000,10,10)</f>
        <v>36808.99949074074</v>
      </c>
      <c r="M194" s="7">
        <f>=DATE(2000,10,10)</f>
        <v>36808.99949074074</v>
      </c>
      <c r="W194" s="6" t="str">
        <v>Internet Services &amp; Software;Communication/Network Software</v>
      </c>
      <c r="X194" s="6" t="str">
        <v>Applications Software(Business;Programming Services</v>
      </c>
      <c r="Y194" s="6" t="str">
        <v>Programming Services;Applications Software(Business</v>
      </c>
      <c r="Z194" s="6" t="str">
        <v>Programming Services;Applications Software(Business</v>
      </c>
      <c r="AA194" s="6" t="str">
        <v>Internet Services &amp; Software;Communication/Network Software</v>
      </c>
      <c r="AB194" s="6" t="str">
        <v>Internet Services &amp; Software;Communication/Network Software</v>
      </c>
      <c r="AH194" s="6" t="str">
        <v>True</v>
      </c>
      <c r="AI194" s="6" t="str">
        <v>2000</v>
      </c>
      <c r="AJ194" s="6" t="str">
        <v>Completed</v>
      </c>
      <c r="AM194" s="6" t="str">
        <v>Not Applicable</v>
      </c>
      <c r="AO194" s="6" t="str">
        <v>US - PowerSchool Inc definitively agreed to acquire Nordex International Inc, a developer of scheduling software. Terms were not disclosed.</v>
      </c>
    </row>
    <row r="195">
      <c r="A195" s="6" t="str">
        <v>05707L</v>
      </c>
      <c r="B195" s="6" t="str">
        <v>United States</v>
      </c>
      <c r="C195" s="6" t="str">
        <v>BET.com LLC</v>
      </c>
      <c r="D195" s="6" t="str">
        <v>BET Holdings II Inc</v>
      </c>
      <c r="F195" s="6" t="str">
        <v>United States</v>
      </c>
      <c r="G195" s="6" t="str">
        <v>360HIPHOP.com</v>
      </c>
      <c r="H195" s="6" t="str">
        <v>Business Services</v>
      </c>
      <c r="I195" s="6" t="str">
        <v>88567R</v>
      </c>
      <c r="J195" s="6" t="str">
        <v>360HIPHOP.com</v>
      </c>
      <c r="K195" s="6" t="str">
        <v>360HIPHOP.com</v>
      </c>
      <c r="L195" s="7">
        <f>=DATE(2000,10,11)</f>
        <v>36809.99949074074</v>
      </c>
      <c r="M195" s="7">
        <f>=DATE(2000,10,11)</f>
        <v>36809.99949074074</v>
      </c>
      <c r="W195" s="6" t="str">
        <v>Internet Services &amp; Software</v>
      </c>
      <c r="X195" s="6" t="str">
        <v>Internet Services &amp; Software</v>
      </c>
      <c r="Y195" s="6" t="str">
        <v>Internet Services &amp; Software</v>
      </c>
      <c r="Z195" s="6" t="str">
        <v>Internet Services &amp; Software</v>
      </c>
      <c r="AA195" s="6" t="str">
        <v>Primary Business not Hi-Tech</v>
      </c>
      <c r="AB195" s="6" t="str">
        <v>Primary Business not Hi-Tech</v>
      </c>
      <c r="AH195" s="6" t="str">
        <v>False</v>
      </c>
      <c r="AI195" s="6" t="str">
        <v>2000</v>
      </c>
      <c r="AJ195" s="6" t="str">
        <v>Completed</v>
      </c>
      <c r="AM195" s="6" t="str">
        <v>Rumored Deal</v>
      </c>
      <c r="AO195" s="6" t="str">
        <v>US - BET.com LLC (BET), a unit of joint-venture partners BET Holdings Inc, Microsoft Corp, News Corp Ltd, USA Networks Inc, and Liberty Digital, planned to acquire 360HIPHOP.com (360), a provider of online music retail services. Originally, BET was in negotiations to acquire 360</v>
      </c>
    </row>
    <row r="196">
      <c r="A196" s="6" t="str">
        <v>925653</v>
      </c>
      <c r="B196" s="6" t="str">
        <v>United States</v>
      </c>
      <c r="C196" s="6" t="str">
        <v>Vicinity Corp</v>
      </c>
      <c r="D196" s="6" t="str">
        <v>Vicinity Corp</v>
      </c>
      <c r="F196" s="6" t="str">
        <v>United States</v>
      </c>
      <c r="G196" s="6" t="str">
        <v>NetCreate Systems</v>
      </c>
      <c r="H196" s="6" t="str">
        <v>Prepackaged Software</v>
      </c>
      <c r="I196" s="6" t="str">
        <v>64084Y</v>
      </c>
      <c r="J196" s="6" t="str">
        <v>NetCreate Systems</v>
      </c>
      <c r="K196" s="6" t="str">
        <v>NetCreate Systems</v>
      </c>
      <c r="L196" s="7">
        <f>=DATE(2000,10,26)</f>
        <v>36824.99949074074</v>
      </c>
      <c r="M196" s="7">
        <f>=DATE(2000,10,26)</f>
        <v>36824.99949074074</v>
      </c>
      <c r="W196" s="6" t="str">
        <v>Other Computer Related Svcs;Networking Systems (LAN,WAN);Applications Software(Business;Communication/Network Software;Utilities/File Mgmt Software;Internet Services &amp; Software</v>
      </c>
      <c r="X196" s="6" t="str">
        <v>Internet Services &amp; Software;Communication/Network Software</v>
      </c>
      <c r="Y196" s="6" t="str">
        <v>Communication/Network Software;Internet Services &amp; Software</v>
      </c>
      <c r="Z196" s="6" t="str">
        <v>Internet Services &amp; Software;Communication/Network Software</v>
      </c>
      <c r="AA196" s="6" t="str">
        <v>Utilities/File Mgmt Software;Communication/Network Software;Internet Services &amp; Software;Applications Software(Business;Networking Systems (LAN,WAN);Other Computer Related Svcs</v>
      </c>
      <c r="AB196" s="6" t="str">
        <v>Utilities/File Mgmt Software;Applications Software(Business;Internet Services &amp; Software;Networking Systems (LAN,WAN);Communication/Network Software;Other Computer Related Svcs</v>
      </c>
      <c r="AH196" s="6" t="str">
        <v>False</v>
      </c>
      <c r="AI196" s="6" t="str">
        <v>2000</v>
      </c>
      <c r="AJ196" s="6" t="str">
        <v>Completed</v>
      </c>
      <c r="AM196" s="6" t="str">
        <v>Not Applicable</v>
      </c>
      <c r="AO196" s="6" t="str">
        <v>US - Vicinity Corp acquired NetCreate Systems, a developer of Internet software. Terms were not disclosed.</v>
      </c>
    </row>
    <row r="197">
      <c r="A197" s="6" t="str">
        <v>594918</v>
      </c>
      <c r="B197" s="6" t="str">
        <v>United States</v>
      </c>
      <c r="C197" s="6" t="str">
        <v>Microsoft Corp</v>
      </c>
      <c r="D197" s="6" t="str">
        <v>Microsoft Corp</v>
      </c>
      <c r="F197" s="6" t="str">
        <v>United States</v>
      </c>
      <c r="G197" s="6" t="str">
        <v>Chyron Corp</v>
      </c>
      <c r="H197" s="6" t="str">
        <v>Measuring, Medical, Photo Equipment; Clocks</v>
      </c>
      <c r="I197" s="6" t="str">
        <v>171605</v>
      </c>
      <c r="J197" s="6" t="str">
        <v>Interpublic Group of Cos Inc</v>
      </c>
      <c r="K197" s="6" t="str">
        <v>MWW Group Inc</v>
      </c>
      <c r="L197" s="7">
        <f>=DATE(2000,11,29)</f>
        <v>36858.99949074074</v>
      </c>
      <c r="M197" s="7">
        <f>=DATE(2000,11,29)</f>
        <v>36858.99949074074</v>
      </c>
      <c r="N197" s="8">
        <v>6</v>
      </c>
      <c r="O197" s="8">
        <v>6</v>
      </c>
      <c r="P197" s="8" t="str">
        <v>71.95</v>
      </c>
      <c r="R197" s="8">
        <v>-8.3</v>
      </c>
      <c r="S197" s="8">
        <v>57.5</v>
      </c>
      <c r="T197" s="8">
        <v>15.9</v>
      </c>
      <c r="U197" s="8">
        <v>-0.4</v>
      </c>
      <c r="V197" s="8">
        <v>-3.5</v>
      </c>
      <c r="W197" s="6" t="str">
        <v>Computer Consulting Services;Monitors/Terminals;Applications Software(Business;Other Peripherals;Operating Systems;Internet Services &amp; Software</v>
      </c>
      <c r="X197" s="6" t="str">
        <v>Telecommunications Equipment;CAD/CAM/CAE/Graphics Systems;Other Telecommunications Equip</v>
      </c>
      <c r="Y197" s="6" t="str">
        <v>Primary Business not Hi-Tech</v>
      </c>
      <c r="Z197" s="6" t="str">
        <v>Internet Services &amp; Software;Computer Consulting Services;Primary Business not Hi-Tech</v>
      </c>
      <c r="AA197" s="6" t="str">
        <v>Other Peripherals;Computer Consulting Services;Applications Software(Business;Monitors/Terminals;Internet Services &amp; Software;Operating Systems</v>
      </c>
      <c r="AB197" s="6" t="str">
        <v>Computer Consulting Services;Operating Systems;Internet Services &amp; Software;Other Peripherals;Monitors/Terminals;Applications Software(Business</v>
      </c>
      <c r="AC197" s="8">
        <v>6</v>
      </c>
      <c r="AD197" s="7">
        <f>=DATE(2000,12,8)</f>
        <v>36867.99949074074</v>
      </c>
      <c r="AE197" s="8">
        <v>68.748017034</v>
      </c>
      <c r="AF197" s="8" t="str">
        <v>71.95</v>
      </c>
      <c r="AG197" s="8" t="str">
        <v>71.95</v>
      </c>
      <c r="AH197" s="6" t="str">
        <v>True</v>
      </c>
      <c r="AI197" s="6" t="str">
        <v>2000</v>
      </c>
      <c r="AJ197" s="6" t="str">
        <v>Completed</v>
      </c>
      <c r="AK197" s="8">
        <v>68.748017034</v>
      </c>
      <c r="AL197" s="8">
        <v>3.096774</v>
      </c>
      <c r="AM197" s="6" t="str">
        <v>Privately Negotiated Purchase</v>
      </c>
      <c r="AN197" s="8">
        <v>4.1</v>
      </c>
      <c r="AO197" s="6" t="str">
        <v>US - Microsoft Corp acquired a 8.73% stake in Chyron Corp, a majority-owned digital graphics equipment manufacturing unit of MWW Corp, for $1.938 per share, or a total value of $6 mil, in a privately negotiated transaction.</v>
      </c>
    </row>
    <row r="198">
      <c r="A198" s="6" t="str">
        <v>594918</v>
      </c>
      <c r="B198" s="6" t="str">
        <v>United States</v>
      </c>
      <c r="C198" s="6" t="str">
        <v>Microsoft Corp</v>
      </c>
      <c r="D198" s="6" t="str">
        <v>Microsoft Corp</v>
      </c>
      <c r="F198" s="6" t="str">
        <v>United States</v>
      </c>
      <c r="G198" s="6" t="str">
        <v>Digital Anvil</v>
      </c>
      <c r="H198" s="6" t="str">
        <v>Prepackaged Software</v>
      </c>
      <c r="I198" s="6" t="str">
        <v>25382K</v>
      </c>
      <c r="J198" s="6" t="str">
        <v>Digital Anvil</v>
      </c>
      <c r="K198" s="6" t="str">
        <v>Digital Anvil</v>
      </c>
      <c r="L198" s="7">
        <f>=DATE(2000,12,5)</f>
        <v>36864.99949074074</v>
      </c>
      <c r="W198" s="6" t="str">
        <v>Internet Services &amp; Software;Computer Consulting Services;Operating Systems;Other Peripherals;Monitors/Terminals;Applications Software(Business</v>
      </c>
      <c r="X198" s="6" t="str">
        <v>Other Software (inq. Games)</v>
      </c>
      <c r="Y198" s="6" t="str">
        <v>Other Software (inq. Games)</v>
      </c>
      <c r="Z198" s="6" t="str">
        <v>Other Software (inq. Games)</v>
      </c>
      <c r="AA198" s="6" t="str">
        <v>Computer Consulting Services;Applications Software(Business;Monitors/Terminals;Other Peripherals;Operating Systems;Internet Services &amp; Software</v>
      </c>
      <c r="AB198" s="6" t="str">
        <v>Monitors/Terminals;Applications Software(Business;Operating Systems;Computer Consulting Services;Internet Services &amp; Software;Other Peripherals</v>
      </c>
      <c r="AH198" s="6" t="str">
        <v>True</v>
      </c>
      <c r="AJ198" s="6" t="str">
        <v>Pending</v>
      </c>
      <c r="AM198" s="6" t="str">
        <v>Not Applicable</v>
      </c>
      <c r="AO198" s="6" t="str">
        <v>US - Microsoft Corp planned to acquire the remaining interest, that it did not already own, in Digital Anvil Inc, a developer of computer game software, for an undisclosed amount in cash and common stock.</v>
      </c>
    </row>
    <row r="199">
      <c r="A199" s="6" t="str">
        <v>84764M</v>
      </c>
      <c r="B199" s="6" t="str">
        <v>United States</v>
      </c>
      <c r="C199" s="6" t="str">
        <v>SpeechWorks International Inc</v>
      </c>
      <c r="D199" s="6" t="str">
        <v>SpeechWorks International Inc</v>
      </c>
      <c r="F199" s="6" t="str">
        <v>United States</v>
      </c>
      <c r="G199" s="6" t="str">
        <v>Eloquent Technology Inc</v>
      </c>
      <c r="H199" s="6" t="str">
        <v>Prepackaged Software</v>
      </c>
      <c r="I199" s="6" t="str">
        <v>29017J</v>
      </c>
      <c r="J199" s="6" t="str">
        <v>Eloquent Technology Inc</v>
      </c>
      <c r="K199" s="6" t="str">
        <v>Eloquent Technology Inc</v>
      </c>
      <c r="L199" s="7">
        <f>=DATE(2000,12,21)</f>
        <v>36880.99949074074</v>
      </c>
      <c r="M199" s="7">
        <f>=DATE(2001,1,5)</f>
        <v>36895.99949074074</v>
      </c>
      <c r="N199" s="8">
        <v>13.425</v>
      </c>
      <c r="O199" s="8">
        <v>16.9125</v>
      </c>
      <c r="W199" s="6" t="str">
        <v>Applications Software(Business;Programming Services;Communication/Network Software</v>
      </c>
      <c r="X199" s="6" t="str">
        <v>Programming Services;Other Software (inq. Games)</v>
      </c>
      <c r="Y199" s="6" t="str">
        <v>Other Software (inq. Games);Programming Services</v>
      </c>
      <c r="Z199" s="6" t="str">
        <v>Programming Services;Other Software (inq. Games)</v>
      </c>
      <c r="AA199" s="6" t="str">
        <v>Communication/Network Software;Programming Services;Applications Software(Business</v>
      </c>
      <c r="AB199" s="6" t="str">
        <v>Programming Services;Applications Software(Business;Communication/Network Software</v>
      </c>
      <c r="AC199" s="8">
        <v>16.9125</v>
      </c>
      <c r="AD199" s="7">
        <f>=DATE(2000,12,21)</f>
        <v>36880.99949074074</v>
      </c>
      <c r="AH199" s="6" t="str">
        <v>False</v>
      </c>
      <c r="AI199" s="6" t="str">
        <v>2001</v>
      </c>
      <c r="AJ199" s="6" t="str">
        <v>Completed</v>
      </c>
      <c r="AM199" s="6" t="str">
        <v>Not Applicable</v>
      </c>
      <c r="AO199" s="6" t="str">
        <v>US - Speechworks International Inc (SII) acquired Eloquent Technology Inc, a developer of text-to-speech technology, for $16.913 mil. The consideration was to consist of $5.25 mil in cash and .3 mil common shares valued at $11.663 mil. The shares were valued based on SII's closing stock price of $38.875 on December 20, the last full trading day prior to the announcement.</v>
      </c>
    </row>
    <row r="200">
      <c r="A200" s="6" t="str">
        <v>594918</v>
      </c>
      <c r="B200" s="6" t="str">
        <v>United States</v>
      </c>
      <c r="C200" s="6" t="str">
        <v>Microsoft Corp</v>
      </c>
      <c r="D200" s="6" t="str">
        <v>Microsoft Corp</v>
      </c>
      <c r="F200" s="6" t="str">
        <v>United States</v>
      </c>
      <c r="G200" s="6" t="str">
        <v>Great Plains Software Inc</v>
      </c>
      <c r="H200" s="6" t="str">
        <v>Prepackaged Software</v>
      </c>
      <c r="I200" s="6" t="str">
        <v>39119E</v>
      </c>
      <c r="J200" s="6" t="str">
        <v>Great Plains Software Inc</v>
      </c>
      <c r="K200" s="6" t="str">
        <v>Great Plains Software Inc</v>
      </c>
      <c r="L200" s="7">
        <f>=DATE(2000,12,21)</f>
        <v>36880.99949074074</v>
      </c>
      <c r="M200" s="7">
        <f>=DATE(2001,4,5)</f>
        <v>36985.99949074074</v>
      </c>
      <c r="N200" s="8">
        <v>1146.692</v>
      </c>
      <c r="O200" s="8">
        <v>939.884</v>
      </c>
      <c r="P200" s="8" t="str">
        <v>910.97</v>
      </c>
      <c r="R200" s="8">
        <v>-20.8</v>
      </c>
      <c r="S200" s="8">
        <v>222.2</v>
      </c>
      <c r="T200" s="8">
        <v>4.4</v>
      </c>
      <c r="U200" s="8">
        <v>-19.8</v>
      </c>
      <c r="V200" s="8">
        <v>23.2</v>
      </c>
      <c r="W200" s="6" t="str">
        <v>Operating Systems;Internet Services &amp; Software;Other Peripherals;Monitors/Terminals;Applications Software(Business;Computer Consulting Services</v>
      </c>
      <c r="X200" s="6" t="str">
        <v>Other Software (inq. Games);Applications Software(Business</v>
      </c>
      <c r="Y200" s="6" t="str">
        <v>Applications Software(Business;Other Software (inq. Games)</v>
      </c>
      <c r="Z200" s="6" t="str">
        <v>Other Software (inq. Games);Applications Software(Business</v>
      </c>
      <c r="AA200" s="6" t="str">
        <v>Computer Consulting Services;Applications Software(Business;Internet Services &amp; Software;Other Peripherals;Operating Systems;Monitors/Terminals</v>
      </c>
      <c r="AB200" s="6" t="str">
        <v>Internet Services &amp; Software;Applications Software(Business;Computer Consulting Services;Other Peripherals;Operating Systems;Monitors/Terminals</v>
      </c>
      <c r="AC200" s="8">
        <v>939.884</v>
      </c>
      <c r="AD200" s="7">
        <f>=DATE(2000,12,21)</f>
        <v>36880.99949074074</v>
      </c>
      <c r="AE200" s="8">
        <v>976.6262396</v>
      </c>
      <c r="AF200" s="8" t="str">
        <v>910.98</v>
      </c>
      <c r="AG200" s="8" t="str">
        <v>1,117.78</v>
      </c>
      <c r="AH200" s="6" t="str">
        <v>True</v>
      </c>
      <c r="AI200" s="6" t="str">
        <v>2001</v>
      </c>
      <c r="AJ200" s="6" t="str">
        <v>Completed</v>
      </c>
      <c r="AK200" s="8">
        <v>976.6262396</v>
      </c>
      <c r="AL200" s="8">
        <v>21.393784</v>
      </c>
      <c r="AM200" s="6" t="str">
        <v>Stock Swap</v>
      </c>
      <c r="AN200" s="8">
        <v>250.4</v>
      </c>
      <c r="AO200" s="6" t="str">
        <v>US - Microsoft Corp (MC) acquired Great Plains Software Inc (GPS), a developer of business management software, in a stock swap transaction valued at $939.884 mil. MC offered 1.1 common shares per GPS share. Based on MC's closing stock price of $41.50 on December 20, the last full trading day prior to announcement, each GPS share was valued at $45.65.</v>
      </c>
    </row>
    <row r="201">
      <c r="A201" s="6" t="str">
        <v>591610</v>
      </c>
      <c r="B201" s="6" t="str">
        <v>United States</v>
      </c>
      <c r="C201" s="6" t="str">
        <v>Metro-Goldwyn-Mayer Inc</v>
      </c>
      <c r="D201" s="6" t="str">
        <v>Metro-Goldwyn-Mayer Inc</v>
      </c>
      <c r="F201" s="6" t="str">
        <v>United States</v>
      </c>
      <c r="G201" s="6" t="str">
        <v>Rainbow Media Corp (Cablevision Systems Corp)</v>
      </c>
      <c r="H201" s="6" t="str">
        <v>Radio and Television Broadcasting Stations</v>
      </c>
      <c r="I201" s="6" t="str">
        <v>750813</v>
      </c>
      <c r="J201" s="6" t="str">
        <v>Cablevision Systems Corp</v>
      </c>
      <c r="K201" s="6" t="str">
        <v>Cablevision Systems Corp</v>
      </c>
      <c r="L201" s="7">
        <f>=DATE(2001,2,1)</f>
        <v>36922.99949074074</v>
      </c>
      <c r="M201" s="7">
        <f>=DATE(2001,4,3)</f>
        <v>36983.99949074074</v>
      </c>
      <c r="N201" s="8">
        <v>825</v>
      </c>
      <c r="O201" s="8">
        <v>825</v>
      </c>
      <c r="W201" s="6" t="str">
        <v>Primary Business not Hi-Tech</v>
      </c>
      <c r="X201" s="6" t="str">
        <v>Satellite Communications</v>
      </c>
      <c r="Y201" s="6" t="str">
        <v>Cellular Communications;Satellite Communications;Networking Systems (LAN,WAN);Internet Services &amp; Software</v>
      </c>
      <c r="Z201" s="6" t="str">
        <v>Satellite Communications;Networking Systems (LAN,WAN);Internet Services &amp; Software;Cellular Communications</v>
      </c>
      <c r="AA201" s="6" t="str">
        <v>Primary Business not Hi-Tech</v>
      </c>
      <c r="AB201" s="6" t="str">
        <v>Primary Business not Hi-Tech</v>
      </c>
      <c r="AC201" s="8">
        <v>825</v>
      </c>
      <c r="AD201" s="7">
        <f>=DATE(2001,2,1)</f>
        <v>36922.99949074074</v>
      </c>
      <c r="AF201" s="8" t="str">
        <v>4,125.00</v>
      </c>
      <c r="AG201" s="8" t="str">
        <v>4,125.00</v>
      </c>
      <c r="AH201" s="6" t="str">
        <v>False</v>
      </c>
      <c r="AI201" s="6" t="str">
        <v>2001</v>
      </c>
      <c r="AJ201" s="6" t="str">
        <v>Completed</v>
      </c>
      <c r="AM201" s="6" t="str">
        <v>Not Applicable</v>
      </c>
      <c r="AO201" s="6" t="str">
        <v>US - Metro-Goldwyn-Mayer Inc acquired a 20% stake in Rainbow Media Corp (RC), an owner and operator of cable television stations including American Movie Classics, Bravo, Independent Film Channel, and WE Women's Entertainment, from Cablevision Systems Corp, for $825 mil in cash.</v>
      </c>
    </row>
    <row r="202">
      <c r="A202" s="6" t="str">
        <v>594918</v>
      </c>
      <c r="B202" s="6" t="str">
        <v>United States</v>
      </c>
      <c r="C202" s="6" t="str">
        <v>Microsoft Corp</v>
      </c>
      <c r="D202" s="6" t="str">
        <v>Microsoft Corp</v>
      </c>
      <c r="F202" s="6" t="str">
        <v>United States</v>
      </c>
      <c r="G202" s="6" t="str">
        <v>Audible Inc</v>
      </c>
      <c r="H202" s="6" t="str">
        <v>Business Services</v>
      </c>
      <c r="I202" s="6" t="str">
        <v>05069A</v>
      </c>
      <c r="J202" s="6" t="str">
        <v>Audible Inc</v>
      </c>
      <c r="K202" s="6" t="str">
        <v>Audible Inc</v>
      </c>
      <c r="L202" s="7">
        <f>=DATE(2001,2,12)</f>
        <v>36933.99949074074</v>
      </c>
      <c r="M202" s="7">
        <f>=DATE(2001,2,12)</f>
        <v>36933.99949074074</v>
      </c>
      <c r="N202" s="8">
        <v>10</v>
      </c>
      <c r="O202" s="8">
        <v>10</v>
      </c>
      <c r="R202" s="8">
        <v>-32.3</v>
      </c>
      <c r="S202" s="8">
        <v>4.5</v>
      </c>
      <c r="T202" s="8">
        <v>0.9</v>
      </c>
      <c r="U202" s="8">
        <v>19.8</v>
      </c>
      <c r="V202" s="8">
        <v>-18.6</v>
      </c>
      <c r="W202" s="6" t="str">
        <v>Operating Systems;Internet Services &amp; Software;Computer Consulting Services;Applications Software(Business;Other Peripherals;Monitors/Terminals</v>
      </c>
      <c r="X202" s="6" t="str">
        <v>Internet Services &amp; Software</v>
      </c>
      <c r="Y202" s="6" t="str">
        <v>Internet Services &amp; Software</v>
      </c>
      <c r="Z202" s="6" t="str">
        <v>Internet Services &amp; Software</v>
      </c>
      <c r="AA202" s="6" t="str">
        <v>Other Peripherals;Computer Consulting Services;Monitors/Terminals;Applications Software(Business;Operating Systems;Internet Services &amp; Software</v>
      </c>
      <c r="AB202" s="6" t="str">
        <v>Operating Systems;Monitors/Terminals;Internet Services &amp; Software;Computer Consulting Services;Other Peripherals;Applications Software(Business</v>
      </c>
      <c r="AC202" s="8">
        <v>10</v>
      </c>
      <c r="AD202" s="7">
        <f>=DATE(2001,2,12)</f>
        <v>36933.99949074074</v>
      </c>
      <c r="AH202" s="6" t="str">
        <v>True</v>
      </c>
      <c r="AI202" s="6" t="str">
        <v>2001</v>
      </c>
      <c r="AJ202" s="6" t="str">
        <v>Completed</v>
      </c>
      <c r="AM202" s="6" t="str">
        <v>Not Applicable</v>
      </c>
      <c r="AO202" s="6" t="str">
        <v>US - Microsoft Corp raised its stake to an undisclosed amount from 6.8% in Audible Inc, a developer of audio systems for Internet applications, by acquiring an undisclosed minority stake for $10 mil.</v>
      </c>
    </row>
    <row r="203">
      <c r="A203" s="6" t="str">
        <v>38259P</v>
      </c>
      <c r="B203" s="6" t="str">
        <v>United States</v>
      </c>
      <c r="C203" s="6" t="str">
        <v>Google Inc</v>
      </c>
      <c r="D203" s="6" t="str">
        <v>Alphabet Inc</v>
      </c>
      <c r="F203" s="6" t="str">
        <v>United States</v>
      </c>
      <c r="G203" s="6" t="str">
        <v>Deja.com Inc-Usenet Discussion Service</v>
      </c>
      <c r="H203" s="6" t="str">
        <v>Business Services</v>
      </c>
      <c r="I203" s="6" t="str">
        <v>24483H</v>
      </c>
      <c r="J203" s="6" t="str">
        <v>Deja.com Inc</v>
      </c>
      <c r="K203" s="6" t="str">
        <v>Deja.com Inc</v>
      </c>
      <c r="L203" s="7">
        <f>=DATE(2001,2,12)</f>
        <v>36933.99949074074</v>
      </c>
      <c r="M203" s="7">
        <f>=DATE(2001,2,12)</f>
        <v>36933.99949074074</v>
      </c>
      <c r="W203" s="6" t="str">
        <v>Internet Services &amp; Software</v>
      </c>
      <c r="X203" s="6" t="str">
        <v>Internet Services &amp; Software</v>
      </c>
      <c r="Y203" s="6" t="str">
        <v>Internet Services &amp; Software</v>
      </c>
      <c r="Z203" s="6" t="str">
        <v>Internet Services &amp; Software</v>
      </c>
      <c r="AA203" s="6" t="str">
        <v>Computer Consulting Services;Primary Business not Hi-Tech;Telecommunications Equipment;Programming Services;Internet Services &amp; Software</v>
      </c>
      <c r="AB203" s="6" t="str">
        <v>Telecommunications Equipment;Computer Consulting Services;Programming Services;Primary Business not Hi-Tech;Internet Services &amp; Software</v>
      </c>
      <c r="AH203" s="6" t="str">
        <v>False</v>
      </c>
      <c r="AI203" s="6" t="str">
        <v>2001</v>
      </c>
      <c r="AJ203" s="6" t="str">
        <v>Completed</v>
      </c>
      <c r="AM203" s="6" t="str">
        <v>Divestiture;Financial Acquiror</v>
      </c>
      <c r="AO203" s="6" t="str">
        <v>US - Google Inc acquired the Usenet Discussion Service of Deja.com Inc, a provider of online discussion services. Terms were not disclosed.</v>
      </c>
    </row>
    <row r="204">
      <c r="A204" s="6" t="str">
        <v>30262G</v>
      </c>
      <c r="B204" s="6" t="str">
        <v>United States</v>
      </c>
      <c r="C204" s="6" t="str">
        <v>FRx Software Corp(Great Software Inc)</v>
      </c>
      <c r="D204" s="6" t="str">
        <v>Great Plains Software Inc</v>
      </c>
      <c r="F204" s="6" t="str">
        <v>United States</v>
      </c>
      <c r="G204" s="6" t="str">
        <v>ebudgets.com</v>
      </c>
      <c r="H204" s="6" t="str">
        <v>Prepackaged Software</v>
      </c>
      <c r="I204" s="6" t="str">
        <v>27899T</v>
      </c>
      <c r="J204" s="6" t="str">
        <v>ebudgets.com</v>
      </c>
      <c r="K204" s="6" t="str">
        <v>ebudgets.com</v>
      </c>
      <c r="L204" s="7">
        <f>=DATE(2001,3,14)</f>
        <v>36963.99949074074</v>
      </c>
      <c r="M204" s="7">
        <f>=DATE(2001,3,30)</f>
        <v>36979.99949074074</v>
      </c>
      <c r="W204" s="6" t="str">
        <v>Other Software (inq. Games);Other Computer Related Svcs;Applications Software(Business</v>
      </c>
      <c r="X204" s="6" t="str">
        <v>Internet Services &amp; Software;Communication/Network Software</v>
      </c>
      <c r="Y204" s="6" t="str">
        <v>Internet Services &amp; Software;Communication/Network Software</v>
      </c>
      <c r="Z204" s="6" t="str">
        <v>Communication/Network Software;Internet Services &amp; Software</v>
      </c>
      <c r="AA204" s="6" t="str">
        <v>Other Software (inq. Games);Applications Software(Business</v>
      </c>
      <c r="AB204" s="6" t="str">
        <v>Other Software (inq. Games);Applications Software(Business</v>
      </c>
      <c r="AH204" s="6" t="str">
        <v>False</v>
      </c>
      <c r="AI204" s="6" t="str">
        <v>2001</v>
      </c>
      <c r="AJ204" s="6" t="str">
        <v>Completed</v>
      </c>
      <c r="AM204" s="6" t="str">
        <v>Stock Swap</v>
      </c>
      <c r="AO204" s="6" t="str">
        <v>US - FRx Software Corp, a unit of Great Plains Software Inc (GPS), acquired all the outstanding stock of ebudgets.com, a developer of Internet-based budgeting, planning, and collaboration software, in exchange for an undisclosed amount in GPS common stock.</v>
      </c>
    </row>
    <row r="205">
      <c r="A205" s="6" t="str">
        <v>037833</v>
      </c>
      <c r="B205" s="6" t="str">
        <v>United States</v>
      </c>
      <c r="C205" s="6" t="str">
        <v>Apple Computer Inc</v>
      </c>
      <c r="D205" s="6" t="str">
        <v>Apple Computer Inc</v>
      </c>
      <c r="F205" s="6" t="str">
        <v>United States</v>
      </c>
      <c r="G205" s="6" t="str">
        <v>PowerSchool Inc</v>
      </c>
      <c r="H205" s="6" t="str">
        <v>Business Services</v>
      </c>
      <c r="I205" s="6" t="str">
        <v>73959W</v>
      </c>
      <c r="J205" s="6" t="str">
        <v>PowerSchool Inc</v>
      </c>
      <c r="K205" s="6" t="str">
        <v>PowerSchool Inc</v>
      </c>
      <c r="L205" s="7">
        <f>=DATE(2001,3,14)</f>
        <v>36963.99949074074</v>
      </c>
      <c r="M205" s="7">
        <f>=DATE(2001,12,31)</f>
        <v>37255.99949074074</v>
      </c>
      <c r="N205" s="8">
        <v>62</v>
      </c>
      <c r="O205" s="8">
        <v>62</v>
      </c>
      <c r="W205" s="6" t="str">
        <v>Mainframes &amp; Super Computers;Other Peripherals;Micro-Computers (PCs);Portable Computers;Disk Drives;Other Software (inq. Games);Printers;Monitors/Terminals</v>
      </c>
      <c r="X205" s="6" t="str">
        <v>Communication/Network Software;Internet Services &amp; Software</v>
      </c>
      <c r="Y205" s="6" t="str">
        <v>Communication/Network Software;Internet Services &amp; Software</v>
      </c>
      <c r="Z205" s="6" t="str">
        <v>Communication/Network Software;Internet Services &amp; Software</v>
      </c>
      <c r="AA205" s="6" t="str">
        <v>Portable Computers;Other Peripherals;Printers;Other Software (inq. Games);Monitors/Terminals;Disk Drives;Mainframes &amp; Super Computers;Micro-Computers (PCs)</v>
      </c>
      <c r="AB205" s="6" t="str">
        <v>Printers;Mainframes &amp; Super Computers;Other Peripherals;Disk Drives;Monitors/Terminals;Micro-Computers (PCs);Portable Computers;Other Software (inq. Games)</v>
      </c>
      <c r="AC205" s="8">
        <v>62</v>
      </c>
      <c r="AD205" s="7">
        <f>=DATE(2001,3,14)</f>
        <v>36963.99949074074</v>
      </c>
      <c r="AH205" s="6" t="str">
        <v>True</v>
      </c>
      <c r="AI205" s="6" t="str">
        <v>2001</v>
      </c>
      <c r="AJ205" s="6" t="str">
        <v>Completed</v>
      </c>
      <c r="AM205" s="6" t="str">
        <v>Not Applicable</v>
      </c>
      <c r="AO205" s="6" t="str">
        <v>US - Apple Computer Inc acquired Powerschool Inc, a provider of online information systems services, for $62 mil in common stock.</v>
      </c>
    </row>
    <row r="206">
      <c r="A206" s="6" t="str">
        <v>59530F</v>
      </c>
      <c r="B206" s="6" t="str">
        <v>United States</v>
      </c>
      <c r="C206" s="6" t="str">
        <v>Microsoft Great Plains Business Solutions</v>
      </c>
      <c r="D206" s="6" t="str">
        <v>Microsoft Corp</v>
      </c>
      <c r="F206" s="6" t="str">
        <v>Canada</v>
      </c>
      <c r="G206" s="6" t="str">
        <v>Intellisol International Inc- Canadian Payroll Module</v>
      </c>
      <c r="H206" s="6" t="str">
        <v>Prepackaged Software</v>
      </c>
      <c r="I206" s="6" t="str">
        <v>45992W</v>
      </c>
      <c r="J206" s="6" t="str">
        <v>Intellisol International Inc</v>
      </c>
      <c r="K206" s="6" t="str">
        <v>Intellisol International Inc</v>
      </c>
      <c r="L206" s="7">
        <f>=DATE(2001,4,25)</f>
        <v>37005.99949074074</v>
      </c>
      <c r="M206" s="7">
        <f>=DATE(2001,5,2)</f>
        <v>37012.99949074074</v>
      </c>
      <c r="W206" s="6" t="str">
        <v>Applications Software(Business;Other Software (inq. Games)</v>
      </c>
      <c r="X206" s="6" t="str">
        <v>Applications Software(Business</v>
      </c>
      <c r="Y206" s="6" t="str">
        <v>Applications Software(Business;Internet Services &amp; Software</v>
      </c>
      <c r="Z206" s="6" t="str">
        <v>Applications Software(Business;Internet Services &amp; Software</v>
      </c>
      <c r="AA206" s="6" t="str">
        <v>Applications Software(Business;Other Peripherals;Operating Systems;Monitors/Terminals;Internet Services &amp; Software;Computer Consulting Services</v>
      </c>
      <c r="AB206" s="6" t="str">
        <v>Other Peripherals;Operating Systems;Computer Consulting Services;Monitors/Terminals;Applications Software(Business;Internet Services &amp; Software</v>
      </c>
      <c r="AH206" s="6" t="str">
        <v>False</v>
      </c>
      <c r="AI206" s="6" t="str">
        <v>2001</v>
      </c>
      <c r="AJ206" s="6" t="str">
        <v>Completed</v>
      </c>
      <c r="AM206" s="6" t="str">
        <v>Divestiture</v>
      </c>
      <c r="AO206" s="6" t="str">
        <v>CANADA - Microsoft Great Plains Business Solutions, a unit of Microsoft Corp, acquired the Canadian payroll module of Intellisol International Inc (ITI), a provider of software solutions services. The transaction was to allow ITI to focus on its core operations and products, including Intellisol Workforce Automation and Intellisol Project Accounting with Xpede.</v>
      </c>
    </row>
    <row r="207">
      <c r="A207" s="6" t="str">
        <v>594918</v>
      </c>
      <c r="B207" s="6" t="str">
        <v>United States</v>
      </c>
      <c r="C207" s="6" t="str">
        <v>Microsoft Corp</v>
      </c>
      <c r="D207" s="6" t="str">
        <v>Microsoft Corp</v>
      </c>
      <c r="F207" s="6" t="str">
        <v>Canada</v>
      </c>
      <c r="G207" s="6" t="str">
        <v>NCompass Labs Inc</v>
      </c>
      <c r="H207" s="6" t="str">
        <v>Prepackaged Software</v>
      </c>
      <c r="I207" s="6" t="str">
        <v>62900A</v>
      </c>
      <c r="J207" s="6" t="str">
        <v>NCompass Labs Inc</v>
      </c>
      <c r="K207" s="6" t="str">
        <v>NCompass Labs Inc</v>
      </c>
      <c r="L207" s="7">
        <f>=DATE(2001,5,1)</f>
        <v>37011.99949074074</v>
      </c>
      <c r="M207" s="7">
        <f>=DATE(2001,5,31)</f>
        <v>37041.99949074074</v>
      </c>
      <c r="N207" s="8">
        <v>36.0581183216054</v>
      </c>
      <c r="O207" s="8">
        <v>36.0581183216054</v>
      </c>
      <c r="S207" s="8">
        <v>4.00276720857835</v>
      </c>
      <c r="W207" s="6" t="str">
        <v>Operating Systems;Monitors/Terminals;Applications Software(Business;Other Peripherals;Computer Consulting Services;Internet Services &amp; Software</v>
      </c>
      <c r="X207" s="6" t="str">
        <v>Communication/Network Software;Internet Services &amp; Software</v>
      </c>
      <c r="Y207" s="6" t="str">
        <v>Internet Services &amp; Software;Communication/Network Software</v>
      </c>
      <c r="Z207" s="6" t="str">
        <v>Communication/Network Software;Internet Services &amp; Software</v>
      </c>
      <c r="AA207" s="6" t="str">
        <v>Operating Systems;Internet Services &amp; Software;Applications Software(Business;Other Peripherals;Monitors/Terminals;Computer Consulting Services</v>
      </c>
      <c r="AB207" s="6" t="str">
        <v>Internet Services &amp; Software;Applications Software(Business;Monitors/Terminals;Other Peripherals;Computer Consulting Services;Operating Systems</v>
      </c>
      <c r="AC207" s="8">
        <v>36.0581183216054</v>
      </c>
      <c r="AD207" s="7">
        <f>=DATE(2001,5,1)</f>
        <v>37011.99949074074</v>
      </c>
      <c r="AH207" s="6" t="str">
        <v>True</v>
      </c>
      <c r="AI207" s="6" t="str">
        <v>2001</v>
      </c>
      <c r="AJ207" s="6" t="str">
        <v>Completed</v>
      </c>
      <c r="AM207" s="6" t="str">
        <v>Not Applicable</v>
      </c>
      <c r="AO207" s="6" t="str">
        <v>CANADA - Microsoft Corp acquired NCompass Labs Inc, an Internet software developer, for 55.342 mil Canadian dollars ($36 mil US).</v>
      </c>
    </row>
    <row r="208">
      <c r="A208" s="6" t="str">
        <v>594918</v>
      </c>
      <c r="B208" s="6" t="str">
        <v>United States</v>
      </c>
      <c r="C208" s="6" t="str">
        <v>Microsoft Corp</v>
      </c>
      <c r="D208" s="6" t="str">
        <v>Microsoft Corp</v>
      </c>
      <c r="F208" s="6" t="str">
        <v>United States</v>
      </c>
      <c r="G208" s="6" t="str">
        <v>Ensemble Studios</v>
      </c>
      <c r="H208" s="6" t="str">
        <v>Prepackaged Software</v>
      </c>
      <c r="I208" s="6" t="str">
        <v>29418Z</v>
      </c>
      <c r="J208" s="6" t="str">
        <v>Ensemble Studios</v>
      </c>
      <c r="K208" s="6" t="str">
        <v>Ensemble Studios</v>
      </c>
      <c r="L208" s="7">
        <f>=DATE(2001,5,3)</f>
        <v>37013.99949074074</v>
      </c>
      <c r="W208" s="6" t="str">
        <v>Applications Software(Business;Other Peripherals;Monitors/Terminals;Computer Consulting Services;Internet Services &amp; Software;Operating Systems</v>
      </c>
      <c r="X208" s="6" t="str">
        <v>Other Software (inq. Games)</v>
      </c>
      <c r="Y208" s="6" t="str">
        <v>Other Software (inq. Games)</v>
      </c>
      <c r="Z208" s="6" t="str">
        <v>Other Software (inq. Games)</v>
      </c>
      <c r="AA208" s="6" t="str">
        <v>Internet Services &amp; Software;Monitors/Terminals;Operating Systems;Applications Software(Business;Other Peripherals;Computer Consulting Services</v>
      </c>
      <c r="AB208" s="6" t="str">
        <v>Applications Software(Business;Internet Services &amp; Software;Monitors/Terminals;Operating Systems;Computer Consulting Services;Other Peripherals</v>
      </c>
      <c r="AH208" s="6" t="str">
        <v>True</v>
      </c>
      <c r="AJ208" s="6" t="str">
        <v>Pending</v>
      </c>
      <c r="AM208" s="6" t="str">
        <v>Not Applicable</v>
      </c>
      <c r="AO208" s="6" t="str">
        <v>US - Microsoft Corp (MC) agreed to acquire Ensemble Studios (ES), a provider of game software design services. Terms were not disclosed. The transaction was to ensure that the sole publisher of ES's games was to be MC.</v>
      </c>
    </row>
    <row r="209">
      <c r="A209" s="6" t="str">
        <v>59530F</v>
      </c>
      <c r="B209" s="6" t="str">
        <v>United States</v>
      </c>
      <c r="C209" s="6" t="str">
        <v>Microsoft Great Plains Business Solutions</v>
      </c>
      <c r="D209" s="6" t="str">
        <v>Microsoft Corp</v>
      </c>
      <c r="F209" s="6" t="str">
        <v>United States</v>
      </c>
      <c r="G209" s="6" t="str">
        <v>CEP Systems Inc-Certain Assets</v>
      </c>
      <c r="H209" s="6" t="str">
        <v>Prepackaged Software</v>
      </c>
      <c r="I209" s="6" t="str">
        <v>12754K</v>
      </c>
      <c r="J209" s="6" t="str">
        <v>CEP Systems Inc</v>
      </c>
      <c r="K209" s="6" t="str">
        <v>CEP Systems Inc</v>
      </c>
      <c r="L209" s="7">
        <f>=DATE(2001,5,7)</f>
        <v>37017.99949074074</v>
      </c>
      <c r="M209" s="7">
        <f>=DATE(2001,5,7)</f>
        <v>37017.99949074074</v>
      </c>
      <c r="W209" s="6" t="str">
        <v>Other Software (inq. Games);Applications Software(Business</v>
      </c>
      <c r="X209" s="6" t="str">
        <v>Other Software (inq. Games)</v>
      </c>
      <c r="Y209" s="6" t="str">
        <v>Other Software (inq. Games)</v>
      </c>
      <c r="Z209" s="6" t="str">
        <v>Other Software (inq. Games)</v>
      </c>
      <c r="AA209" s="6" t="str">
        <v>Monitors/Terminals;Other Peripherals;Internet Services &amp; Software;Applications Software(Business;Computer Consulting Services;Operating Systems</v>
      </c>
      <c r="AB209" s="6" t="str">
        <v>Applications Software(Business;Monitors/Terminals;Other Peripherals;Computer Consulting Services;Internet Services &amp; Software;Operating Systems</v>
      </c>
      <c r="AH209" s="6" t="str">
        <v>False</v>
      </c>
      <c r="AI209" s="6" t="str">
        <v>2001</v>
      </c>
      <c r="AJ209" s="6" t="str">
        <v>Completed</v>
      </c>
      <c r="AM209" s="6" t="str">
        <v>Divestiture</v>
      </c>
      <c r="AO209" s="6" t="str">
        <v>US - Great Plains Software Inc, a unit of Microsoft Corp, acquired certain assets from CEP Systems Software Inc, a developer of software.</v>
      </c>
    </row>
    <row r="210">
      <c r="A210" s="6" t="str">
        <v>64120Z</v>
      </c>
      <c r="B210" s="6" t="str">
        <v>United States</v>
      </c>
      <c r="C210" s="6" t="str">
        <v>Network Innovations Corp (Apple Computer Inc)</v>
      </c>
      <c r="D210" s="6" t="str">
        <v>Apple Computer Inc</v>
      </c>
      <c r="F210" s="6" t="str">
        <v>United States</v>
      </c>
      <c r="G210" s="6" t="str">
        <v>bluebuzz.com Inc</v>
      </c>
      <c r="H210" s="6" t="str">
        <v>Business Services</v>
      </c>
      <c r="I210" s="6" t="str">
        <v>09610F</v>
      </c>
      <c r="J210" s="6" t="str">
        <v>bluebuzz.com Inc</v>
      </c>
      <c r="K210" s="6" t="str">
        <v>bluebuzz.com Inc</v>
      </c>
      <c r="L210" s="7">
        <f>=DATE(2001,5,11)</f>
        <v>37021.99949074074</v>
      </c>
      <c r="M210" s="7">
        <f>=DATE(2001,5,11)</f>
        <v>37021.99949074074</v>
      </c>
      <c r="W210" s="6" t="str">
        <v>Other Software (inq. Games)</v>
      </c>
      <c r="X210" s="6" t="str">
        <v>Internet Services &amp; Software;Communication/Network Software</v>
      </c>
      <c r="Y210" s="6" t="str">
        <v>Internet Services &amp; Software;Communication/Network Software</v>
      </c>
      <c r="Z210" s="6" t="str">
        <v>Internet Services &amp; Software;Communication/Network Software</v>
      </c>
      <c r="AA210" s="6" t="str">
        <v>Other Peripherals;Micro-Computers (PCs);Portable Computers;Monitors/Terminals;Other Software (inq. Games);Disk Drives;Printers;Mainframes &amp; Super Computers</v>
      </c>
      <c r="AB210" s="6" t="str">
        <v>Micro-Computers (PCs);Portable Computers;Other Software (inq. Games);Mainframes &amp; Super Computers;Monitors/Terminals;Other Peripherals;Disk Drives;Printers</v>
      </c>
      <c r="AH210" s="6" t="str">
        <v>False</v>
      </c>
      <c r="AI210" s="6" t="str">
        <v>2001</v>
      </c>
      <c r="AJ210" s="6" t="str">
        <v>Completed</v>
      </c>
      <c r="AM210" s="6" t="str">
        <v>Not Applicable</v>
      </c>
      <c r="AO210" s="6" t="str">
        <v>US - Network Innovations Corp acquired bluebuzz.com Inc, an Internet Service Provider. Terms were not disclosed.</v>
      </c>
    </row>
    <row r="211">
      <c r="A211" s="6" t="str">
        <v>87914H</v>
      </c>
      <c r="B211" s="6" t="str">
        <v>United States</v>
      </c>
      <c r="C211" s="6" t="str">
        <v>Tellme Networks Inc</v>
      </c>
      <c r="D211" s="6" t="str">
        <v>Tellme Networks Inc</v>
      </c>
      <c r="F211" s="6" t="str">
        <v>Belgium</v>
      </c>
      <c r="G211" s="6" t="str">
        <v>MagicPhone</v>
      </c>
      <c r="H211" s="6" t="str">
        <v>Business Services</v>
      </c>
      <c r="I211" s="6" t="str">
        <v>55924C</v>
      </c>
      <c r="J211" s="6" t="str">
        <v>MagicPhone</v>
      </c>
      <c r="K211" s="6" t="str">
        <v>MagicPhone</v>
      </c>
      <c r="L211" s="7">
        <f>=DATE(2001,5,13)</f>
        <v>37023.99949074074</v>
      </c>
      <c r="M211" s="7">
        <f>=DATE(2001,5,13)</f>
        <v>37023.99949074074</v>
      </c>
      <c r="W211" s="6" t="str">
        <v>Other Software (inq. Games);Internet Services &amp; Software;Applications Software(Business;Communication/Network Software</v>
      </c>
      <c r="X211" s="6" t="str">
        <v>Internet Services &amp; Software;Other Telecommunications Equip</v>
      </c>
      <c r="Y211" s="6" t="str">
        <v>Internet Services &amp; Software;Other Telecommunications Equip</v>
      </c>
      <c r="Z211" s="6" t="str">
        <v>Internet Services &amp; Software;Other Telecommunications Equip</v>
      </c>
      <c r="AA211" s="6" t="str">
        <v>Internet Services &amp; Software;Other Software (inq. Games);Communication/Network Software;Applications Software(Business</v>
      </c>
      <c r="AB211" s="6" t="str">
        <v>Communication/Network Software;Other Software (inq. Games);Internet Services &amp; Software;Applications Software(Business</v>
      </c>
      <c r="AH211" s="6" t="str">
        <v>False</v>
      </c>
      <c r="AI211" s="6" t="str">
        <v>2001</v>
      </c>
      <c r="AJ211" s="6" t="str">
        <v>Completed</v>
      </c>
      <c r="AM211" s="6" t="str">
        <v>Not Applicable</v>
      </c>
      <c r="AO211" s="6" t="str">
        <v>BELGIUM - Tellme Networks Inc of the US, acquired MagicPhone, Brussels-based ecommerce telecommunications information services provider. Terms were not disclosed.</v>
      </c>
    </row>
    <row r="212">
      <c r="A212" s="6" t="str">
        <v>594918</v>
      </c>
      <c r="B212" s="6" t="str">
        <v>United States</v>
      </c>
      <c r="C212" s="6" t="str">
        <v>Microsoft Corp</v>
      </c>
      <c r="D212" s="6" t="str">
        <v>Microsoft Corp</v>
      </c>
      <c r="F212" s="6" t="str">
        <v>Israel</v>
      </c>
      <c r="G212" s="6" t="str">
        <v>Maximal Innovative Intelligence</v>
      </c>
      <c r="H212" s="6" t="str">
        <v>Prepackaged Software</v>
      </c>
      <c r="I212" s="6" t="str">
        <v>57801K</v>
      </c>
      <c r="J212" s="6" t="str">
        <v>Maximal Innovative Intelligence</v>
      </c>
      <c r="K212" s="6" t="str">
        <v>Maximal Innovative Intelligence</v>
      </c>
      <c r="L212" s="7">
        <f>=DATE(2001,6,21)</f>
        <v>37062.99949074074</v>
      </c>
      <c r="M212" s="7">
        <f>=DATE(2001,6,21)</f>
        <v>37062.99949074074</v>
      </c>
      <c r="N212" s="8">
        <v>20.0504201680672</v>
      </c>
      <c r="O212" s="8">
        <v>20.0504201680672</v>
      </c>
      <c r="W212" s="6" t="str">
        <v>Internet Services &amp; Software;Operating Systems;Other Peripherals;Computer Consulting Services;Monitors/Terminals;Applications Software(Business</v>
      </c>
      <c r="X212" s="6" t="str">
        <v>Other Software (inq. Games)</v>
      </c>
      <c r="Y212" s="6" t="str">
        <v>Other Software (inq. Games)</v>
      </c>
      <c r="Z212" s="6" t="str">
        <v>Other Software (inq. Games)</v>
      </c>
      <c r="AA212" s="6" t="str">
        <v>Operating Systems;Internet Services &amp; Software;Other Peripherals;Monitors/Terminals;Applications Software(Business;Computer Consulting Services</v>
      </c>
      <c r="AB212" s="6" t="str">
        <v>Computer Consulting Services;Other Peripherals;Applications Software(Business;Internet Services &amp; Software;Monitors/Terminals;Operating Systems</v>
      </c>
      <c r="AC212" s="8">
        <v>20.0504201680672</v>
      </c>
      <c r="AD212" s="7">
        <f>=DATE(2001,6,21)</f>
        <v>37062.99949074074</v>
      </c>
      <c r="AH212" s="6" t="str">
        <v>False</v>
      </c>
      <c r="AI212" s="6" t="str">
        <v>2001</v>
      </c>
      <c r="AJ212" s="6" t="str">
        <v>Completed</v>
      </c>
      <c r="AM212" s="6" t="str">
        <v>Not Applicable</v>
      </c>
      <c r="AO212" s="6" t="str">
        <v>ISRAEL - Microsoft Corp of the US acquired Maximal Innovative Intelligence, SQL software developer, for 83.51 mil Israeli shekels ($20 mil US).</v>
      </c>
    </row>
    <row r="213">
      <c r="A213" s="6" t="str">
        <v>594918</v>
      </c>
      <c r="B213" s="6" t="str">
        <v>United States</v>
      </c>
      <c r="C213" s="6" t="str">
        <v>Microsoft Corp</v>
      </c>
      <c r="D213" s="6" t="str">
        <v>Microsoft Corp</v>
      </c>
      <c r="F213" s="6" t="str">
        <v>South Korea</v>
      </c>
      <c r="G213" s="6" t="str">
        <v>Korea Telecom Corp</v>
      </c>
      <c r="H213" s="6" t="str">
        <v>Telecommunications</v>
      </c>
      <c r="I213" s="6" t="str">
        <v>50063P</v>
      </c>
      <c r="J213" s="6" t="str">
        <v>Republic Of Korea</v>
      </c>
      <c r="K213" s="6" t="str">
        <v>Republic Of Korea</v>
      </c>
      <c r="L213" s="7">
        <f>=DATE(2001,6,29)</f>
        <v>37070.99949074074</v>
      </c>
      <c r="M213" s="7">
        <f>=DATE(2002,1,3)</f>
        <v>37258.99949074074</v>
      </c>
      <c r="N213" s="8">
        <v>495.41969666641</v>
      </c>
      <c r="O213" s="8">
        <v>495.41969666641</v>
      </c>
      <c r="P213" s="8" t="str">
        <v>22,566.94</v>
      </c>
      <c r="R213" s="8">
        <v>780.847189231987</v>
      </c>
      <c r="S213" s="8">
        <v>10718.6262866192</v>
      </c>
      <c r="T213" s="8">
        <v>2242.217283</v>
      </c>
      <c r="U213" s="8">
        <v>-4328.550258</v>
      </c>
      <c r="V213" s="8">
        <v>2091.25239</v>
      </c>
      <c r="W213" s="6" t="str">
        <v>Operating Systems;Applications Software(Business;Internet Services &amp; Software;Other Peripherals;Monitors/Terminals;Computer Consulting Services</v>
      </c>
      <c r="X213" s="6" t="str">
        <v>Telecommunications Equipment</v>
      </c>
      <c r="Y213" s="6" t="str">
        <v>Primary Business not Hi-Tech</v>
      </c>
      <c r="Z213" s="6" t="str">
        <v>Primary Business not Hi-Tech</v>
      </c>
      <c r="AA213" s="6" t="str">
        <v>Applications Software(Business;Computer Consulting Services;Monitors/Terminals;Other Peripherals;Operating Systems;Internet Services &amp; Software</v>
      </c>
      <c r="AB213" s="6" t="str">
        <v>Operating Systems;Other Peripherals;Applications Software(Business;Internet Services &amp; Software;Computer Consulting Services;Monitors/Terminals</v>
      </c>
      <c r="AC213" s="8">
        <v>495.41969666641</v>
      </c>
      <c r="AD213" s="7">
        <f>=DATE(2001,12,23)</f>
        <v>37247.99949074074</v>
      </c>
      <c r="AF213" s="8" t="str">
        <v>21,145.49</v>
      </c>
      <c r="AG213" s="8" t="str">
        <v>21,069.20</v>
      </c>
      <c r="AH213" s="6" t="str">
        <v>True</v>
      </c>
      <c r="AI213" s="6" t="str">
        <v>2002</v>
      </c>
      <c r="AJ213" s="6" t="str">
        <v>Completed</v>
      </c>
      <c r="AL213" s="8">
        <v>9.9004</v>
      </c>
      <c r="AM213" s="6" t="str">
        <v>Privately Negotiated Purchase;Privatization</v>
      </c>
      <c r="AN213" s="8">
        <v>1571.82977038797</v>
      </c>
      <c r="AO213" s="6" t="str">
        <v>SOUTH KOREA - Microsoft Corp (MC) acquired bonds convertible into 3.2% stake, or 9.99 mil ordinary shares, in Korea Telecom Corp (KT), a telecommunications services provider, for 643.5 bil Korean won ($500 mil US). Previously, MC planned to acquire a 15% stake in KT. Originally, in May 2000, the South Korean government announced that it was seeking a buyer for a 14.7% in KT.</v>
      </c>
    </row>
    <row r="214">
      <c r="A214" s="6" t="str">
        <v>037833</v>
      </c>
      <c r="B214" s="6" t="str">
        <v>United States</v>
      </c>
      <c r="C214" s="6" t="str">
        <v>Apple Computer Inc</v>
      </c>
      <c r="D214" s="6" t="str">
        <v>Apple Computer Inc</v>
      </c>
      <c r="F214" s="6" t="str">
        <v>United States</v>
      </c>
      <c r="G214" s="6" t="str">
        <v>Spruce Technologies Inc(Japan Information Processing Service Co)</v>
      </c>
      <c r="H214" s="6" t="str">
        <v>Prepackaged Software</v>
      </c>
      <c r="I214" s="6" t="str">
        <v>85208C</v>
      </c>
      <c r="J214" s="6" t="str">
        <v>Japan Information Processing Service Co Ltd</v>
      </c>
      <c r="K214" s="6" t="str">
        <v>Japan Information Processing Service Co Ltd</v>
      </c>
      <c r="L214" s="7">
        <f>=DATE(2001,6,29)</f>
        <v>37070.99949074074</v>
      </c>
      <c r="M214" s="7">
        <f>=DATE(2001,7,9)</f>
        <v>37080.99949074074</v>
      </c>
      <c r="W214" s="6" t="str">
        <v>Micro-Computers (PCs);Printers;Disk Drives;Other Software (inq. Games);Other Peripherals;Portable Computers;Mainframes &amp; Super Computers;Monitors/Terminals</v>
      </c>
      <c r="X214" s="6" t="str">
        <v>Other Software (inq. Games)</v>
      </c>
      <c r="Y214" s="6" t="str">
        <v>Data Processing Services</v>
      </c>
      <c r="Z214" s="6" t="str">
        <v>Data Processing Services</v>
      </c>
      <c r="AA214" s="6" t="str">
        <v>Other Software (inq. Games);Printers;Other Peripherals;Mainframes &amp; Super Computers;Disk Drives;Micro-Computers (PCs);Portable Computers;Monitors/Terminals</v>
      </c>
      <c r="AB214" s="6" t="str">
        <v>Monitors/Terminals;Micro-Computers (PCs);Disk Drives;Printers;Portable Computers;Mainframes &amp; Super Computers;Other Peripherals;Other Software (inq. Games)</v>
      </c>
      <c r="AH214" s="6" t="str">
        <v>False</v>
      </c>
      <c r="AI214" s="6" t="str">
        <v>2001</v>
      </c>
      <c r="AJ214" s="6" t="str">
        <v>Completed</v>
      </c>
      <c r="AM214" s="6" t="str">
        <v>Divestiture</v>
      </c>
      <c r="AO214" s="6" t="str">
        <v>US - Apple Computer Inc acquired Spruce Technologies Inc, a developer of graphics software, from Japan Information Processing Service Co.</v>
      </c>
    </row>
    <row r="215">
      <c r="A215" s="6" t="str">
        <v>38259P</v>
      </c>
      <c r="B215" s="6" t="str">
        <v>United States</v>
      </c>
      <c r="C215" s="6" t="str">
        <v>Google Inc</v>
      </c>
      <c r="D215" s="6" t="str">
        <v>Alphabet Inc</v>
      </c>
      <c r="F215" s="6" t="str">
        <v>United States</v>
      </c>
      <c r="G215" s="6" t="str">
        <v>Outride Inc-Technology Assets</v>
      </c>
      <c r="H215" s="6" t="str">
        <v>Business Services</v>
      </c>
      <c r="I215" s="6" t="str">
        <v>69024T</v>
      </c>
      <c r="J215" s="6" t="str">
        <v>Outride Inc</v>
      </c>
      <c r="K215" s="6" t="str">
        <v>Outride Inc</v>
      </c>
      <c r="L215" s="7">
        <f>=DATE(2001,9,20)</f>
        <v>37153.99949074074</v>
      </c>
      <c r="M215" s="7">
        <f>=DATE(2001,9,20)</f>
        <v>37153.99949074074</v>
      </c>
      <c r="W215" s="6" t="str">
        <v>Internet Services &amp; Software</v>
      </c>
      <c r="X215" s="6" t="str">
        <v>Internet Services &amp; Software</v>
      </c>
      <c r="Y215" s="6" t="str">
        <v>Internet Services &amp; Software</v>
      </c>
      <c r="Z215" s="6" t="str">
        <v>Internet Services &amp; Software</v>
      </c>
      <c r="AA215" s="6" t="str">
        <v>Primary Business not Hi-Tech;Programming Services;Telecommunications Equipment;Internet Services &amp; Software;Computer Consulting Services</v>
      </c>
      <c r="AB215" s="6" t="str">
        <v>Internet Services &amp; Software;Telecommunications Equipment;Computer Consulting Services;Primary Business not Hi-Tech;Programming Services</v>
      </c>
      <c r="AH215" s="6" t="str">
        <v>False</v>
      </c>
      <c r="AI215" s="6" t="str">
        <v>2001</v>
      </c>
      <c r="AJ215" s="6" t="str">
        <v>Completed</v>
      </c>
      <c r="AM215" s="6" t="str">
        <v>Divestiture;Financial Acquiror</v>
      </c>
      <c r="AO215" s="6" t="str">
        <v>US - Google Inc acquired the technology assets of Outride Inc, a provider of information retrieval services. Terms were not disclosed.</v>
      </c>
    </row>
    <row r="216">
      <c r="A216" s="6" t="str">
        <v>03156X</v>
      </c>
      <c r="B216" s="6" t="str">
        <v>United States</v>
      </c>
      <c r="C216" s="6" t="str">
        <v>Amicore</v>
      </c>
      <c r="D216" s="6" t="str">
        <v>Pfizer Inc</v>
      </c>
      <c r="F216" s="6" t="str">
        <v>United States</v>
      </c>
      <c r="G216" s="6" t="str">
        <v>PenChart Corp</v>
      </c>
      <c r="H216" s="6" t="str">
        <v>Prepackaged Software</v>
      </c>
      <c r="I216" s="6" t="str">
        <v>70662K</v>
      </c>
      <c r="J216" s="6" t="str">
        <v>PenChart Corp</v>
      </c>
      <c r="K216" s="6" t="str">
        <v>PenChart Corp</v>
      </c>
      <c r="L216" s="7">
        <f>=DATE(2001,10,10)</f>
        <v>37173.99949074074</v>
      </c>
      <c r="M216" s="7">
        <f>=DATE(2001,10,10)</f>
        <v>37173.99949074074</v>
      </c>
      <c r="W216" s="6" t="str">
        <v>Other Software (inq. Games)</v>
      </c>
      <c r="X216" s="6" t="str">
        <v>Other Software (inq. Games)</v>
      </c>
      <c r="Y216" s="6" t="str">
        <v>Other Software (inq. Games)</v>
      </c>
      <c r="Z216" s="6" t="str">
        <v>Other Software (inq. Games)</v>
      </c>
      <c r="AA216" s="6" t="str">
        <v>Medicinal Chemicals;Vaccines/Specialty Drugs;General Pharmaceuticals;Over-The-Counter Drugs;Other Biotechnology</v>
      </c>
      <c r="AB216" s="6" t="str">
        <v>Medicinal Chemicals;General Pharmaceuticals;Vaccines/Specialty Drugs;Other Biotechnology;Over-The-Counter Drugs</v>
      </c>
      <c r="AH216" s="6" t="str">
        <v>False</v>
      </c>
      <c r="AI216" s="6" t="str">
        <v>2001</v>
      </c>
      <c r="AJ216" s="6" t="str">
        <v>Completed</v>
      </c>
      <c r="AM216" s="6" t="str">
        <v>Not Applicable</v>
      </c>
      <c r="AO216" s="6" t="str">
        <v>US - Amicore, a joint venture between Pfizer Inc, Microsoft Corp, and International Business Machines Corp, acquired PenChart Corp, a developer of healthcare software. Terms were not disclosed.</v>
      </c>
    </row>
    <row r="217">
      <c r="A217" s="6" t="str">
        <v>84764M</v>
      </c>
      <c r="B217" s="6" t="str">
        <v>United States</v>
      </c>
      <c r="C217" s="6" t="str">
        <v>SpeechWorks International Inc</v>
      </c>
      <c r="D217" s="6" t="str">
        <v>SpeechWorks International Inc</v>
      </c>
      <c r="E217" s="6" t="str">
        <v>ScanSoft Inc</v>
      </c>
      <c r="F217" s="6" t="str">
        <v>Belgium</v>
      </c>
      <c r="G217" s="6" t="str">
        <v>Lernout &amp; Hauspie Speech Products NV-Speech &amp; Language Technology Div</v>
      </c>
      <c r="H217" s="6" t="str">
        <v>Prepackaged Software</v>
      </c>
      <c r="I217" s="6" t="str">
        <v>52675Z</v>
      </c>
      <c r="J217" s="6" t="str">
        <v>Lernout &amp; Hauspie Speech Products NV</v>
      </c>
      <c r="K217" s="6" t="str">
        <v>Lernout &amp; Hauspie Speech Products NV</v>
      </c>
      <c r="L217" s="7">
        <f>=DATE(2001,10,23)</f>
        <v>37186.99949074074</v>
      </c>
      <c r="N217" s="8">
        <v>12.505678619791</v>
      </c>
      <c r="O217" s="8">
        <v>12.505678619791</v>
      </c>
      <c r="Q217" s="8" t="str">
        <v>38.63</v>
      </c>
      <c r="W217" s="6" t="str">
        <v>Applications Software(Business;Programming Services;Communication/Network Software</v>
      </c>
      <c r="X217" s="6" t="str">
        <v>Programming Services;Other Software (inq. Games)</v>
      </c>
      <c r="Y217" s="6" t="str">
        <v>Applications Software(Home);Applications Software(Business;Other Software (inq. Games);Communication/Network Software</v>
      </c>
      <c r="Z217" s="6" t="str">
        <v>Communication/Network Software;Other Software (inq. Games);Applications Software(Business;Applications Software(Home)</v>
      </c>
      <c r="AA217" s="6" t="str">
        <v>Programming Services;Communication/Network Software;Applications Software(Business</v>
      </c>
      <c r="AB217" s="6" t="str">
        <v>Communication/Network Software;Programming Services;Applications Software(Business</v>
      </c>
      <c r="AC217" s="8">
        <v>12.505678619791</v>
      </c>
      <c r="AD217" s="7">
        <f>=DATE(2001,10,23)</f>
        <v>37186.99949074074</v>
      </c>
      <c r="AH217" s="6" t="str">
        <v>False</v>
      </c>
      <c r="AJ217" s="6" t="str">
        <v>Pending</v>
      </c>
      <c r="AM217" s="6" t="str">
        <v>Bankruptcy Acquisition;Divestiture</v>
      </c>
      <c r="AO217" s="6" t="str">
        <v>BELGIUM - SpeechWorks International Inc (SW) of the US planned to acquire two of the eight parts of Lernout &amp; Hauspie Products NV's (LHP) speech and language technology division, speech recognition and text-to-speech technology for a total consideration of 565.56 mil Belgian francs ($12.5 mil US). The consideration consisted of 452.45 mil Belgian francs ($10 mil US) in cash, and 113.11 mil Belgian francs ($2.5 mil US) in SW's stock. In September 2001, LHP disclosed that it was seeking a buyer for its speech and language technology division, speech related software development unit.</v>
      </c>
    </row>
    <row r="218">
      <c r="A218" s="6" t="str">
        <v>80609W</v>
      </c>
      <c r="B218" s="6" t="str">
        <v>United States</v>
      </c>
      <c r="C218" s="6" t="str">
        <v>ScanSoft Inc</v>
      </c>
      <c r="D218" s="6" t="str">
        <v>ScanSoft Inc</v>
      </c>
      <c r="E218" s="6" t="str">
        <v>SpeechWorks International Inc</v>
      </c>
      <c r="F218" s="6" t="str">
        <v>Belgium</v>
      </c>
      <c r="G218" s="6" t="str">
        <v>Lernout &amp; Hauspie Speech Prods NV-Spch &amp; Lang Techgies Div, L&amp;H Hldgs USA</v>
      </c>
      <c r="H218" s="6" t="str">
        <v>Prepackaged Software</v>
      </c>
      <c r="I218" s="6" t="str">
        <v>50341A</v>
      </c>
      <c r="J218" s="6" t="str">
        <v>Lernout &amp; Hauspie Speech Products NV</v>
      </c>
      <c r="K218" s="6" t="str">
        <v>Lernout &amp; Hauspie Speech Products NV-Speech &amp; Language Technology Div</v>
      </c>
      <c r="L218" s="7">
        <f>=DATE(2001,11,28)</f>
        <v>37222.99949074074</v>
      </c>
      <c r="M218" s="7">
        <f>=DATE(2001,12,12)</f>
        <v>37236.99949074074</v>
      </c>
      <c r="N218" s="8">
        <v>50.8297228732091</v>
      </c>
      <c r="O218" s="8">
        <v>38.6295315966505</v>
      </c>
      <c r="Q218" s="8" t="str">
        <v>12.51</v>
      </c>
      <c r="W218" s="6" t="str">
        <v>Other Software (inq. Games)</v>
      </c>
      <c r="X218" s="6" t="str">
        <v>Other Software (inq. Games)</v>
      </c>
      <c r="Y218" s="6" t="str">
        <v>Other Software (inq. Games);Programming Services</v>
      </c>
      <c r="Z218" s="6" t="str">
        <v>Applications Software(Home);Applications Software(Business;Communication/Network Software;Other Software (inq. Games)</v>
      </c>
      <c r="AA218" s="6" t="str">
        <v>Other Software (inq. Games)</v>
      </c>
      <c r="AB218" s="6" t="str">
        <v>Other Software (inq. Games)</v>
      </c>
      <c r="AC218" s="8">
        <v>38.6295315966505</v>
      </c>
      <c r="AD218" s="7">
        <f>=DATE(2001,11,28)</f>
        <v>37222.99949074074</v>
      </c>
      <c r="AH218" s="6" t="str">
        <v>False</v>
      </c>
      <c r="AI218" s="6" t="str">
        <v>2001</v>
      </c>
      <c r="AJ218" s="6" t="str">
        <v>Completed</v>
      </c>
      <c r="AM218" s="6" t="str">
        <v>Bankruptcy Acquisition</v>
      </c>
      <c r="AO218" s="6" t="str">
        <v>BELGIUM - Scansoft Inc (SS) of the US, a unit of Visioneer Inc, acquired L&amp;H Holdings USA Inc and the speech and language technologies business of Lernout &amp; Hauspie Speech Products NV (L&amp;H) for a total consideration of 1.756 bil francs (43.53 mil Euros/$38.66 mil). The consideration consisted of 454.17 mil francs (11.26 mil Euros/$10 mil) in cash plus 158.961 mil francs (3.94 mil Euros/$3.5 mil ) in assumed liabilities, plus the issue of 7.4 mil SS shares valued at 1.14 bil francs (28.35 mil Euros/$25.18 mil). The shares were valued based on SS' closing stock price of 154.42 francs (3.83 Euros/$3.40) on 27 Nov, the last full trading day prior to the announcement of the deal. In September 2001, L&amp;H announced that it was seeking a buyer for its remaining speech and language technology activities which were auctioned in New York on 26 Nov 2001. Concurrently, Speechworks International Inc planned to acquire two of the eight parts of L&amp;H's speech and language technology activities.</v>
      </c>
    </row>
    <row r="219">
      <c r="A219" s="6" t="str">
        <v>023135</v>
      </c>
      <c r="B219" s="6" t="str">
        <v>United States</v>
      </c>
      <c r="C219" s="6" t="str">
        <v>Amazon.com Inc</v>
      </c>
      <c r="D219" s="6" t="str">
        <v>Amazon.com Inc</v>
      </c>
      <c r="E219" s="6" t="str">
        <v>Frys Electronics</v>
      </c>
      <c r="F219" s="6" t="str">
        <v>United States</v>
      </c>
      <c r="G219" s="6" t="str">
        <v>Egghead.com Inc d</v>
      </c>
      <c r="H219" s="6" t="str">
        <v>Miscellaneous Retail Trade</v>
      </c>
      <c r="I219" s="6" t="str">
        <v>282329</v>
      </c>
      <c r="J219" s="6" t="str">
        <v>Egghead.com Inc d</v>
      </c>
      <c r="K219" s="6" t="str">
        <v>Egghead.com Inc d</v>
      </c>
      <c r="L219" s="7">
        <f>=DATE(2001,12,4)</f>
        <v>37228.99949074074</v>
      </c>
      <c r="M219" s="7">
        <f>=DATE(2001,12,4)</f>
        <v>37228.99949074074</v>
      </c>
      <c r="N219" s="8">
        <v>6.1</v>
      </c>
      <c r="O219" s="8">
        <v>6.1</v>
      </c>
      <c r="R219" s="8">
        <v>-45.3</v>
      </c>
      <c r="S219" s="8">
        <v>405.6</v>
      </c>
      <c r="T219" s="8">
        <v>4.2</v>
      </c>
      <c r="U219" s="8">
        <v>1.3</v>
      </c>
      <c r="V219" s="8">
        <v>-46.1</v>
      </c>
      <c r="W219" s="6" t="str">
        <v>Primary Business not Hi-Tech</v>
      </c>
      <c r="X219" s="6" t="str">
        <v>Internet Services &amp; Software</v>
      </c>
      <c r="Y219" s="6" t="str">
        <v>Internet Services &amp; Software</v>
      </c>
      <c r="Z219" s="6" t="str">
        <v>Internet Services &amp; Software</v>
      </c>
      <c r="AA219" s="6" t="str">
        <v>Primary Business not Hi-Tech</v>
      </c>
      <c r="AB219" s="6" t="str">
        <v>Primary Business not Hi-Tech</v>
      </c>
      <c r="AC219" s="8">
        <v>6.1</v>
      </c>
      <c r="AD219" s="7">
        <f>=DATE(2001,12,4)</f>
        <v>37228.99949074074</v>
      </c>
      <c r="AH219" s="6" t="str">
        <v>True</v>
      </c>
      <c r="AI219" s="6" t="str">
        <v>2001</v>
      </c>
      <c r="AJ219" s="6" t="str">
        <v>Completed</v>
      </c>
      <c r="AM219" s="6" t="str">
        <v>Bankruptcy Acquisition</v>
      </c>
      <c r="AO219" s="6" t="str">
        <v>US - Amazon.com Inc acquired bankrupt Egghead.com (EH), an online retailer and wholesaler of electronics products, for $6.1 mil in cash. Previously, in October 2001, Fry's Electronics Inc withdrew its agreement to acquire EH. Originally, in August 2001, EH filed for Chapter 11 bankruptcy protection.</v>
      </c>
    </row>
    <row r="220">
      <c r="A220" s="6" t="str">
        <v>037833</v>
      </c>
      <c r="B220" s="6" t="str">
        <v>United States</v>
      </c>
      <c r="C220" s="6" t="str">
        <v>Apple Computer Inc</v>
      </c>
      <c r="D220" s="6" t="str">
        <v>Apple Computer Inc</v>
      </c>
      <c r="F220" s="6" t="str">
        <v>United States</v>
      </c>
      <c r="G220" s="6" t="str">
        <v>Nothing Real LLC</v>
      </c>
      <c r="H220" s="6" t="str">
        <v>Prepackaged Software</v>
      </c>
      <c r="I220" s="6" t="str">
        <v>66813V</v>
      </c>
      <c r="J220" s="6" t="str">
        <v>Nothing Real LLC</v>
      </c>
      <c r="K220" s="6" t="str">
        <v>Nothing Real LLC</v>
      </c>
      <c r="L220" s="7">
        <f>=DATE(2002,2,1)</f>
        <v>37287.99949074074</v>
      </c>
      <c r="M220" s="7">
        <f>=DATE(2002,2,1)</f>
        <v>37287.99949074074</v>
      </c>
      <c r="N220" s="8">
        <v>15</v>
      </c>
      <c r="O220" s="8">
        <v>15</v>
      </c>
      <c r="W220" s="6" t="str">
        <v>Other Software (inq. Games);Portable Computers;Mainframes &amp; Super Computers;Disk Drives;Other Peripherals;Micro-Computers (PCs);Printers;Monitors/Terminals</v>
      </c>
      <c r="X220" s="6" t="str">
        <v>Other Software (inq. Games)</v>
      </c>
      <c r="Y220" s="6" t="str">
        <v>Other Software (inq. Games)</v>
      </c>
      <c r="Z220" s="6" t="str">
        <v>Other Software (inq. Games)</v>
      </c>
      <c r="AA220" s="6" t="str">
        <v>Disk Drives;Other Peripherals;Printers;Micro-Computers (PCs);Mainframes &amp; Super Computers;Portable Computers;Other Software (inq. Games);Monitors/Terminals</v>
      </c>
      <c r="AB220" s="6" t="str">
        <v>Mainframes &amp; Super Computers;Monitors/Terminals;Micro-Computers (PCs);Other Software (inq. Games);Disk Drives;Printers;Portable Computers;Other Peripherals</v>
      </c>
      <c r="AC220" s="8">
        <v>15</v>
      </c>
      <c r="AD220" s="7">
        <f>=DATE(2002,2,1)</f>
        <v>37287.99949074074</v>
      </c>
      <c r="AH220" s="6" t="str">
        <v>False</v>
      </c>
      <c r="AI220" s="6" t="str">
        <v>2002</v>
      </c>
      <c r="AJ220" s="6" t="str">
        <v>Completed</v>
      </c>
      <c r="AM220" s="6" t="str">
        <v>Not Applicable</v>
      </c>
      <c r="AO220" s="6" t="str">
        <v>US - Apple Computer Inc acquired Nothing Real LLC, a developer of special effects and motion picture software, for an estimated $15 mil.</v>
      </c>
    </row>
    <row r="221">
      <c r="A221" s="6" t="str">
        <v>594918</v>
      </c>
      <c r="B221" s="6" t="str">
        <v>United States</v>
      </c>
      <c r="C221" s="6" t="str">
        <v>Microsoft Corp</v>
      </c>
      <c r="D221" s="6" t="str">
        <v>Microsoft Corp</v>
      </c>
      <c r="F221" s="6" t="str">
        <v>United States</v>
      </c>
      <c r="G221" s="6" t="str">
        <v>USA Networks Inc</v>
      </c>
      <c r="H221" s="6" t="str">
        <v>Radio and Television Broadcasting Stations</v>
      </c>
      <c r="I221" s="6" t="str">
        <v>U9032T</v>
      </c>
      <c r="J221" s="6" t="str">
        <v>USA Networks Inc</v>
      </c>
      <c r="K221" s="6" t="str">
        <v>USA Networks Inc</v>
      </c>
      <c r="L221" s="7">
        <f>=DATE(2002,2,14)</f>
        <v>37300.99949074074</v>
      </c>
      <c r="M221" s="7">
        <f>=DATE(2002,2,14)</f>
        <v>37300.99949074074</v>
      </c>
      <c r="R221" s="8">
        <v>-125.052</v>
      </c>
      <c r="S221" s="8">
        <v>5284.807</v>
      </c>
      <c r="T221" s="8">
        <v>64.008</v>
      </c>
      <c r="U221" s="8">
        <v>51.935</v>
      </c>
      <c r="V221" s="8">
        <v>621.874</v>
      </c>
      <c r="W221" s="6" t="str">
        <v>Other Peripherals;Computer Consulting Services;Operating Systems;Monitors/Terminals;Internet Services &amp; Software;Applications Software(Business</v>
      </c>
      <c r="X221" s="6" t="str">
        <v>Internet Services &amp; Software</v>
      </c>
      <c r="Y221" s="6" t="str">
        <v>Internet Services &amp; Software</v>
      </c>
      <c r="Z221" s="6" t="str">
        <v>Internet Services &amp; Software</v>
      </c>
      <c r="AA221" s="6" t="str">
        <v>Other Peripherals;Applications Software(Business;Operating Systems;Internet Services &amp; Software;Computer Consulting Services;Monitors/Terminals</v>
      </c>
      <c r="AB221" s="6" t="str">
        <v>Internet Services &amp; Software;Operating Systems;Applications Software(Business;Other Peripherals;Computer Consulting Services;Monitors/Terminals</v>
      </c>
      <c r="AH221" s="6" t="str">
        <v>True</v>
      </c>
      <c r="AI221" s="6" t="str">
        <v>2002</v>
      </c>
      <c r="AJ221" s="6" t="str">
        <v>Completed</v>
      </c>
      <c r="AL221" s="8">
        <v>58.062634</v>
      </c>
      <c r="AM221" s="6" t="str">
        <v>Open Market Purchase</v>
      </c>
      <c r="AN221" s="8">
        <v>7236.283</v>
      </c>
      <c r="AO221" s="6" t="str">
        <v>US - Microsoft Corp acquired a 15.4% stake, or 58.063 mil common shares, in USA Networks Inc, an owner and operator of television stations and provider of motion picture production and distribution services, in open market transactions.</v>
      </c>
    </row>
    <row r="222">
      <c r="A222" s="6" t="str">
        <v>037833</v>
      </c>
      <c r="B222" s="6" t="str">
        <v>United States</v>
      </c>
      <c r="C222" s="6" t="str">
        <v>Apple Computer Inc</v>
      </c>
      <c r="D222" s="6" t="str">
        <v>Apple Computer Inc</v>
      </c>
      <c r="F222" s="6" t="str">
        <v>United States</v>
      </c>
      <c r="G222" s="6" t="str">
        <v>Zayante Inc</v>
      </c>
      <c r="H222" s="6" t="str">
        <v>Prepackaged Software</v>
      </c>
      <c r="I222" s="6" t="str">
        <v>98919J</v>
      </c>
      <c r="J222" s="6" t="str">
        <v>Zayante Inc</v>
      </c>
      <c r="K222" s="6" t="str">
        <v>Zayante Inc</v>
      </c>
      <c r="L222" s="7">
        <f>=DATE(2002,4,4)</f>
        <v>37349.99949074074</v>
      </c>
      <c r="M222" s="7">
        <f>=DATE(2002,4,4)</f>
        <v>37349.99949074074</v>
      </c>
      <c r="N222" s="8">
        <v>13</v>
      </c>
      <c r="O222" s="8">
        <v>13</v>
      </c>
      <c r="W222" s="6" t="str">
        <v>Portable Computers;Mainframes &amp; Super Computers;Other Peripherals;Disk Drives;Printers;Other Software (inq. Games);Monitors/Terminals;Micro-Computers (PCs)</v>
      </c>
      <c r="X222" s="6" t="str">
        <v>Programming Services;Other Software (inq. Games)</v>
      </c>
      <c r="Y222" s="6" t="str">
        <v>Other Software (inq. Games);Programming Services</v>
      </c>
      <c r="Z222" s="6" t="str">
        <v>Programming Services;Other Software (inq. Games)</v>
      </c>
      <c r="AA222" s="6" t="str">
        <v>Micro-Computers (PCs);Disk Drives;Mainframes &amp; Super Computers;Other Software (inq. Games);Printers;Portable Computers;Monitors/Terminals;Other Peripherals</v>
      </c>
      <c r="AB222" s="6" t="str">
        <v>Disk Drives;Portable Computers;Printers;Monitors/Terminals;Other Software (inq. Games);Mainframes &amp; Super Computers;Micro-Computers (PCs);Other Peripherals</v>
      </c>
      <c r="AC222" s="8">
        <v>13</v>
      </c>
      <c r="AD222" s="7">
        <f>=DATE(2002,4,8)</f>
        <v>37353.99949074074</v>
      </c>
      <c r="AH222" s="6" t="str">
        <v>False</v>
      </c>
      <c r="AI222" s="6" t="str">
        <v>2002</v>
      </c>
      <c r="AJ222" s="6" t="str">
        <v>Completed</v>
      </c>
      <c r="AM222" s="6" t="str">
        <v>Not Applicable</v>
      </c>
      <c r="AO222" s="6" t="str">
        <v>US - Apple Computer Inc acquired Zayante Inc, a developer of integrated software, for an estimated $13 mil.</v>
      </c>
    </row>
    <row r="223">
      <c r="A223" s="6" t="str">
        <v>03156X</v>
      </c>
      <c r="B223" s="6" t="str">
        <v>United States</v>
      </c>
      <c r="C223" s="6" t="str">
        <v>Amicore</v>
      </c>
      <c r="D223" s="6" t="str">
        <v>Pfizer Inc</v>
      </c>
      <c r="F223" s="6" t="str">
        <v>United States</v>
      </c>
      <c r="G223" s="6" t="str">
        <v>CareWide Inc-Certain Assets</v>
      </c>
      <c r="H223" s="6" t="str">
        <v>Business Services</v>
      </c>
      <c r="I223" s="6" t="str">
        <v>14175V</v>
      </c>
      <c r="J223" s="6" t="str">
        <v>CareWide Inc</v>
      </c>
      <c r="K223" s="6" t="str">
        <v>CareWide Inc</v>
      </c>
      <c r="L223" s="7">
        <f>=DATE(2002,4,10)</f>
        <v>37355.99949074074</v>
      </c>
      <c r="M223" s="7">
        <f>=DATE(2002,4,10)</f>
        <v>37355.99949074074</v>
      </c>
      <c r="W223" s="6" t="str">
        <v>Other Software (inq. Games)</v>
      </c>
      <c r="X223" s="6" t="str">
        <v>Primary Business not Hi-Tech;Applications Software(Business</v>
      </c>
      <c r="Y223" s="6" t="str">
        <v>Applications Software(Business;Primary Business not Hi-Tech</v>
      </c>
      <c r="Z223" s="6" t="str">
        <v>Primary Business not Hi-Tech;Applications Software(Business</v>
      </c>
      <c r="AA223" s="6" t="str">
        <v>Over-The-Counter Drugs;Vaccines/Specialty Drugs;Medicinal Chemicals;Other Biotechnology;General Pharmaceuticals</v>
      </c>
      <c r="AB223" s="6" t="str">
        <v>Other Biotechnology;General Pharmaceuticals;Vaccines/Specialty Drugs;Over-The-Counter Drugs;Medicinal Chemicals</v>
      </c>
      <c r="AH223" s="6" t="str">
        <v>False</v>
      </c>
      <c r="AI223" s="6" t="str">
        <v>2002</v>
      </c>
      <c r="AJ223" s="6" t="str">
        <v>Completed</v>
      </c>
      <c r="AM223" s="6" t="str">
        <v>Divestiture</v>
      </c>
      <c r="AO223" s="6" t="str">
        <v>US - Amicore, a joint venture between International Business Machines Corp, Microsoft Corp, and Pfizer Inc, acquired certain assets of CareWide Inc, a provider of consulting services for the health industry and a developer of health related management software.</v>
      </c>
    </row>
    <row r="224">
      <c r="A224" s="6" t="str">
        <v>594918</v>
      </c>
      <c r="B224" s="6" t="str">
        <v>United States</v>
      </c>
      <c r="C224" s="6" t="str">
        <v>Microsoft Corp</v>
      </c>
      <c r="D224" s="6" t="str">
        <v>Microsoft Corp</v>
      </c>
      <c r="F224" s="6" t="str">
        <v>Denmark</v>
      </c>
      <c r="G224" s="6" t="str">
        <v>Navision A/S</v>
      </c>
      <c r="H224" s="6" t="str">
        <v>Business Services</v>
      </c>
      <c r="I224" s="6" t="str">
        <v>63895P</v>
      </c>
      <c r="J224" s="6" t="str">
        <v>Navision A/S</v>
      </c>
      <c r="K224" s="6" t="str">
        <v>Navision A/S</v>
      </c>
      <c r="L224" s="7">
        <f>=DATE(2002,5,7)</f>
        <v>37382.99949074074</v>
      </c>
      <c r="M224" s="7">
        <f>=DATE(2002,8,22)</f>
        <v>37489.99949074074</v>
      </c>
      <c r="N224" s="8">
        <v>1323.65591397849</v>
      </c>
      <c r="O224" s="8">
        <v>1323.65591397849</v>
      </c>
      <c r="P224" s="8" t="str">
        <v>1,121.93</v>
      </c>
      <c r="R224" s="8">
        <v>18.0379098360656</v>
      </c>
      <c r="S224" s="8">
        <v>170.309995446266</v>
      </c>
      <c r="T224" s="8">
        <v>-0.761322</v>
      </c>
      <c r="U224" s="8">
        <v>-23.2870078</v>
      </c>
      <c r="V224" s="8">
        <v>28.3746644</v>
      </c>
      <c r="W224" s="6" t="str">
        <v>Monitors/Terminals;Other Peripherals;Applications Software(Business;Computer Consulting Services;Operating Systems;Internet Services &amp; Software</v>
      </c>
      <c r="X224" s="6" t="str">
        <v>Programming Services</v>
      </c>
      <c r="Y224" s="6" t="str">
        <v>Programming Services</v>
      </c>
      <c r="Z224" s="6" t="str">
        <v>Programming Services</v>
      </c>
      <c r="AA224" s="6" t="str">
        <v>Other Peripherals;Operating Systems;Applications Software(Business;Internet Services &amp; Software;Computer Consulting Services;Monitors/Terminals</v>
      </c>
      <c r="AB224" s="6" t="str">
        <v>Monitors/Terminals;Applications Software(Business;Computer Consulting Services;Operating Systems;Other Peripherals;Internet Services &amp; Software</v>
      </c>
      <c r="AC224" s="8">
        <v>1323.65591397849</v>
      </c>
      <c r="AD224" s="7">
        <f>=DATE(2002,5,7)</f>
        <v>37382.99949074074</v>
      </c>
      <c r="AE224" s="8">
        <v>1323.65591397849</v>
      </c>
      <c r="AF224" s="8" t="str">
        <v>1,213.77</v>
      </c>
      <c r="AG224" s="8" t="str">
        <v>1,286.52</v>
      </c>
      <c r="AH224" s="6" t="str">
        <v>True</v>
      </c>
      <c r="AI224" s="6" t="str">
        <v>2002</v>
      </c>
      <c r="AJ224" s="6" t="str">
        <v>Completed</v>
      </c>
      <c r="AK224" s="8">
        <v>1323.65591397849</v>
      </c>
      <c r="AL224" s="8">
        <v>35.699</v>
      </c>
      <c r="AM224" s="6" t="str">
        <v>Tender Offer;Tender/Merger;Rumored Deal</v>
      </c>
      <c r="AN224" s="8">
        <v>17.719262295082</v>
      </c>
      <c r="AO224" s="6" t="str">
        <v>DENMARK - Microsoft Corp (MC) acquired the entire ordinary share capital of Navision A/S (NA), a provider of software programming services, for a choice of 300 Danish krone ($37.05 US) in cash or common stock per share, or a total value of 10.71 bil Danish kroner ($1.33 bil US). Previously, in July 2002, MC declared unconditional its tender offer to acquire NA. Originally, in April 2002, MC was rumored to be planning to acquire NA.</v>
      </c>
    </row>
    <row r="225">
      <c r="A225" s="6" t="str">
        <v>594918</v>
      </c>
      <c r="B225" s="6" t="str">
        <v>United States</v>
      </c>
      <c r="C225" s="6" t="str">
        <v>Microsoft Corp</v>
      </c>
      <c r="D225" s="6" t="str">
        <v>Microsoft Corp</v>
      </c>
      <c r="F225" s="6" t="str">
        <v>Germany</v>
      </c>
      <c r="G225" s="6" t="str">
        <v>T-Online International AG</v>
      </c>
      <c r="H225" s="6" t="str">
        <v>Business Services</v>
      </c>
      <c r="I225" s="6" t="str">
        <v>87252Y</v>
      </c>
      <c r="J225" s="6" t="str">
        <v>Deutsche Telekom AG</v>
      </c>
      <c r="K225" s="6" t="str">
        <v>Deutsche Telekom AG</v>
      </c>
      <c r="L225" s="7">
        <f>=DATE(2002,5,15)</f>
        <v>37390.99949074074</v>
      </c>
      <c r="R225" s="8">
        <v>-709.513039916659</v>
      </c>
      <c r="S225" s="8">
        <v>1014.95160672787</v>
      </c>
      <c r="T225" s="8">
        <v>-2.9006156</v>
      </c>
      <c r="U225" s="8">
        <v>-1397.3871648</v>
      </c>
      <c r="V225" s="8">
        <v>-174.1314244</v>
      </c>
      <c r="W225" s="6" t="str">
        <v>Other Peripherals;Monitors/Terminals;Internet Services &amp; Software;Applications Software(Business;Operating Systems;Computer Consulting Services</v>
      </c>
      <c r="X225" s="6" t="str">
        <v>Internet Services &amp; Software</v>
      </c>
      <c r="Y225" s="6" t="str">
        <v>Internet Services &amp; Software</v>
      </c>
      <c r="Z225" s="6" t="str">
        <v>Internet Services &amp; Software</v>
      </c>
      <c r="AA225" s="6" t="str">
        <v>Other Peripherals;Internet Services &amp; Software;Monitors/Terminals;Operating Systems;Applications Software(Business;Computer Consulting Services</v>
      </c>
      <c r="AB225" s="6" t="str">
        <v>Operating Systems;Applications Software(Business;Computer Consulting Services;Monitors/Terminals;Internet Services &amp; Software;Other Peripherals</v>
      </c>
      <c r="AH225" s="6" t="str">
        <v>True</v>
      </c>
      <c r="AJ225" s="6" t="str">
        <v>Dismissed Rumor</v>
      </c>
      <c r="AM225" s="6" t="str">
        <v>Rumored Deal</v>
      </c>
      <c r="AN225" s="8">
        <v>1703.52954794362</v>
      </c>
      <c r="AO225" s="6" t="str">
        <v>GERMANY - MicroSoft Corp of the US was rumoured to be planning to acquire up to a 24.9% stake in T-Online. The Current status of this deal is unknown.</v>
      </c>
    </row>
    <row r="226">
      <c r="A226" s="6" t="str">
        <v>594918</v>
      </c>
      <c r="B226" s="6" t="str">
        <v>United States</v>
      </c>
      <c r="C226" s="6" t="str">
        <v>Microsoft Corp</v>
      </c>
      <c r="D226" s="6" t="str">
        <v>Microsoft Corp</v>
      </c>
      <c r="F226" s="6" t="str">
        <v>United States</v>
      </c>
      <c r="G226" s="6" t="str">
        <v>Sales Management Systems Inc</v>
      </c>
      <c r="H226" s="6" t="str">
        <v>Prepackaged Software</v>
      </c>
      <c r="I226" s="6" t="str">
        <v>79463R</v>
      </c>
      <c r="J226" s="6" t="str">
        <v>Sales Management Systems Inc</v>
      </c>
      <c r="K226" s="6" t="str">
        <v>Sales Management Systems Inc</v>
      </c>
      <c r="L226" s="7">
        <f>=DATE(2002,5,22)</f>
        <v>37397.99949074074</v>
      </c>
      <c r="M226" s="7">
        <f>=DATE(2002,5,22)</f>
        <v>37397.99949074074</v>
      </c>
      <c r="W226" s="6" t="str">
        <v>Monitors/Terminals;Internet Services &amp; Software;Applications Software(Business;Operating Systems;Other Peripherals;Computer Consulting Services</v>
      </c>
      <c r="X226" s="6" t="str">
        <v>Other Software (inq. Games)</v>
      </c>
      <c r="Y226" s="6" t="str">
        <v>Other Software (inq. Games)</v>
      </c>
      <c r="Z226" s="6" t="str">
        <v>Other Software (inq. Games)</v>
      </c>
      <c r="AA226" s="6" t="str">
        <v>Other Peripherals;Applications Software(Business;Internet Services &amp; Software;Operating Systems;Monitors/Terminals;Computer Consulting Services</v>
      </c>
      <c r="AB226" s="6" t="str">
        <v>Monitors/Terminals;Computer Consulting Services;Operating Systems;Internet Services &amp; Software;Other Peripherals;Applications Software(Business</v>
      </c>
      <c r="AH226" s="6" t="str">
        <v>True</v>
      </c>
      <c r="AI226" s="6" t="str">
        <v>2002</v>
      </c>
      <c r="AJ226" s="6" t="str">
        <v>Completed</v>
      </c>
      <c r="AM226" s="6" t="str">
        <v>Not Applicable</v>
      </c>
      <c r="AO226" s="6" t="str">
        <v>US - Microsoft Corp acquired Sales Management Systems Inc, a developer of software. Terms were not disclosed.</v>
      </c>
    </row>
    <row r="227">
      <c r="A227" s="6" t="str">
        <v>38018F</v>
      </c>
      <c r="B227" s="6" t="str">
        <v>United States</v>
      </c>
      <c r="C227" s="6" t="str">
        <v>Go Toast LLC</v>
      </c>
      <c r="D227" s="6" t="str">
        <v>Go Toast LLC</v>
      </c>
      <c r="F227" s="6" t="str">
        <v>United States</v>
      </c>
      <c r="G227" s="6" t="str">
        <v>Clickpatrol.com-Certain Assets</v>
      </c>
      <c r="H227" s="6" t="str">
        <v>Business Services</v>
      </c>
      <c r="I227" s="6" t="str">
        <v>18890V</v>
      </c>
      <c r="J227" s="6" t="str">
        <v>ClickPatrol.com</v>
      </c>
      <c r="K227" s="6" t="str">
        <v>ClickPatrol.com</v>
      </c>
      <c r="L227" s="7">
        <f>=DATE(2002,6,3)</f>
        <v>37409.99949074074</v>
      </c>
      <c r="M227" s="7">
        <f>=DATE(2002,6,3)</f>
        <v>37409.99949074074</v>
      </c>
      <c r="W227" s="6" t="str">
        <v>Communication/Network Software;Internet Services &amp; Software</v>
      </c>
      <c r="X227" s="6" t="str">
        <v>Internet Services &amp; Software;Communication/Network Software</v>
      </c>
      <c r="Y227" s="6" t="str">
        <v>Internet Services &amp; Software;Communication/Network Software</v>
      </c>
      <c r="Z227" s="6" t="str">
        <v>Communication/Network Software;Internet Services &amp; Software</v>
      </c>
      <c r="AA227" s="6" t="str">
        <v>Communication/Network Software;Internet Services &amp; Software</v>
      </c>
      <c r="AB227" s="6" t="str">
        <v>Internet Services &amp; Software;Communication/Network Software</v>
      </c>
      <c r="AH227" s="6" t="str">
        <v>False</v>
      </c>
      <c r="AI227" s="6" t="str">
        <v>2002</v>
      </c>
      <c r="AJ227" s="6" t="str">
        <v>Completed</v>
      </c>
      <c r="AM227" s="6" t="str">
        <v>Not Applicable</v>
      </c>
      <c r="AO227" s="6" t="str">
        <v>US - Go Toast LLC acquired certain assets of ClickPatrol.com, a provider of pay-per-click management services.</v>
      </c>
    </row>
    <row r="228">
      <c r="A228" s="6" t="str">
        <v>037833</v>
      </c>
      <c r="B228" s="6" t="str">
        <v>United States</v>
      </c>
      <c r="C228" s="6" t="str">
        <v>Apple Computer Inc</v>
      </c>
      <c r="D228" s="6" t="str">
        <v>Apple Computer Inc</v>
      </c>
      <c r="F228" s="6" t="str">
        <v>United States</v>
      </c>
      <c r="G228" s="6" t="str">
        <v>Silicon Grail Corp-Chalice &amp; Rayz Digital Effects Products</v>
      </c>
      <c r="H228" s="6" t="str">
        <v>Prepackaged Software</v>
      </c>
      <c r="I228" s="6" t="str">
        <v>82701T</v>
      </c>
      <c r="J228" s="6" t="str">
        <v>Silicon Grail Corp</v>
      </c>
      <c r="K228" s="6" t="str">
        <v>Silicon Grail Corp</v>
      </c>
      <c r="L228" s="7">
        <f>=DATE(2002,6,11)</f>
        <v>37417.99949074074</v>
      </c>
      <c r="M228" s="7">
        <f>=DATE(2002,6,11)</f>
        <v>37417.99949074074</v>
      </c>
      <c r="W228" s="6" t="str">
        <v>Printers;Mainframes &amp; Super Computers;Micro-Computers (PCs);Disk Drives;Other Software (inq. Games);Other Peripherals;Monitors/Terminals;Portable Computers</v>
      </c>
      <c r="X228" s="6" t="str">
        <v>Other Software (inq. Games)</v>
      </c>
      <c r="Y228" s="6" t="str">
        <v>Other Software (inq. Games)</v>
      </c>
      <c r="Z228" s="6" t="str">
        <v>Other Software (inq. Games)</v>
      </c>
      <c r="AA228" s="6" t="str">
        <v>Mainframes &amp; Super Computers;Disk Drives;Printers;Monitors/Terminals;Other Peripherals;Other Software (inq. Games);Portable Computers;Micro-Computers (PCs)</v>
      </c>
      <c r="AB228" s="6" t="str">
        <v>Other Software (inq. Games);Monitors/Terminals;Micro-Computers (PCs);Other Peripherals;Disk Drives;Printers;Portable Computers;Mainframes &amp; Super Computers</v>
      </c>
      <c r="AH228" s="6" t="str">
        <v>True</v>
      </c>
      <c r="AI228" s="6" t="str">
        <v>2002</v>
      </c>
      <c r="AJ228" s="6" t="str">
        <v>Completed</v>
      </c>
      <c r="AM228" s="6" t="str">
        <v>Divestiture</v>
      </c>
      <c r="AO228" s="6" t="str">
        <v>US - Apple Computer Inc acquired the Chalice &amp; Rayz digital effects products of Silicon Grail Corp, a developer of digital effects software.</v>
      </c>
    </row>
    <row r="229">
      <c r="A229" s="6" t="str">
        <v>037833</v>
      </c>
      <c r="B229" s="6" t="str">
        <v>United States</v>
      </c>
      <c r="C229" s="6" t="str">
        <v>Apple Computer Inc</v>
      </c>
      <c r="D229" s="6" t="str">
        <v>Apple Computer Inc</v>
      </c>
      <c r="F229" s="6" t="str">
        <v>United States</v>
      </c>
      <c r="G229" s="6" t="str">
        <v>Propel Software Corp</v>
      </c>
      <c r="H229" s="6" t="str">
        <v>Prepackaged Software</v>
      </c>
      <c r="I229" s="6" t="str">
        <v>74343K</v>
      </c>
      <c r="J229" s="6" t="str">
        <v>Propel Software Corp</v>
      </c>
      <c r="K229" s="6" t="str">
        <v>Propel Software Corp</v>
      </c>
      <c r="L229" s="7">
        <f>=DATE(2002,6,20)</f>
        <v>37426.99949074074</v>
      </c>
      <c r="M229" s="7">
        <f>=DATE(2002,6,20)</f>
        <v>37426.99949074074</v>
      </c>
      <c r="W229" s="6" t="str">
        <v>Printers;Portable Computers;Other Peripherals;Mainframes &amp; Super Computers;Disk Drives;Micro-Computers (PCs);Other Software (inq. Games);Monitors/Terminals</v>
      </c>
      <c r="X229" s="6" t="str">
        <v>Other Software (inq. Games)</v>
      </c>
      <c r="Y229" s="6" t="str">
        <v>Other Software (inq. Games)</v>
      </c>
      <c r="Z229" s="6" t="str">
        <v>Other Software (inq. Games)</v>
      </c>
      <c r="AA229" s="6" t="str">
        <v>Other Peripherals;Printers;Other Software (inq. Games);Monitors/Terminals;Mainframes &amp; Super Computers;Micro-Computers (PCs);Portable Computers;Disk Drives</v>
      </c>
      <c r="AB229" s="6" t="str">
        <v>Portable Computers;Disk Drives;Monitors/Terminals;Other Peripherals;Micro-Computers (PCs);Mainframes &amp; Super Computers;Printers;Other Software (inq. Games)</v>
      </c>
      <c r="AH229" s="6" t="str">
        <v>False</v>
      </c>
      <c r="AI229" s="6" t="str">
        <v>2002</v>
      </c>
      <c r="AJ229" s="6" t="str">
        <v>Completed</v>
      </c>
      <c r="AM229" s="6" t="str">
        <v>Not Applicable</v>
      </c>
      <c r="AO229" s="6" t="str">
        <v>US - Apple Computer Inc acquired Prismo Graphics, a developer of motion graphics software, for an undisclosed amount in cash.</v>
      </c>
    </row>
    <row r="230">
      <c r="A230" s="6" t="str">
        <v>037833</v>
      </c>
      <c r="B230" s="6" t="str">
        <v>United States</v>
      </c>
      <c r="C230" s="6" t="str">
        <v>Apple Computer Inc</v>
      </c>
      <c r="D230" s="6" t="str">
        <v>Apple Computer Inc</v>
      </c>
      <c r="F230" s="6" t="str">
        <v>Germany</v>
      </c>
      <c r="G230" s="6" t="str">
        <v>Emagic Soft-und Hardware GmbH</v>
      </c>
      <c r="H230" s="6" t="str">
        <v>Prepackaged Software</v>
      </c>
      <c r="I230" s="6" t="str">
        <v>29073E</v>
      </c>
      <c r="J230" s="6" t="str">
        <v>Emagic Soft-und Hardware GmbH</v>
      </c>
      <c r="K230" s="6" t="str">
        <v>Emagic Soft-und Hardware GmbH</v>
      </c>
      <c r="L230" s="7">
        <f>=DATE(2002,7,1)</f>
        <v>37437.99949074074</v>
      </c>
      <c r="M230" s="7">
        <f>=DATE(2002,7,1)</f>
        <v>37437.99949074074</v>
      </c>
      <c r="N230" s="8">
        <v>30.0117988835678</v>
      </c>
      <c r="O230" s="8">
        <v>30.0117988835678</v>
      </c>
      <c r="W230" s="6" t="str">
        <v>Other Peripherals;Portable Computers;Disk Drives;Micro-Computers (PCs);Monitors/Terminals;Mainframes &amp; Super Computers;Other Software (inq. Games);Printers</v>
      </c>
      <c r="X230" s="6" t="str">
        <v>Other Software (inq. Games)</v>
      </c>
      <c r="Y230" s="6" t="str">
        <v>Other Software (inq. Games)</v>
      </c>
      <c r="Z230" s="6" t="str">
        <v>Other Software (inq. Games)</v>
      </c>
      <c r="AA230" s="6" t="str">
        <v>Mainframes &amp; Super Computers;Portable Computers;Other Software (inq. Games);Micro-Computers (PCs);Disk Drives;Printers;Other Peripherals;Monitors/Terminals</v>
      </c>
      <c r="AB230" s="6" t="str">
        <v>Printers;Monitors/Terminals;Portable Computers;Disk Drives;Other Software (inq. Games);Micro-Computers (PCs);Mainframes &amp; Super Computers;Other Peripherals</v>
      </c>
      <c r="AC230" s="8">
        <v>30.0117988835678</v>
      </c>
      <c r="AD230" s="7">
        <f>=DATE(2002,7,1)</f>
        <v>37437.99949074074</v>
      </c>
      <c r="AH230" s="6" t="str">
        <v>False</v>
      </c>
      <c r="AI230" s="6" t="str">
        <v>2002</v>
      </c>
      <c r="AJ230" s="6" t="str">
        <v>Completed</v>
      </c>
      <c r="AM230" s="6" t="str">
        <v>Not Applicable</v>
      </c>
      <c r="AO230" s="6" t="str">
        <v>GERMANY - Apple Computer Inc acquired Emagic Soft-Und Hardware GmbH, a developer of music production software, for an estimated 30.269 mil euros ($30 mil US) in cash.</v>
      </c>
    </row>
    <row r="231">
      <c r="A231" s="6" t="str">
        <v>84764M</v>
      </c>
      <c r="B231" s="6" t="str">
        <v>United States</v>
      </c>
      <c r="C231" s="6" t="str">
        <v>SpeechWorks International Inc</v>
      </c>
      <c r="D231" s="6" t="str">
        <v>SpeechWorks International Inc</v>
      </c>
      <c r="F231" s="6" t="str">
        <v>United States</v>
      </c>
      <c r="G231" s="6" t="str">
        <v>T-Netix Inc-SpeakEZ Voice Print Technology</v>
      </c>
      <c r="H231" s="6" t="str">
        <v>Prepackaged Software</v>
      </c>
      <c r="I231" s="6" t="str">
        <v>87454Q</v>
      </c>
      <c r="J231" s="6" t="str">
        <v>T Netix Inc</v>
      </c>
      <c r="K231" s="6" t="str">
        <v>T Netix Inc</v>
      </c>
      <c r="L231" s="7">
        <f>=DATE(2002,7,23)</f>
        <v>37459.99949074074</v>
      </c>
      <c r="M231" s="7">
        <f>=DATE(2002,7,23)</f>
        <v>37459.99949074074</v>
      </c>
      <c r="W231" s="6" t="str">
        <v>Applications Software(Business;Communication/Network Software;Programming Services</v>
      </c>
      <c r="X231" s="6" t="str">
        <v>Other Software (inq. Games);Communication/Network Software</v>
      </c>
      <c r="Y231" s="6" t="str">
        <v>Internet Services &amp; Software;Communication/Network Software</v>
      </c>
      <c r="Z231" s="6" t="str">
        <v>Internet Services &amp; Software;Communication/Network Software</v>
      </c>
      <c r="AA231" s="6" t="str">
        <v>Communication/Network Software;Programming Services;Applications Software(Business</v>
      </c>
      <c r="AB231" s="6" t="str">
        <v>Applications Software(Business;Programming Services;Communication/Network Software</v>
      </c>
      <c r="AH231" s="6" t="str">
        <v>False</v>
      </c>
      <c r="AI231" s="6" t="str">
        <v>2002</v>
      </c>
      <c r="AJ231" s="6" t="str">
        <v>Completed</v>
      </c>
      <c r="AM231" s="6" t="str">
        <v>Divestiture</v>
      </c>
      <c r="AO231" s="6" t="str">
        <v>US - SpeechWorks International Inc acquired the SpeakEZ Voice Print technology platform of T-Netix Inc, a devloper of fraud control software.</v>
      </c>
    </row>
    <row r="232">
      <c r="A232" s="6" t="str">
        <v>97659L</v>
      </c>
      <c r="B232" s="6" t="str">
        <v>United States</v>
      </c>
      <c r="C232" s="6" t="str">
        <v>Wireless Knowledge LLC</v>
      </c>
      <c r="D232" s="6" t="str">
        <v>Microsoft Corp</v>
      </c>
      <c r="F232" s="6" t="str">
        <v>United States</v>
      </c>
      <c r="G232" s="6" t="str">
        <v>Mobilocity Inc</v>
      </c>
      <c r="H232" s="6" t="str">
        <v>Business Services</v>
      </c>
      <c r="I232" s="6" t="str">
        <v>60725K</v>
      </c>
      <c r="J232" s="6" t="str">
        <v>Mobilocity Inc</v>
      </c>
      <c r="K232" s="6" t="str">
        <v>Mobilocity Inc</v>
      </c>
      <c r="L232" s="7">
        <f>=DATE(2002,7,29)</f>
        <v>37465.99949074074</v>
      </c>
      <c r="M232" s="7">
        <f>=DATE(2002,7,29)</f>
        <v>37465.99949074074</v>
      </c>
      <c r="W232" s="6" t="str">
        <v>Internet Services &amp; Software</v>
      </c>
      <c r="X232" s="6" t="str">
        <v>Computer Consulting Services</v>
      </c>
      <c r="Y232" s="6" t="str">
        <v>Computer Consulting Services</v>
      </c>
      <c r="Z232" s="6" t="str">
        <v>Computer Consulting Services</v>
      </c>
      <c r="AA232" s="6" t="str">
        <v>Computer Consulting Services;Operating Systems;Internet Services &amp; Software;Applications Software(Business;Other Peripherals;Monitors/Terminals</v>
      </c>
      <c r="AB232" s="6" t="str">
        <v>Applications Software(Business;Monitors/Terminals;Operating Systems;Other Peripherals;Internet Services &amp; Software;Computer Consulting Services</v>
      </c>
      <c r="AH232" s="6" t="str">
        <v>False</v>
      </c>
      <c r="AI232" s="6" t="str">
        <v>2002</v>
      </c>
      <c r="AJ232" s="6" t="str">
        <v>Completed</v>
      </c>
      <c r="AM232" s="6" t="str">
        <v>Not Applicable</v>
      </c>
      <c r="AO232" s="6" t="str">
        <v>US - Wireless Knowledge LLC, a joint venture between Microsoft Corp and Qualcomm Inc, acquired Mobilocity Inc, a provider of computer consulting services.</v>
      </c>
    </row>
    <row r="233">
      <c r="A233" s="6" t="str">
        <v>80609W</v>
      </c>
      <c r="B233" s="6" t="str">
        <v>United States</v>
      </c>
      <c r="C233" s="6" t="str">
        <v>ScanSoft Inc</v>
      </c>
      <c r="D233" s="6" t="str">
        <v>ScanSoft Inc</v>
      </c>
      <c r="F233" s="6" t="str">
        <v>United States</v>
      </c>
      <c r="G233" s="6" t="str">
        <v>ScanSoft Inc</v>
      </c>
      <c r="H233" s="6" t="str">
        <v>Prepackaged Software</v>
      </c>
      <c r="I233" s="6" t="str">
        <v>80609W</v>
      </c>
      <c r="J233" s="6" t="str">
        <v>ScanSoft Inc</v>
      </c>
      <c r="K233" s="6" t="str">
        <v>ScanSoft Inc</v>
      </c>
      <c r="L233" s="7">
        <f>=DATE(2002,8,6)</f>
        <v>37473.99949074074</v>
      </c>
      <c r="N233" s="8">
        <v>6.8</v>
      </c>
      <c r="O233" s="8">
        <v>6.8</v>
      </c>
      <c r="R233" s="8">
        <v>-6.513</v>
      </c>
      <c r="S233" s="8">
        <v>85.925</v>
      </c>
      <c r="T233" s="8">
        <v>18.722</v>
      </c>
      <c r="U233" s="8">
        <v>-16.339</v>
      </c>
      <c r="V233" s="8">
        <v>8.277</v>
      </c>
      <c r="W233" s="6" t="str">
        <v>Other Software (inq. Games)</v>
      </c>
      <c r="X233" s="6" t="str">
        <v>Other Software (inq. Games)</v>
      </c>
      <c r="Y233" s="6" t="str">
        <v>Other Software (inq. Games)</v>
      </c>
      <c r="Z233" s="6" t="str">
        <v>Other Software (inq. Games)</v>
      </c>
      <c r="AA233" s="6" t="str">
        <v>Other Software (inq. Games)</v>
      </c>
      <c r="AB233" s="6" t="str">
        <v>Other Software (inq. Games)</v>
      </c>
      <c r="AC233" s="8">
        <v>6.8</v>
      </c>
      <c r="AD233" s="7">
        <f>=DATE(2002,8,6)</f>
        <v>37473.99949074074</v>
      </c>
      <c r="AH233" s="6" t="str">
        <v>True</v>
      </c>
      <c r="AJ233" s="6" t="str">
        <v>Intended</v>
      </c>
      <c r="AM233" s="6" t="str">
        <v>Privately Negotiated Purchase;Repurchase</v>
      </c>
      <c r="AN233" s="8">
        <v>101.555</v>
      </c>
      <c r="AO233" s="6" t="str">
        <v>US - In August 2002, the board of Scansoft Inc (SS), a developer of scanning software, and a majority-owned unit of Visioneer Inc, authorized the repurchase of up to $6.8 mil of its common stock outstanding, from Lernout &amp; Hauspie Speech Products NV (LH), in a privately negotiated transaction. The transaction was to provide for the orderly disposition of shares that were issued as part of SS's acquisition of the speech and language business of LH.</v>
      </c>
    </row>
    <row r="234">
      <c r="A234" s="6" t="str">
        <v>594918</v>
      </c>
      <c r="B234" s="6" t="str">
        <v>United States</v>
      </c>
      <c r="C234" s="6" t="str">
        <v>Microsoft Corp</v>
      </c>
      <c r="D234" s="6" t="str">
        <v>Microsoft Corp</v>
      </c>
      <c r="F234" s="6" t="str">
        <v>United States</v>
      </c>
      <c r="G234" s="6" t="str">
        <v>XDegrees Inc</v>
      </c>
      <c r="H234" s="6" t="str">
        <v>Prepackaged Software</v>
      </c>
      <c r="I234" s="6" t="str">
        <v>98449W</v>
      </c>
      <c r="J234" s="6" t="str">
        <v>XDegrees Inc</v>
      </c>
      <c r="K234" s="6" t="str">
        <v>XDegrees Inc</v>
      </c>
      <c r="L234" s="7">
        <f>=DATE(2002,9,10)</f>
        <v>37508.99949074074</v>
      </c>
      <c r="M234" s="7">
        <f>=DATE(2002,9,10)</f>
        <v>37508.99949074074</v>
      </c>
      <c r="W234" s="6" t="str">
        <v>Applications Software(Business;Computer Consulting Services;Monitors/Terminals;Internet Services &amp; Software;Operating Systems;Other Peripherals</v>
      </c>
      <c r="X234" s="6" t="str">
        <v>Other Software (inq. Games)</v>
      </c>
      <c r="Y234" s="6" t="str">
        <v>Other Software (inq. Games)</v>
      </c>
      <c r="Z234" s="6" t="str">
        <v>Other Software (inq. Games)</v>
      </c>
      <c r="AA234" s="6" t="str">
        <v>Monitors/Terminals;Applications Software(Business;Computer Consulting Services;Internet Services &amp; Software;Operating Systems;Other Peripherals</v>
      </c>
      <c r="AB234" s="6" t="str">
        <v>Operating Systems;Other Peripherals;Computer Consulting Services;Internet Services &amp; Software;Monitors/Terminals;Applications Software(Business</v>
      </c>
      <c r="AH234" s="6" t="str">
        <v>False</v>
      </c>
      <c r="AI234" s="6" t="str">
        <v>2002</v>
      </c>
      <c r="AJ234" s="6" t="str">
        <v>Completed</v>
      </c>
      <c r="AM234" s="6" t="str">
        <v>Not Applicable</v>
      </c>
      <c r="AO234" s="6" t="str">
        <v>US - Microsoft Corp acquired XDegrees Inc, a developer of security software. Terms were not disclosed.</v>
      </c>
    </row>
    <row r="235">
      <c r="A235" s="6" t="str">
        <v>594918</v>
      </c>
      <c r="B235" s="6" t="str">
        <v>United States</v>
      </c>
      <c r="C235" s="6" t="str">
        <v>Microsoft Corp</v>
      </c>
      <c r="D235" s="6" t="str">
        <v>Microsoft Corp</v>
      </c>
      <c r="F235" s="6" t="str">
        <v>United Kingdom</v>
      </c>
      <c r="G235" s="6" t="str">
        <v>Rare Ltd</v>
      </c>
      <c r="H235" s="6" t="str">
        <v>Prepackaged Software</v>
      </c>
      <c r="I235" s="6" t="str">
        <v>75390P</v>
      </c>
      <c r="J235" s="6" t="str">
        <v>Rare Ltd</v>
      </c>
      <c r="K235" s="6" t="str">
        <v>Rare Ltd</v>
      </c>
      <c r="L235" s="7">
        <f>=DATE(2002,9,24)</f>
        <v>37522.99949074074</v>
      </c>
      <c r="M235" s="7">
        <f>=DATE(2002,9,24)</f>
        <v>37522.99949074074</v>
      </c>
      <c r="N235" s="8">
        <v>376.839037466492</v>
      </c>
      <c r="O235" s="8">
        <v>376.839037466492</v>
      </c>
      <c r="W235" s="6" t="str">
        <v>Monitors/Terminals;Applications Software(Business;Internet Services &amp; Software;Other Peripherals;Computer Consulting Services;Operating Systems</v>
      </c>
      <c r="X235" s="6" t="str">
        <v>Other Software (inq. Games)</v>
      </c>
      <c r="Y235" s="6" t="str">
        <v>Other Software (inq. Games)</v>
      </c>
      <c r="Z235" s="6" t="str">
        <v>Other Software (inq. Games)</v>
      </c>
      <c r="AA235" s="6" t="str">
        <v>Internet Services &amp; Software;Monitors/Terminals;Operating Systems;Applications Software(Business;Other Peripherals;Computer Consulting Services</v>
      </c>
      <c r="AB235" s="6" t="str">
        <v>Other Peripherals;Applications Software(Business;Monitors/Terminals;Computer Consulting Services;Internet Services &amp; Software;Operating Systems</v>
      </c>
      <c r="AC235" s="8">
        <v>376.839037466492</v>
      </c>
      <c r="AD235" s="7">
        <f>=DATE(2002,9,24)</f>
        <v>37522.99949074074</v>
      </c>
      <c r="AF235" s="8" t="str">
        <v>376.84</v>
      </c>
      <c r="AG235" s="8" t="str">
        <v>376.84</v>
      </c>
      <c r="AH235" s="6" t="str">
        <v>False</v>
      </c>
      <c r="AI235" s="6" t="str">
        <v>2002</v>
      </c>
      <c r="AJ235" s="6" t="str">
        <v>Completed</v>
      </c>
      <c r="AM235" s="6" t="str">
        <v>Not Applicable</v>
      </c>
      <c r="AO235" s="6" t="str">
        <v>UK - Microsoft Corp acquired Rare Ltd, a developer of video games, for 241.795 mil pounds ($375 mil US) in cash. Rare was 49% owned by Nintendo Co Ltd, with 51% privately-held.</v>
      </c>
    </row>
    <row r="236">
      <c r="A236" s="6" t="str">
        <v>80609W</v>
      </c>
      <c r="B236" s="6" t="str">
        <v>United States</v>
      </c>
      <c r="C236" s="6" t="str">
        <v>ScanSoft Inc</v>
      </c>
      <c r="D236" s="6" t="str">
        <v>ScanSoft Inc</v>
      </c>
      <c r="F236" s="6" t="str">
        <v>Netherlands</v>
      </c>
      <c r="G236" s="6" t="str">
        <v>Royal Philips Electronics- Speech-processing,voice contro</v>
      </c>
      <c r="H236" s="6" t="str">
        <v>Construction Firms</v>
      </c>
      <c r="I236" s="6" t="str">
        <v>78065R</v>
      </c>
      <c r="J236" s="6" t="str">
        <v>Koninklijke Philips Electronics NV</v>
      </c>
      <c r="K236" s="6" t="str">
        <v>Koninklijke Philips Electronics NV</v>
      </c>
      <c r="L236" s="7">
        <f>=DATE(2002,10,8)</f>
        <v>37536.99949074074</v>
      </c>
      <c r="M236" s="7">
        <f>=DATE(2003,1,31)</f>
        <v>37651.99949074074</v>
      </c>
      <c r="N236" s="8">
        <v>35.5199528209161</v>
      </c>
      <c r="O236" s="8">
        <v>35.5199528209161</v>
      </c>
      <c r="R236" s="8">
        <v>-13.9668236739709</v>
      </c>
      <c r="S236" s="8">
        <v>16.642477450605</v>
      </c>
      <c r="T236" s="8">
        <v>12.131954</v>
      </c>
      <c r="U236" s="8">
        <v>-0.1791714</v>
      </c>
      <c r="V236" s="8">
        <v>-12.7452372</v>
      </c>
      <c r="W236" s="6" t="str">
        <v>Other Software (inq. Games)</v>
      </c>
      <c r="X236" s="6" t="str">
        <v>Data Processing Services;Primary Business not Hi-Tech</v>
      </c>
      <c r="Y236" s="6" t="str">
        <v>Other Telecommunications Equip;Medical Monitoring Systems;Medical Imaging Systems;Other Electronics</v>
      </c>
      <c r="Z236" s="6" t="str">
        <v>Other Electronics;Medical Monitoring Systems;Medical Imaging Systems;Other Telecommunications Equip</v>
      </c>
      <c r="AA236" s="6" t="str">
        <v>Other Software (inq. Games)</v>
      </c>
      <c r="AB236" s="6" t="str">
        <v>Other Software (inq. Games)</v>
      </c>
      <c r="AC236" s="8">
        <v>35.5199528209161</v>
      </c>
      <c r="AD236" s="7">
        <f>=DATE(2002,10,8)</f>
        <v>37536.99949074074</v>
      </c>
      <c r="AH236" s="6" t="str">
        <v>True</v>
      </c>
      <c r="AI236" s="6" t="str">
        <v>2003</v>
      </c>
      <c r="AJ236" s="6" t="str">
        <v>Completed</v>
      </c>
      <c r="AM236" s="6" t="str">
        <v>Divestiture</v>
      </c>
      <c r="AN236" s="8">
        <v>0.163833708785583</v>
      </c>
      <c r="AO236" s="6" t="str">
        <v>NETHERLANDS - ScanSoft Inc acquired the speech-processing and voice-control units from Royal Philips Electronics NV, for 36.14 mil euros ($35.4 mil US). The consideration consisted of 3.06 mil euros ($3 mil US) in cash, 5.002 mil euros ($4.9 mil US) in 5% interest notes due Dec. 31.2003, 28.07 mil euros ($27.5 mil US) three year, zero interest convertible bond, convertible into common shares of ScanSoft at $6 a share.</v>
      </c>
    </row>
    <row r="237">
      <c r="A237" s="6" t="str">
        <v>302125</v>
      </c>
      <c r="B237" s="6" t="str">
        <v>United States</v>
      </c>
      <c r="C237" s="6" t="str">
        <v>Expedia Inc</v>
      </c>
      <c r="D237" s="6" t="str">
        <v>USA Interactive</v>
      </c>
      <c r="F237" s="6" t="str">
        <v>Canada</v>
      </c>
      <c r="G237" s="6" t="str">
        <v>Newtrade Technologies Inc</v>
      </c>
      <c r="H237" s="6" t="str">
        <v>Prepackaged Software</v>
      </c>
      <c r="I237" s="6" t="str">
        <v>65322V</v>
      </c>
      <c r="J237" s="6" t="str">
        <v>Newtrade Technologies Inc</v>
      </c>
      <c r="K237" s="6" t="str">
        <v>Newtrade Technologies Inc</v>
      </c>
      <c r="L237" s="7">
        <f>=DATE(2002,10,16)</f>
        <v>37544.99949074074</v>
      </c>
      <c r="M237" s="7">
        <f>=DATE(2002,10,28)</f>
        <v>37556.99949074074</v>
      </c>
      <c r="W237" s="6" t="str">
        <v>Internet Services &amp; Software</v>
      </c>
      <c r="X237" s="6" t="str">
        <v>Communication/Network Software;Internet Services &amp; Software</v>
      </c>
      <c r="Y237" s="6" t="str">
        <v>Internet Services &amp; Software;Communication/Network Software</v>
      </c>
      <c r="Z237" s="6" t="str">
        <v>Communication/Network Software;Internet Services &amp; Software</v>
      </c>
      <c r="AA237" s="6" t="str">
        <v>Internet Services &amp; Software</v>
      </c>
      <c r="AB237" s="6" t="str">
        <v>Internet Services &amp; Software</v>
      </c>
      <c r="AH237" s="6" t="str">
        <v>False</v>
      </c>
      <c r="AI237" s="6" t="str">
        <v>2002</v>
      </c>
      <c r="AJ237" s="6" t="str">
        <v>Completed</v>
      </c>
      <c r="AM237" s="6" t="str">
        <v>Not Applicable</v>
      </c>
      <c r="AO237" s="6" t="str">
        <v>CANADA - Expedia Inc, a unit of USA Networks acquired Newtrade Technologies Inc, a developer of reservation software. Terms were not disclosed.</v>
      </c>
    </row>
    <row r="238">
      <c r="A238" s="6" t="str">
        <v>594918</v>
      </c>
      <c r="B238" s="6" t="str">
        <v>United States</v>
      </c>
      <c r="C238" s="6" t="str">
        <v>Microsoft Corp</v>
      </c>
      <c r="D238" s="6" t="str">
        <v>Microsoft Corp</v>
      </c>
      <c r="E238" s="6" t="str">
        <v>Mercanti Systems Inc(Moloco)</v>
      </c>
      <c r="F238" s="6" t="str">
        <v>United States</v>
      </c>
      <c r="G238" s="6" t="str">
        <v>Vicinity Corp</v>
      </c>
      <c r="H238" s="6" t="str">
        <v>Business Services</v>
      </c>
      <c r="I238" s="6" t="str">
        <v>925653</v>
      </c>
      <c r="J238" s="6" t="str">
        <v>Vicinity Corp</v>
      </c>
      <c r="K238" s="6" t="str">
        <v>Vicinity Corp</v>
      </c>
      <c r="L238" s="7">
        <f>=DATE(2002,10,22)</f>
        <v>37550.99949074074</v>
      </c>
      <c r="M238" s="7">
        <f>=DATE(2002,12,13)</f>
        <v>37602.99949074074</v>
      </c>
      <c r="N238" s="8">
        <v>95.849</v>
      </c>
      <c r="O238" s="8">
        <v>95.849</v>
      </c>
      <c r="P238" s="8" t="str">
        <v>11.69</v>
      </c>
      <c r="Q238" s="8" t="str">
        <v>75.75</v>
      </c>
      <c r="R238" s="8">
        <v>-12.583</v>
      </c>
      <c r="S238" s="8">
        <v>17.737</v>
      </c>
      <c r="T238" s="8">
        <v>-2.747</v>
      </c>
      <c r="U238" s="8">
        <v>9.29</v>
      </c>
      <c r="V238" s="8">
        <v>-6.2</v>
      </c>
      <c r="W238" s="6" t="str">
        <v>Applications Software(Business;Monitors/Terminals;Other Peripherals;Operating Systems;Computer Consulting Services;Internet Services &amp; Software</v>
      </c>
      <c r="X238" s="6" t="str">
        <v>Communication/Network Software;Other Computer Related Svcs;Applications Software(Business;Internet Services &amp; Software;Utilities/File Mgmt Software;Networking Systems (LAN,WAN)</v>
      </c>
      <c r="Y238" s="6" t="str">
        <v>Other Computer Related Svcs;Communication/Network Software;Internet Services &amp; Software;Utilities/File Mgmt Software;Networking Systems (LAN,WAN);Applications Software(Business</v>
      </c>
      <c r="Z238" s="6" t="str">
        <v>Utilities/File Mgmt Software;Internet Services &amp; Software;Communication/Network Software;Other Computer Related Svcs;Applications Software(Business;Networking Systems (LAN,WAN)</v>
      </c>
      <c r="AA238" s="6" t="str">
        <v>Operating Systems;Internet Services &amp; Software;Computer Consulting Services;Applications Software(Business;Monitors/Terminals;Other Peripherals</v>
      </c>
      <c r="AB238" s="6" t="str">
        <v>Computer Consulting Services;Applications Software(Business;Monitors/Terminals;Internet Services &amp; Software;Operating Systems;Other Peripherals</v>
      </c>
      <c r="AC238" s="8">
        <v>95.849</v>
      </c>
      <c r="AD238" s="7">
        <f>=DATE(2002,10,22)</f>
        <v>37550.99949074074</v>
      </c>
      <c r="AE238" s="8">
        <v>102.54064005</v>
      </c>
      <c r="AF238" s="8" t="str">
        <v>12.28</v>
      </c>
      <c r="AG238" s="8" t="str">
        <v>11.69</v>
      </c>
      <c r="AH238" s="6" t="str">
        <v>True</v>
      </c>
      <c r="AI238" s="6" t="str">
        <v>2002</v>
      </c>
      <c r="AJ238" s="6" t="str">
        <v>Completed</v>
      </c>
      <c r="AK238" s="8">
        <v>102.54064005</v>
      </c>
      <c r="AL238" s="8">
        <v>30.792985</v>
      </c>
      <c r="AM238" s="6" t="str">
        <v>Not Applicable</v>
      </c>
      <c r="AN238" s="8">
        <v>1.658</v>
      </c>
      <c r="AO238" s="6" t="str">
        <v>US - Microsoft Corp (MS) acquired all the outstanding common stock of Vicinity Corp (VC), a provider of online enterprise location services, for $3.33 in cash per share, or a total value of $95.849 mil. Upon completion VC was to be merged into the MapPoint unit of MS. Previously Mercanti Systems Inc, a unit of Moloco LLC (ML), made an unsolicited offer to acquire the remaining 93.76%, or 23.04 mil common shares, which it did not already own, VC.</v>
      </c>
    </row>
    <row r="239">
      <c r="A239" s="6" t="str">
        <v>00453N</v>
      </c>
      <c r="B239" s="6" t="str">
        <v>United States</v>
      </c>
      <c r="C239" s="6" t="str">
        <v>Accipiter Solutions Inc</v>
      </c>
      <c r="D239" s="6" t="str">
        <v>Accipiter Solutions Inc</v>
      </c>
      <c r="F239" s="6" t="str">
        <v>United States</v>
      </c>
      <c r="G239" s="6" t="str">
        <v>Engage Inc-Internet Advertising Business</v>
      </c>
      <c r="H239" s="6" t="str">
        <v>Advertising Services</v>
      </c>
      <c r="I239" s="6" t="str">
        <v>29323W</v>
      </c>
      <c r="J239" s="6" t="str">
        <v>Engage Inc</v>
      </c>
      <c r="K239" s="6" t="str">
        <v>Engage Inc</v>
      </c>
      <c r="L239" s="7">
        <f>=DATE(2002,11,6)</f>
        <v>37565.99949074074</v>
      </c>
      <c r="M239" s="7">
        <f>=DATE(2002,11,6)</f>
        <v>37565.99949074074</v>
      </c>
      <c r="W239" s="6" t="str">
        <v>Internet Services &amp; Software</v>
      </c>
      <c r="X239" s="6" t="str">
        <v>Internet Services &amp; Software</v>
      </c>
      <c r="Y239" s="6" t="str">
        <v>Applications Software(Business</v>
      </c>
      <c r="Z239" s="6" t="str">
        <v>Applications Software(Business</v>
      </c>
      <c r="AA239" s="6" t="str">
        <v>Internet Services &amp; Software</v>
      </c>
      <c r="AB239" s="6" t="str">
        <v>Internet Services &amp; Software</v>
      </c>
      <c r="AH239" s="6" t="str">
        <v>False</v>
      </c>
      <c r="AI239" s="6" t="str">
        <v>2002</v>
      </c>
      <c r="AJ239" s="6" t="str">
        <v>Completed</v>
      </c>
      <c r="AM239" s="6" t="str">
        <v>Divestiture</v>
      </c>
      <c r="AO239" s="6" t="str">
        <v>US - Accipiter Solutions Inc(AS) acquired the Internet advertising business of Engage Inc, a developer of Internet marketing software. As part of the transaction, AS issued a warrant to purchase up to 10% of the shares of AS stock at the time of exercise.</v>
      </c>
    </row>
    <row r="240">
      <c r="A240" s="6" t="str">
        <v>594918</v>
      </c>
      <c r="B240" s="6" t="str">
        <v>United States</v>
      </c>
      <c r="C240" s="6" t="str">
        <v>Microsoft Corp</v>
      </c>
      <c r="D240" s="6" t="str">
        <v>Microsoft Corp</v>
      </c>
      <c r="F240" s="6" t="str">
        <v>United States</v>
      </c>
      <c r="G240" s="6" t="str">
        <v>PlaceWare Inc</v>
      </c>
      <c r="H240" s="6" t="str">
        <v>Business Services</v>
      </c>
      <c r="I240" s="6" t="str">
        <v>72605H</v>
      </c>
      <c r="J240" s="6" t="str">
        <v>PlaceWare Inc</v>
      </c>
      <c r="K240" s="6" t="str">
        <v>PlaceWare Inc</v>
      </c>
      <c r="L240" s="7">
        <f>=DATE(2003,1,21)</f>
        <v>37641.99949074074</v>
      </c>
      <c r="M240" s="7">
        <f>=DATE(2003,4,30)</f>
        <v>37740.99949074074</v>
      </c>
      <c r="N240" s="8">
        <v>200</v>
      </c>
      <c r="O240" s="8">
        <v>200</v>
      </c>
      <c r="W240" s="6" t="str">
        <v>Other Peripherals;Applications Software(Business;Monitors/Terminals;Internet Services &amp; Software;Computer Consulting Services;Operating Systems</v>
      </c>
      <c r="X240" s="6" t="str">
        <v>Internet Services &amp; Software</v>
      </c>
      <c r="Y240" s="6" t="str">
        <v>Internet Services &amp; Software</v>
      </c>
      <c r="Z240" s="6" t="str">
        <v>Internet Services &amp; Software</v>
      </c>
      <c r="AA240" s="6" t="str">
        <v>Operating Systems;Applications Software(Business;Internet Services &amp; Software;Other Peripherals;Monitors/Terminals;Computer Consulting Services</v>
      </c>
      <c r="AB240" s="6" t="str">
        <v>Monitors/Terminals;Applications Software(Business;Computer Consulting Services;Operating Systems;Internet Services &amp; Software;Other Peripherals</v>
      </c>
      <c r="AC240" s="8">
        <v>200</v>
      </c>
      <c r="AD240" s="7">
        <f>=DATE(2003,1,31)</f>
        <v>37651.99949074074</v>
      </c>
      <c r="AH240" s="6" t="str">
        <v>False</v>
      </c>
      <c r="AI240" s="6" t="str">
        <v>2003</v>
      </c>
      <c r="AJ240" s="6" t="str">
        <v>Completed</v>
      </c>
      <c r="AM240" s="6" t="str">
        <v>Not Applicable</v>
      </c>
      <c r="AO240" s="6" t="str">
        <v>US - Microsoft Corp (MC) acquired PlaceWare Inc (PW), a provider of web conferencing services, for an estimated $200 mil. Upon completion, PW was to integrated into MC's information worker business as Real Time Collaboration Group.</v>
      </c>
    </row>
    <row r="241">
      <c r="A241" s="6" t="str">
        <v>38259P</v>
      </c>
      <c r="B241" s="6" t="str">
        <v>United States</v>
      </c>
      <c r="C241" s="6" t="str">
        <v>Google Inc</v>
      </c>
      <c r="D241" s="6" t="str">
        <v>Alphabet Inc</v>
      </c>
      <c r="F241" s="6" t="str">
        <v>United States</v>
      </c>
      <c r="G241" s="6" t="str">
        <v>Pyra Labs</v>
      </c>
      <c r="H241" s="6" t="str">
        <v>Prepackaged Software</v>
      </c>
      <c r="I241" s="6" t="str">
        <v>74806F</v>
      </c>
      <c r="J241" s="6" t="str">
        <v>Pyra Labs</v>
      </c>
      <c r="K241" s="6" t="str">
        <v>Pyra Labs</v>
      </c>
      <c r="L241" s="7">
        <f>=DATE(2003,2,15)</f>
        <v>37666.99949074074</v>
      </c>
      <c r="M241" s="7">
        <f>=DATE(2003,2,15)</f>
        <v>37666.99949074074</v>
      </c>
      <c r="W241" s="6" t="str">
        <v>Internet Services &amp; Software</v>
      </c>
      <c r="X241" s="6" t="str">
        <v>Other Software (inq. Games)</v>
      </c>
      <c r="Y241" s="6" t="str">
        <v>Other Software (inq. Games)</v>
      </c>
      <c r="Z241" s="6" t="str">
        <v>Other Software (inq. Games)</v>
      </c>
      <c r="AA241" s="6" t="str">
        <v>Primary Business not Hi-Tech;Internet Services &amp; Software;Computer Consulting Services;Telecommunications Equipment;Programming Services</v>
      </c>
      <c r="AB241" s="6" t="str">
        <v>Computer Consulting Services;Programming Services;Telecommunications Equipment;Primary Business not Hi-Tech;Internet Services &amp; Software</v>
      </c>
      <c r="AH241" s="6" t="str">
        <v>False</v>
      </c>
      <c r="AI241" s="6" t="str">
        <v>2003</v>
      </c>
      <c r="AJ241" s="6" t="str">
        <v>Completed</v>
      </c>
      <c r="AM241" s="6" t="str">
        <v>Financial Acquiror</v>
      </c>
      <c r="AO241" s="6" t="str">
        <v>US - Google Inc acquired Pyra Labs, a developer of Internet search engine. Terms were not disclosed .</v>
      </c>
    </row>
    <row r="242">
      <c r="A242" s="6" t="str">
        <v>594918</v>
      </c>
      <c r="B242" s="6" t="str">
        <v>United States</v>
      </c>
      <c r="C242" s="6" t="str">
        <v>Microsoft Corp</v>
      </c>
      <c r="D242" s="6" t="str">
        <v>Microsoft Corp</v>
      </c>
      <c r="F242" s="6" t="str">
        <v>United States</v>
      </c>
      <c r="G242" s="6" t="str">
        <v>Connectix Corp-Assets</v>
      </c>
      <c r="H242" s="6" t="str">
        <v>Prepackaged Software</v>
      </c>
      <c r="I242" s="6" t="str">
        <v>20788Q</v>
      </c>
      <c r="J242" s="6" t="str">
        <v>Microsoft Corp</v>
      </c>
      <c r="K242" s="6" t="str">
        <v>Microsoft Corp</v>
      </c>
      <c r="L242" s="7">
        <f>=DATE(2003,2,25)</f>
        <v>37676.99949074074</v>
      </c>
      <c r="M242" s="7">
        <f>=DATE(2003,2,25)</f>
        <v>37676.99949074074</v>
      </c>
      <c r="W242" s="6" t="str">
        <v>Applications Software(Business;Internet Services &amp; Software;Computer Consulting Services;Other Peripherals;Monitors/Terminals;Operating Systems</v>
      </c>
      <c r="X242" s="6" t="str">
        <v>Other Software (inq. Games)</v>
      </c>
      <c r="Y242" s="6" t="str">
        <v>Internet Services &amp; Software;Applications Software(Business;Computer Consulting Services;Monitors/Terminals;Other Peripherals;Operating Systems</v>
      </c>
      <c r="Z242" s="6" t="str">
        <v>Operating Systems;Applications Software(Business;Computer Consulting Services;Other Peripherals;Internet Services &amp; Software;Monitors/Terminals</v>
      </c>
      <c r="AA242" s="6" t="str">
        <v>Computer Consulting Services;Internet Services &amp; Software;Operating Systems;Other Peripherals;Monitors/Terminals;Applications Software(Business</v>
      </c>
      <c r="AB242" s="6" t="str">
        <v>Computer Consulting Services;Internet Services &amp; Software;Monitors/Terminals;Operating Systems;Applications Software(Business;Other Peripherals</v>
      </c>
      <c r="AH242" s="6" t="str">
        <v>False</v>
      </c>
      <c r="AI242" s="6" t="str">
        <v>2003</v>
      </c>
      <c r="AJ242" s="6" t="str">
        <v>Completed</v>
      </c>
      <c r="AM242" s="6" t="str">
        <v>Divestiture</v>
      </c>
      <c r="AO242" s="6" t="str">
        <v>US - Microsoft Corp acquired the assets of Connectix Corp, a developer of software. Terms were not disclosed.</v>
      </c>
    </row>
    <row r="243">
      <c r="A243" s="6" t="str">
        <v>01864J</v>
      </c>
      <c r="B243" s="6" t="str">
        <v>United States</v>
      </c>
      <c r="C243" s="6" t="str">
        <v>Avanade Inc</v>
      </c>
      <c r="D243" s="6" t="str">
        <v>Microsoft Corp</v>
      </c>
      <c r="F243" s="6" t="str">
        <v>Australia</v>
      </c>
      <c r="G243" s="6" t="str">
        <v>DCG Pty Ltd</v>
      </c>
      <c r="H243" s="6" t="str">
        <v>Prepackaged Software</v>
      </c>
      <c r="I243" s="6" t="str">
        <v>23525Z</v>
      </c>
      <c r="J243" s="6" t="str">
        <v>DCG Pty Ltd</v>
      </c>
      <c r="K243" s="6" t="str">
        <v>DCG Pty Ltd</v>
      </c>
      <c r="L243" s="7">
        <f>=DATE(2003,3,3)</f>
        <v>37682.99949074074</v>
      </c>
      <c r="M243" s="7">
        <f>=DATE(2003,3,3)</f>
        <v>37682.99949074074</v>
      </c>
      <c r="W243" s="6" t="str">
        <v>Other Computer Related Svcs;Computer Consulting Services;Other Software (inq. Games)</v>
      </c>
      <c r="X243" s="6" t="str">
        <v>Communication/Network Software;Internet Services &amp; Software</v>
      </c>
      <c r="Y243" s="6" t="str">
        <v>Communication/Network Software;Internet Services &amp; Software</v>
      </c>
      <c r="Z243" s="6" t="str">
        <v>Communication/Network Software;Internet Services &amp; Software</v>
      </c>
      <c r="AA243" s="6" t="str">
        <v>Monitors/Terminals;Other Peripherals;Internet Services &amp; Software;Operating Systems;Computer Consulting Services;Applications Software(Business</v>
      </c>
      <c r="AB243" s="6" t="str">
        <v>Applications Software(Business;Monitors/Terminals;Operating Systems;Computer Consulting Services;Other Peripherals;Internet Services &amp; Software</v>
      </c>
      <c r="AH243" s="6" t="str">
        <v>False</v>
      </c>
      <c r="AI243" s="6" t="str">
        <v>2003</v>
      </c>
      <c r="AJ243" s="6" t="str">
        <v>Completed</v>
      </c>
      <c r="AM243" s="6" t="str">
        <v>Not Applicable</v>
      </c>
      <c r="AO243" s="6" t="str">
        <v>AUSTRALIA - Avanade Inc of the US, a joint venture between Microsoft Corp and Accenture Ltd, acquired DCG Pty Ltd, an internet software developer.</v>
      </c>
    </row>
    <row r="244">
      <c r="A244" s="6" t="str">
        <v>92586F</v>
      </c>
      <c r="B244" s="6" t="str">
        <v>United States</v>
      </c>
      <c r="C244" s="6" t="str">
        <v>Vicarious Visions Inc</v>
      </c>
      <c r="D244" s="6" t="str">
        <v>Vicarious Visions Inc</v>
      </c>
      <c r="F244" s="6" t="str">
        <v>United States</v>
      </c>
      <c r="G244" s="6" t="str">
        <v>Intrinsic Graphics Inc</v>
      </c>
      <c r="H244" s="6" t="str">
        <v>Prepackaged Software</v>
      </c>
      <c r="I244" s="6" t="str">
        <v>46179R</v>
      </c>
      <c r="J244" s="6" t="str">
        <v>Intrinsic Graphics Inc</v>
      </c>
      <c r="K244" s="6" t="str">
        <v>Intrinsic Graphics Inc</v>
      </c>
      <c r="L244" s="7">
        <f>=DATE(2003,4,14)</f>
        <v>37724.99949074074</v>
      </c>
      <c r="M244" s="7">
        <f>=DATE(2003,7,1)</f>
        <v>37802.99949074074</v>
      </c>
      <c r="W244" s="6" t="str">
        <v>Other Software (inq. Games)</v>
      </c>
      <c r="X244" s="6" t="str">
        <v>Other Software (inq. Games)</v>
      </c>
      <c r="Y244" s="6" t="str">
        <v>Other Software (inq. Games)</v>
      </c>
      <c r="Z244" s="6" t="str">
        <v>Other Software (inq. Games)</v>
      </c>
      <c r="AA244" s="6" t="str">
        <v>Other Software (inq. Games)</v>
      </c>
      <c r="AB244" s="6" t="str">
        <v>Other Software (inq. Games)</v>
      </c>
      <c r="AH244" s="6" t="str">
        <v>True</v>
      </c>
      <c r="AI244" s="6" t="str">
        <v>2003</v>
      </c>
      <c r="AJ244" s="6" t="str">
        <v>Completed</v>
      </c>
      <c r="AM244" s="6" t="str">
        <v>Not Applicable</v>
      </c>
      <c r="AO244" s="6" t="str">
        <v>US - In April 2003, Vicarious Visions Inc acquired Intrinsic Graphics Inc, a developer of computer game software. Terms of the transaction were not disclosed.</v>
      </c>
    </row>
    <row r="245">
      <c r="A245" s="6" t="str">
        <v>38259P</v>
      </c>
      <c r="B245" s="6" t="str">
        <v>United States</v>
      </c>
      <c r="C245" s="6" t="str">
        <v>Google Inc</v>
      </c>
      <c r="D245" s="6" t="str">
        <v>Alphabet Inc</v>
      </c>
      <c r="F245" s="6" t="str">
        <v>United States</v>
      </c>
      <c r="G245" s="6" t="str">
        <v>Applied Semantics Inc</v>
      </c>
      <c r="H245" s="6" t="str">
        <v>Prepackaged Software</v>
      </c>
      <c r="I245" s="6" t="str">
        <v>03869H</v>
      </c>
      <c r="J245" s="6" t="str">
        <v>Applied Semantics Inc</v>
      </c>
      <c r="K245" s="6" t="str">
        <v>Applied Semantics Inc</v>
      </c>
      <c r="L245" s="7">
        <f>=DATE(2003,4,23)</f>
        <v>37733.99949074074</v>
      </c>
      <c r="M245" s="7">
        <f>=DATE(2003,4,23)</f>
        <v>37733.99949074074</v>
      </c>
      <c r="W245" s="6" t="str">
        <v>Internet Services &amp; Software</v>
      </c>
      <c r="X245" s="6" t="str">
        <v>Applications Software(Business</v>
      </c>
      <c r="Y245" s="6" t="str">
        <v>Applications Software(Business</v>
      </c>
      <c r="Z245" s="6" t="str">
        <v>Applications Software(Business</v>
      </c>
      <c r="AA245" s="6" t="str">
        <v>Computer Consulting Services;Telecommunications Equipment;Internet Services &amp; Software;Primary Business not Hi-Tech;Programming Services</v>
      </c>
      <c r="AB245" s="6" t="str">
        <v>Primary Business not Hi-Tech;Programming Services;Internet Services &amp; Software;Telecommunications Equipment;Computer Consulting Services</v>
      </c>
      <c r="AH245" s="6" t="str">
        <v>False</v>
      </c>
      <c r="AI245" s="6" t="str">
        <v>2003</v>
      </c>
      <c r="AJ245" s="6" t="str">
        <v>Completed</v>
      </c>
      <c r="AM245" s="6" t="str">
        <v>Financial Acquiror</v>
      </c>
      <c r="AO245" s="6" t="str">
        <v>US - Google Inc acquired Applied Semantics Inc, a developer of software for online advertising.</v>
      </c>
    </row>
    <row r="246">
      <c r="A246" s="6" t="str">
        <v>01864J</v>
      </c>
      <c r="B246" s="6" t="str">
        <v>United States</v>
      </c>
      <c r="C246" s="6" t="str">
        <v>Avanade Inc</v>
      </c>
      <c r="D246" s="6" t="str">
        <v>Microsoft Corp</v>
      </c>
      <c r="F246" s="6" t="str">
        <v>United States</v>
      </c>
      <c r="G246" s="6" t="str">
        <v>G.A. Sullivan</v>
      </c>
      <c r="H246" s="6" t="str">
        <v>Prepackaged Software</v>
      </c>
      <c r="I246" s="6" t="str">
        <v>36301T</v>
      </c>
      <c r="J246" s="6" t="str">
        <v>G.A. Sullivan</v>
      </c>
      <c r="K246" s="6" t="str">
        <v>G.A. Sullivan</v>
      </c>
      <c r="L246" s="7">
        <f>=DATE(2003,5,27)</f>
        <v>37767.99949074074</v>
      </c>
      <c r="M246" s="7">
        <f>=DATE(2003,5,27)</f>
        <v>37767.99949074074</v>
      </c>
      <c r="W246" s="6" t="str">
        <v>Computer Consulting Services;Other Software (inq. Games);Other Computer Related Svcs</v>
      </c>
      <c r="X246" s="6" t="str">
        <v>Applications Software(Business;Other Software (inq. Games);Other Computer Related Svcs;Other Computer Systems</v>
      </c>
      <c r="Y246" s="6" t="str">
        <v>Other Computer Related Svcs;Other Software (inq. Games);Applications Software(Business;Other Computer Systems</v>
      </c>
      <c r="Z246" s="6" t="str">
        <v>Other Computer Systems;Other Computer Related Svcs;Other Software (inq. Games);Applications Software(Business</v>
      </c>
      <c r="AA246" s="6" t="str">
        <v>Monitors/Terminals;Computer Consulting Services;Other Peripherals;Internet Services &amp; Software;Operating Systems;Applications Software(Business</v>
      </c>
      <c r="AB246" s="6" t="str">
        <v>Computer Consulting Services;Monitors/Terminals;Applications Software(Business;Other Peripherals;Internet Services &amp; Software;Operating Systems</v>
      </c>
      <c r="AH246" s="6" t="str">
        <v>False</v>
      </c>
      <c r="AI246" s="6" t="str">
        <v>2003</v>
      </c>
      <c r="AJ246" s="6" t="str">
        <v>Completed</v>
      </c>
      <c r="AM246" s="6" t="str">
        <v>Not Applicable</v>
      </c>
      <c r="AO246" s="6" t="str">
        <v>US - Avanade Inc, a joint venture between Microsoft Corp and Accenture Ltd, acquired G.A. Sullivan, a provider of information technology solutions services. Terms were not disclosed.</v>
      </c>
    </row>
    <row r="247">
      <c r="A247" s="6" t="str">
        <v>594918</v>
      </c>
      <c r="B247" s="6" t="str">
        <v>United States</v>
      </c>
      <c r="C247" s="6" t="str">
        <v>Microsoft Corp</v>
      </c>
      <c r="D247" s="6" t="str">
        <v>Microsoft Corp</v>
      </c>
      <c r="F247" s="6" t="str">
        <v>Romania</v>
      </c>
      <c r="G247" s="6" t="str">
        <v>GeCAD Software srl-Technology Assets</v>
      </c>
      <c r="H247" s="6" t="str">
        <v>Prepackaged Software</v>
      </c>
      <c r="I247" s="6" t="str">
        <v>36834R</v>
      </c>
      <c r="J247" s="6" t="str">
        <v>Gecad Software srl</v>
      </c>
      <c r="K247" s="6" t="str">
        <v>Gecad Software srl</v>
      </c>
      <c r="L247" s="7">
        <f>=DATE(2003,6,10)</f>
        <v>37781.99949074074</v>
      </c>
      <c r="W247" s="6" t="str">
        <v>Operating Systems;Computer Consulting Services;Applications Software(Business;Monitors/Terminals;Other Peripherals;Internet Services &amp; Software</v>
      </c>
      <c r="X247" s="6" t="str">
        <v>Other Software (inq. Games)</v>
      </c>
      <c r="Y247" s="6" t="str">
        <v>Other Software (inq. Games)</v>
      </c>
      <c r="Z247" s="6" t="str">
        <v>Other Software (inq. Games)</v>
      </c>
      <c r="AA247" s="6" t="str">
        <v>Operating Systems;Monitors/Terminals;Other Peripherals;Internet Services &amp; Software;Computer Consulting Services;Applications Software(Business</v>
      </c>
      <c r="AB247" s="6" t="str">
        <v>Computer Consulting Services;Other Peripherals;Monitors/Terminals;Applications Software(Business;Operating Systems;Internet Services &amp; Software</v>
      </c>
      <c r="AH247" s="6" t="str">
        <v>False</v>
      </c>
      <c r="AJ247" s="6" t="str">
        <v>Pending</v>
      </c>
      <c r="AM247" s="6" t="str">
        <v>Divestiture</v>
      </c>
      <c r="AO247" s="6" t="str">
        <v>ROMANIA - Microsoft Corp of the US definitively agreed to acquire the technology assets of GeCAD Software srl, a Bucharest-based developer of software. Terms were not disclosed.</v>
      </c>
    </row>
    <row r="248">
      <c r="A248" s="6" t="str">
        <v>92696Q</v>
      </c>
      <c r="B248" s="6" t="str">
        <v>United States</v>
      </c>
      <c r="C248" s="6" t="str">
        <v>Viecore Inc</v>
      </c>
      <c r="D248" s="6" t="str">
        <v>Viecore Inc</v>
      </c>
      <c r="F248" s="6" t="str">
        <v>United States</v>
      </c>
      <c r="G248" s="6" t="str">
        <v>Unixpros Inc</v>
      </c>
      <c r="H248" s="6" t="str">
        <v>Business Services</v>
      </c>
      <c r="I248" s="6" t="str">
        <v>91535Z</v>
      </c>
      <c r="J248" s="6" t="str">
        <v>Eclipse Networks Inc</v>
      </c>
      <c r="K248" s="6" t="str">
        <v>Eclipse Networks Inc</v>
      </c>
      <c r="L248" s="7">
        <f>=DATE(2003,6,18)</f>
        <v>37789.99949074074</v>
      </c>
      <c r="M248" s="7">
        <f>=DATE(2003,6,18)</f>
        <v>37789.99949074074</v>
      </c>
      <c r="W248" s="6" t="str">
        <v>Database Software/Programming</v>
      </c>
      <c r="X248" s="6" t="str">
        <v>Programming Services;CAD/CAM/CAE/Graphics Systems</v>
      </c>
      <c r="Y248" s="6" t="str">
        <v>Computer Consulting Services</v>
      </c>
      <c r="Z248" s="6" t="str">
        <v>Computer Consulting Services</v>
      </c>
      <c r="AA248" s="6" t="str">
        <v>Database Software/Programming</v>
      </c>
      <c r="AB248" s="6" t="str">
        <v>Database Software/Programming</v>
      </c>
      <c r="AH248" s="6" t="str">
        <v>False</v>
      </c>
      <c r="AI248" s="6" t="str">
        <v>2003</v>
      </c>
      <c r="AJ248" s="6" t="str">
        <v>Completed</v>
      </c>
      <c r="AM248" s="6" t="str">
        <v>Divestiture</v>
      </c>
      <c r="AO248" s="6" t="str">
        <v>US - Viecore Inc acquired Unixpros Inc (UI), a provider of Operations Support Systems and ebusiness services, from Eclipse Networks Inc. On completion, UI was named Viecore Federal System Division Inc.</v>
      </c>
    </row>
    <row r="249">
      <c r="A249" s="6" t="str">
        <v>594918</v>
      </c>
      <c r="B249" s="6" t="str">
        <v>United States</v>
      </c>
      <c r="C249" s="6" t="str">
        <v>Microsoft Corp</v>
      </c>
      <c r="D249" s="6" t="str">
        <v>Microsoft Corp</v>
      </c>
      <c r="F249" s="6" t="str">
        <v>United States</v>
      </c>
      <c r="G249" s="6" t="str">
        <v>3DO Co-High Heat Baseball Product Line</v>
      </c>
      <c r="H249" s="6" t="str">
        <v>Prepackaged Software</v>
      </c>
      <c r="I249" s="6" t="str">
        <v>88573F</v>
      </c>
      <c r="J249" s="6" t="str">
        <v>3DO Co</v>
      </c>
      <c r="K249" s="6" t="str">
        <v>3DO Co</v>
      </c>
      <c r="L249" s="7">
        <f>=DATE(2003,8,29)</f>
        <v>37861.99949074074</v>
      </c>
      <c r="M249" s="7">
        <f>=DATE(2003,8,29)</f>
        <v>37861.99949074074</v>
      </c>
      <c r="N249" s="8">
        <v>0.45</v>
      </c>
      <c r="O249" s="8">
        <v>0.45</v>
      </c>
      <c r="W249" s="6" t="str">
        <v>Operating Systems;Applications Software(Business;Other Peripherals;Monitors/Terminals;Computer Consulting Services;Internet Services &amp; Software</v>
      </c>
      <c r="X249" s="6" t="str">
        <v>Other Software (inq. Games)</v>
      </c>
      <c r="Y249" s="6" t="str">
        <v>Other Software (inq. Games);Other Computer Systems</v>
      </c>
      <c r="Z249" s="6" t="str">
        <v>Other Software (inq. Games);Other Computer Systems</v>
      </c>
      <c r="AA249" s="6" t="str">
        <v>Operating Systems;Internet Services &amp; Software;Monitors/Terminals;Applications Software(Business;Other Peripherals;Computer Consulting Services</v>
      </c>
      <c r="AB249" s="6" t="str">
        <v>Computer Consulting Services;Internet Services &amp; Software;Applications Software(Business;Other Peripherals;Operating Systems;Monitors/Terminals</v>
      </c>
      <c r="AC249" s="8">
        <v>0.45</v>
      </c>
      <c r="AD249" s="7">
        <f>=DATE(2003,8,29)</f>
        <v>37861.99949074074</v>
      </c>
      <c r="AH249" s="6" t="str">
        <v>True</v>
      </c>
      <c r="AI249" s="6" t="str">
        <v>2003</v>
      </c>
      <c r="AJ249" s="6" t="str">
        <v>Completed</v>
      </c>
      <c r="AM249" s="6" t="str">
        <v>Bankruptcy Acquisition;Divestiture</v>
      </c>
      <c r="AO249" s="6" t="str">
        <v>US - Microsoft Corp acquired the High Heat Baseball product line of bankrupt 3DO Co, a software developer, for an estimated $.45 mil.</v>
      </c>
    </row>
    <row r="250">
      <c r="A250" s="6" t="str">
        <v>38259P</v>
      </c>
      <c r="B250" s="6" t="str">
        <v>United States</v>
      </c>
      <c r="C250" s="6" t="str">
        <v>Google Inc</v>
      </c>
      <c r="D250" s="6" t="str">
        <v>Alphabet Inc</v>
      </c>
      <c r="F250" s="6" t="str">
        <v>United States</v>
      </c>
      <c r="G250" s="6" t="str">
        <v>Kaltix Corp</v>
      </c>
      <c r="H250" s="6" t="str">
        <v>Prepackaged Software</v>
      </c>
      <c r="I250" s="6" t="str">
        <v>48430T</v>
      </c>
      <c r="J250" s="6" t="str">
        <v>Kaltix Corp</v>
      </c>
      <c r="K250" s="6" t="str">
        <v>Kaltix Corp</v>
      </c>
      <c r="L250" s="7">
        <f>=DATE(2003,9,30)</f>
        <v>37893.99949074074</v>
      </c>
      <c r="M250" s="7">
        <f>=DATE(2003,9,30)</f>
        <v>37893.99949074074</v>
      </c>
      <c r="W250" s="6" t="str">
        <v>Internet Services &amp; Software</v>
      </c>
      <c r="X250" s="6" t="str">
        <v>Communication/Network Software;Internet Services &amp; Software</v>
      </c>
      <c r="Y250" s="6" t="str">
        <v>Internet Services &amp; Software;Communication/Network Software</v>
      </c>
      <c r="Z250" s="6" t="str">
        <v>Internet Services &amp; Software;Communication/Network Software</v>
      </c>
      <c r="AA250" s="6" t="str">
        <v>Programming Services;Telecommunications Equipment;Primary Business not Hi-Tech;Internet Services &amp; Software;Computer Consulting Services</v>
      </c>
      <c r="AB250" s="6" t="str">
        <v>Primary Business not Hi-Tech;Computer Consulting Services;Telecommunications Equipment;Internet Services &amp; Software;Programming Services</v>
      </c>
      <c r="AH250" s="6" t="str">
        <v>False</v>
      </c>
      <c r="AI250" s="6" t="str">
        <v>2003</v>
      </c>
      <c r="AJ250" s="6" t="str">
        <v>Completed</v>
      </c>
      <c r="AM250" s="6" t="str">
        <v>Financial Acquiror</v>
      </c>
      <c r="AO250" s="6" t="str">
        <v>US - Google Inc acquired Kaltix Corp, a developer of Internet search engine software. Terms were not disclosed.</v>
      </c>
    </row>
    <row r="251">
      <c r="A251" s="6" t="str">
        <v>38259P</v>
      </c>
      <c r="B251" s="6" t="str">
        <v>United States</v>
      </c>
      <c r="C251" s="6" t="str">
        <v>Google Inc</v>
      </c>
      <c r="D251" s="6" t="str">
        <v>Alphabet Inc</v>
      </c>
      <c r="F251" s="6" t="str">
        <v>United States</v>
      </c>
      <c r="G251" s="6" t="str">
        <v>Sprinks</v>
      </c>
      <c r="H251" s="6" t="str">
        <v>Advertising Services</v>
      </c>
      <c r="I251" s="6" t="str">
        <v>85163C</v>
      </c>
      <c r="J251" s="6" t="str">
        <v>PRIMEDIA Inc</v>
      </c>
      <c r="K251" s="6" t="str">
        <v>PRIMEDIA Inc</v>
      </c>
      <c r="L251" s="7">
        <f>=DATE(2003,10,24)</f>
        <v>37917.99949074074</v>
      </c>
      <c r="M251" s="7">
        <f>=DATE(2003,10,24)</f>
        <v>37917.99949074074</v>
      </c>
      <c r="W251" s="6" t="str">
        <v>Internet Services &amp; Software</v>
      </c>
      <c r="X251" s="6" t="str">
        <v>Internet Services &amp; Software</v>
      </c>
      <c r="Y251" s="6" t="str">
        <v>Primary Business not Hi-Tech;Internet Services &amp; Software</v>
      </c>
      <c r="Z251" s="6" t="str">
        <v>Primary Business not Hi-Tech;Internet Services &amp; Software</v>
      </c>
      <c r="AA251" s="6" t="str">
        <v>Programming Services;Telecommunications Equipment;Computer Consulting Services;Primary Business not Hi-Tech;Internet Services &amp; Software</v>
      </c>
      <c r="AB251" s="6" t="str">
        <v>Internet Services &amp; Software;Computer Consulting Services;Telecommunications Equipment;Primary Business not Hi-Tech;Programming Services</v>
      </c>
      <c r="AH251" s="6" t="str">
        <v>False</v>
      </c>
      <c r="AI251" s="6" t="str">
        <v>2003</v>
      </c>
      <c r="AJ251" s="6" t="str">
        <v>Completed</v>
      </c>
      <c r="AM251" s="6" t="str">
        <v>Financial Acquiror;Divestiture</v>
      </c>
      <c r="AO251" s="6" t="str">
        <v>US - Google Inc planned to acquire Sprinks, a provider of online advertising servicess, from Primedia Inc. Terms were not disclosed.</v>
      </c>
    </row>
    <row r="252">
      <c r="A252" s="6" t="str">
        <v>04930W</v>
      </c>
      <c r="B252" s="6" t="str">
        <v>United States</v>
      </c>
      <c r="C252" s="6" t="str">
        <v>Atlas DMT</v>
      </c>
      <c r="D252" s="6" t="str">
        <v>aQuantive Inc</v>
      </c>
      <c r="F252" s="6" t="str">
        <v>United States</v>
      </c>
      <c r="G252" s="6" t="str">
        <v>Go Toast LLC</v>
      </c>
      <c r="H252" s="6" t="str">
        <v>Business Services</v>
      </c>
      <c r="I252" s="6" t="str">
        <v>38018F</v>
      </c>
      <c r="J252" s="6" t="str">
        <v>Go Toast LLC</v>
      </c>
      <c r="K252" s="6" t="str">
        <v>Go Toast LLC</v>
      </c>
      <c r="L252" s="7">
        <f>=DATE(2003,12,15)</f>
        <v>37969.99949074074</v>
      </c>
      <c r="M252" s="7">
        <f>=DATE(2003,12,15)</f>
        <v>37969.99949074074</v>
      </c>
      <c r="W252" s="6" t="str">
        <v>Internet Services &amp; Software</v>
      </c>
      <c r="X252" s="6" t="str">
        <v>Communication/Network Software;Internet Services &amp; Software</v>
      </c>
      <c r="Y252" s="6" t="str">
        <v>Internet Services &amp; Software;Communication/Network Software</v>
      </c>
      <c r="Z252" s="6" t="str">
        <v>Communication/Network Software;Internet Services &amp; Software</v>
      </c>
      <c r="AA252" s="6" t="str">
        <v>Internet Services &amp; Software</v>
      </c>
      <c r="AB252" s="6" t="str">
        <v>Internet Services &amp; Software</v>
      </c>
      <c r="AH252" s="6" t="str">
        <v>False</v>
      </c>
      <c r="AI252" s="6" t="str">
        <v>2003</v>
      </c>
      <c r="AJ252" s="6" t="str">
        <v>Completed</v>
      </c>
      <c r="AM252" s="6" t="str">
        <v>Not Applicable</v>
      </c>
      <c r="AO252" s="6" t="str">
        <v>USA - Atlas DMT, a unit of aQuantive Inc, acquired GO TOAST LLC, a provider of search engine services. Terms were not disclosed.</v>
      </c>
    </row>
    <row r="253">
      <c r="A253" s="6" t="str">
        <v>38259P</v>
      </c>
      <c r="B253" s="6" t="str">
        <v>United States</v>
      </c>
      <c r="C253" s="6" t="str">
        <v>Google Inc</v>
      </c>
      <c r="D253" s="6" t="str">
        <v>Alphabet Inc</v>
      </c>
      <c r="F253" s="6" t="str">
        <v>United States</v>
      </c>
      <c r="G253" s="6" t="str">
        <v>Neotonic Software</v>
      </c>
      <c r="H253" s="6" t="str">
        <v>Prepackaged Software</v>
      </c>
      <c r="I253" s="6" t="str">
        <v>64230Z</v>
      </c>
      <c r="J253" s="6" t="str">
        <v>Neotonic Software</v>
      </c>
      <c r="K253" s="6" t="str">
        <v>Neotonic Software</v>
      </c>
      <c r="L253" s="7">
        <f>=DATE(2003,12,31)</f>
        <v>37985.99949074074</v>
      </c>
      <c r="M253" s="7">
        <f>=DATE(2003,12,31)</f>
        <v>37985.99949074074</v>
      </c>
      <c r="W253" s="6" t="str">
        <v>Internet Services &amp; Software</v>
      </c>
      <c r="X253" s="6" t="str">
        <v>Applications Software(Business;Other Software (inq. Games)</v>
      </c>
      <c r="Y253" s="6" t="str">
        <v>Other Software (inq. Games);Applications Software(Business</v>
      </c>
      <c r="Z253" s="6" t="str">
        <v>Applications Software(Business;Other Software (inq. Games)</v>
      </c>
      <c r="AA253" s="6" t="str">
        <v>Programming Services;Computer Consulting Services;Internet Services &amp; Software;Telecommunications Equipment;Primary Business not Hi-Tech</v>
      </c>
      <c r="AB253" s="6" t="str">
        <v>Telecommunications Equipment;Primary Business not Hi-Tech;Internet Services &amp; Software;Computer Consulting Services;Programming Services</v>
      </c>
      <c r="AH253" s="6" t="str">
        <v>False</v>
      </c>
      <c r="AI253" s="6" t="str">
        <v>2003</v>
      </c>
      <c r="AJ253" s="6" t="str">
        <v>Completed</v>
      </c>
      <c r="AM253" s="6" t="str">
        <v>Financial Acquiror</v>
      </c>
      <c r="AO253" s="6" t="str">
        <v>US - Google Inc acquired Neotonic Software, a developer of email support software.</v>
      </c>
    </row>
    <row r="254">
      <c r="A254" s="6" t="str">
        <v>04930W</v>
      </c>
      <c r="B254" s="6" t="str">
        <v>United States</v>
      </c>
      <c r="C254" s="6" t="str">
        <v>Atlas DMT</v>
      </c>
      <c r="D254" s="6" t="str">
        <v>aQuantive Inc</v>
      </c>
      <c r="F254" s="6" t="str">
        <v>United States</v>
      </c>
      <c r="G254" s="6" t="str">
        <v>NetConversions Inc</v>
      </c>
      <c r="H254" s="6" t="str">
        <v>Business Services</v>
      </c>
      <c r="I254" s="6" t="str">
        <v>64180L</v>
      </c>
      <c r="J254" s="6" t="str">
        <v>NetConversions Inc</v>
      </c>
      <c r="K254" s="6" t="str">
        <v>NetConversions Inc</v>
      </c>
      <c r="L254" s="7">
        <f>=DATE(2004,2,11)</f>
        <v>38027.99949074074</v>
      </c>
      <c r="M254" s="7">
        <f>=DATE(2004,2,11)</f>
        <v>38027.99949074074</v>
      </c>
      <c r="N254" s="8">
        <v>7</v>
      </c>
      <c r="O254" s="8">
        <v>7</v>
      </c>
      <c r="W254" s="6" t="str">
        <v>Internet Services &amp; Software</v>
      </c>
      <c r="X254" s="6" t="str">
        <v>Internet Services &amp; Software;Communication/Network Software</v>
      </c>
      <c r="Y254" s="6" t="str">
        <v>Internet Services &amp; Software;Communication/Network Software</v>
      </c>
      <c r="Z254" s="6" t="str">
        <v>Communication/Network Software;Internet Services &amp; Software</v>
      </c>
      <c r="AA254" s="6" t="str">
        <v>Internet Services &amp; Software</v>
      </c>
      <c r="AB254" s="6" t="str">
        <v>Internet Services &amp; Software</v>
      </c>
      <c r="AC254" s="8">
        <v>7</v>
      </c>
      <c r="AD254" s="7">
        <f>=DATE(2004,2,11)</f>
        <v>38027.99949074074</v>
      </c>
      <c r="AH254" s="6" t="str">
        <v>False</v>
      </c>
      <c r="AI254" s="6" t="str">
        <v>2004</v>
      </c>
      <c r="AJ254" s="6" t="str">
        <v>Completed</v>
      </c>
      <c r="AM254" s="6" t="str">
        <v>Not Applicable</v>
      </c>
      <c r="AO254" s="6" t="str">
        <v>US - Atlas DMT, a unit of aQuantive Inc, acquired NetConversions Inc, a provider of website technology services, for $7 mil. The consideration consisted of $4.5 mil in cash and up to $2.5 mil in profit-related payments.</v>
      </c>
    </row>
    <row r="255">
      <c r="A255" s="6" t="str">
        <v>59533X</v>
      </c>
      <c r="B255" s="6" t="str">
        <v>United States</v>
      </c>
      <c r="C255" s="6" t="str">
        <v>Microsoft Business Solutions</v>
      </c>
      <c r="D255" s="6" t="str">
        <v>Microsoft Corp</v>
      </c>
      <c r="F255" s="6" t="str">
        <v>United States</v>
      </c>
      <c r="G255" s="6" t="str">
        <v>Encore Business Solutions Inc-IP Assets</v>
      </c>
      <c r="H255" s="6" t="str">
        <v>Business Services</v>
      </c>
      <c r="I255" s="6" t="str">
        <v>29521Z</v>
      </c>
      <c r="J255" s="6" t="str">
        <v>Encore Business Solutions Inc</v>
      </c>
      <c r="K255" s="6" t="str">
        <v>Encore Business Solutions Inc</v>
      </c>
      <c r="L255" s="7">
        <f>=DATE(2004,4,22)</f>
        <v>38098.99949074074</v>
      </c>
      <c r="M255" s="7">
        <f>=DATE(2004,4,22)</f>
        <v>38098.99949074074</v>
      </c>
      <c r="W255" s="6" t="str">
        <v>Communication/Network Software;Internet Services &amp; Software</v>
      </c>
      <c r="X255" s="6" t="str">
        <v>Computer Consulting Services</v>
      </c>
      <c r="Y255" s="6" t="str">
        <v>Computer Consulting Services</v>
      </c>
      <c r="Z255" s="6" t="str">
        <v>Computer Consulting Services</v>
      </c>
      <c r="AA255" s="6" t="str">
        <v>Computer Consulting Services;Internet Services &amp; Software;Operating Systems;Monitors/Terminals;Applications Software(Business;Other Peripherals</v>
      </c>
      <c r="AB255" s="6" t="str">
        <v>Internet Services &amp; Software;Other Peripherals;Operating Systems;Monitors/Terminals;Computer Consulting Services;Applications Software(Business</v>
      </c>
      <c r="AH255" s="6" t="str">
        <v>False</v>
      </c>
      <c r="AI255" s="6" t="str">
        <v>2004</v>
      </c>
      <c r="AJ255" s="6" t="str">
        <v>Completed</v>
      </c>
      <c r="AM255" s="6" t="str">
        <v>Divestiture</v>
      </c>
      <c r="AO255" s="6" t="str">
        <v>US - Microsoft Business Solutions, a unit of Microsoft Corp, acquired the IP assets of Encore Business Solutions Inc, a provider of computer consulting services.</v>
      </c>
    </row>
    <row r="256">
      <c r="A256" s="6" t="str">
        <v>594918</v>
      </c>
      <c r="B256" s="6" t="str">
        <v>United States</v>
      </c>
      <c r="C256" s="6" t="str">
        <v>Microsoft Corp</v>
      </c>
      <c r="D256" s="6" t="str">
        <v>Microsoft Corp</v>
      </c>
      <c r="F256" s="6" t="str">
        <v>United States</v>
      </c>
      <c r="G256" s="6" t="str">
        <v>ActiveViews Inc</v>
      </c>
      <c r="H256" s="6" t="str">
        <v>Business Services</v>
      </c>
      <c r="I256" s="6" t="str">
        <v>00585J</v>
      </c>
      <c r="J256" s="6" t="str">
        <v>ActiveViews Inc</v>
      </c>
      <c r="K256" s="6" t="str">
        <v>ActiveViews Inc</v>
      </c>
      <c r="L256" s="7">
        <f>=DATE(2004,4,26)</f>
        <v>38102.99949074074</v>
      </c>
      <c r="M256" s="7">
        <f>=DATE(2004,4,26)</f>
        <v>38102.99949074074</v>
      </c>
      <c r="W256" s="6" t="str">
        <v>Internet Services &amp; Software;Monitors/Terminals;Operating Systems;Other Peripherals;Computer Consulting Services;Applications Software(Business</v>
      </c>
      <c r="X256" s="6" t="str">
        <v>Other Computer Related Svcs;Computer Consulting Services;Programming Services</v>
      </c>
      <c r="Y256" s="6" t="str">
        <v>Programming Services;Computer Consulting Services;Other Computer Related Svcs</v>
      </c>
      <c r="Z256" s="6" t="str">
        <v>Programming Services;Computer Consulting Services;Other Computer Related Svcs</v>
      </c>
      <c r="AA256" s="6" t="str">
        <v>Other Peripherals;Internet Services &amp; Software;Operating Systems;Monitors/Terminals;Computer Consulting Services;Applications Software(Business</v>
      </c>
      <c r="AB256" s="6" t="str">
        <v>Other Peripherals;Monitors/Terminals;Operating Systems;Applications Software(Business;Computer Consulting Services;Internet Services &amp; Software</v>
      </c>
      <c r="AH256" s="6" t="str">
        <v>False</v>
      </c>
      <c r="AI256" s="6" t="str">
        <v>2004</v>
      </c>
      <c r="AJ256" s="6" t="str">
        <v>Completed</v>
      </c>
      <c r="AM256" s="6" t="str">
        <v>Not Applicable</v>
      </c>
      <c r="AO256" s="6" t="str">
        <v>US - Microsoft Corp acquired ActiveViews Inc, a provider of reporting systems services.</v>
      </c>
    </row>
    <row r="257">
      <c r="A257" s="6" t="str">
        <v>38259P</v>
      </c>
      <c r="B257" s="6" t="str">
        <v>United States</v>
      </c>
      <c r="C257" s="6" t="str">
        <v>Google Inc</v>
      </c>
      <c r="D257" s="6" t="str">
        <v>Alphabet Inc</v>
      </c>
      <c r="F257" s="6" t="str">
        <v>United States</v>
      </c>
      <c r="G257" s="6" t="str">
        <v>Ignite Logic</v>
      </c>
      <c r="H257" s="6" t="str">
        <v>Prepackaged Software</v>
      </c>
      <c r="I257" s="6" t="str">
        <v>46786F</v>
      </c>
      <c r="J257" s="6" t="str">
        <v>Ignite Logic</v>
      </c>
      <c r="K257" s="6" t="str">
        <v>Ignite Logic</v>
      </c>
      <c r="L257" s="7">
        <f>=DATE(2004,5,3)</f>
        <v>38109.99949074074</v>
      </c>
      <c r="M257" s="7">
        <f>=DATE(2004,5,3)</f>
        <v>38109.99949074074</v>
      </c>
      <c r="W257" s="6" t="str">
        <v>Internet Services &amp; Software</v>
      </c>
      <c r="X257" s="6" t="str">
        <v>Internet Services &amp; Software;Communication/Network Software</v>
      </c>
      <c r="Y257" s="6" t="str">
        <v>Communication/Network Software;Internet Services &amp; Software</v>
      </c>
      <c r="Z257" s="6" t="str">
        <v>Communication/Network Software;Internet Services &amp; Software</v>
      </c>
      <c r="AA257" s="6" t="str">
        <v>Primary Business not Hi-Tech;Telecommunications Equipment;Programming Services;Internet Services &amp; Software;Computer Consulting Services</v>
      </c>
      <c r="AB257" s="6" t="str">
        <v>Internet Services &amp; Software;Telecommunications Equipment;Primary Business not Hi-Tech;Programming Services;Computer Consulting Services</v>
      </c>
      <c r="AH257" s="6" t="str">
        <v>False</v>
      </c>
      <c r="AI257" s="6" t="str">
        <v>2004</v>
      </c>
      <c r="AJ257" s="6" t="str">
        <v>Completed</v>
      </c>
      <c r="AM257" s="6" t="str">
        <v>Financial Acquiror</v>
      </c>
      <c r="AO257" s="6" t="str">
        <v>US - Google Inc acquired Ignite Logic, a developer of Internet software.</v>
      </c>
    </row>
    <row r="258">
      <c r="A258" s="6" t="str">
        <v>38259P</v>
      </c>
      <c r="B258" s="6" t="str">
        <v>United States</v>
      </c>
      <c r="C258" s="6" t="str">
        <v>Google Inc</v>
      </c>
      <c r="D258" s="6" t="str">
        <v>Alphabet Inc</v>
      </c>
      <c r="F258" s="6" t="str">
        <v>China (Mainland)</v>
      </c>
      <c r="G258" s="6" t="str">
        <v>Baidu.com Inc</v>
      </c>
      <c r="H258" s="6" t="str">
        <v>Business Services</v>
      </c>
      <c r="I258" s="6" t="str">
        <v>056752</v>
      </c>
      <c r="J258" s="6" t="str">
        <v>Baidu.com Inc</v>
      </c>
      <c r="K258" s="6" t="str">
        <v>Baidu.com Inc</v>
      </c>
      <c r="L258" s="7">
        <f>=DATE(2004,6,15)</f>
        <v>38152.99949074074</v>
      </c>
      <c r="M258" s="7">
        <f>=DATE(2004,6,15)</f>
        <v>38152.99949074074</v>
      </c>
      <c r="R258" s="8">
        <v>-1.141</v>
      </c>
      <c r="S258" s="8">
        <v>4.962</v>
      </c>
      <c r="T258" s="8">
        <v>0.009</v>
      </c>
      <c r="U258" s="8">
        <v>-1.022</v>
      </c>
      <c r="V258" s="8">
        <v>1.631</v>
      </c>
      <c r="W258" s="6" t="str">
        <v>Internet Services &amp; Software</v>
      </c>
      <c r="X258" s="6" t="str">
        <v>Internet Services &amp; Software</v>
      </c>
      <c r="Y258" s="6" t="str">
        <v>Internet Services &amp; Software</v>
      </c>
      <c r="Z258" s="6" t="str">
        <v>Internet Services &amp; Software</v>
      </c>
      <c r="AA258" s="6" t="str">
        <v>Primary Business not Hi-Tech;Internet Services &amp; Software;Computer Consulting Services;Telecommunications Equipment;Programming Services</v>
      </c>
      <c r="AB258" s="6" t="str">
        <v>Programming Services;Internet Services &amp; Software;Telecommunications Equipment;Computer Consulting Services;Primary Business not Hi-Tech</v>
      </c>
      <c r="AH258" s="6" t="str">
        <v>True</v>
      </c>
      <c r="AI258" s="6" t="str">
        <v>2004</v>
      </c>
      <c r="AJ258" s="6" t="str">
        <v>Completed</v>
      </c>
      <c r="AM258" s="6" t="str">
        <v>Financial Acquiror</v>
      </c>
      <c r="AO258" s="6" t="str">
        <v>CHINA - Google Inc acquired an undisclosed minority stake in Baidu.com Inc, an Internet Services Provider {ISP}. Terms were not disclosed.</v>
      </c>
    </row>
    <row r="259">
      <c r="A259" s="6" t="str">
        <v>03839G</v>
      </c>
      <c r="B259" s="6" t="str">
        <v>United States</v>
      </c>
      <c r="C259" s="6" t="str">
        <v>aQuantive Inc</v>
      </c>
      <c r="D259" s="6" t="str">
        <v>aQuantive Inc</v>
      </c>
      <c r="F259" s="6" t="str">
        <v>United States</v>
      </c>
      <c r="G259" s="6" t="str">
        <v>SBI.Razorfish</v>
      </c>
      <c r="H259" s="6" t="str">
        <v>Business Services</v>
      </c>
      <c r="I259" s="6" t="str">
        <v>78740E</v>
      </c>
      <c r="J259" s="6" t="str">
        <v>SBI Group Inc</v>
      </c>
      <c r="K259" s="6" t="str">
        <v>SBI Group Inc</v>
      </c>
      <c r="L259" s="7">
        <f>=DATE(2004,6,28)</f>
        <v>38165.99949074074</v>
      </c>
      <c r="M259" s="7">
        <f>=DATE(2004,7,27)</f>
        <v>38194.99949074074</v>
      </c>
      <c r="N259" s="8">
        <v>160</v>
      </c>
      <c r="O259" s="8">
        <v>160</v>
      </c>
      <c r="R259" s="8">
        <v>-4.284</v>
      </c>
      <c r="S259" s="8">
        <v>45.363</v>
      </c>
      <c r="T259" s="8">
        <v>6.307</v>
      </c>
      <c r="U259" s="8">
        <v>-2.592</v>
      </c>
      <c r="V259" s="8">
        <v>-5.664</v>
      </c>
      <c r="W259" s="6" t="str">
        <v>Internet Services &amp; Software</v>
      </c>
      <c r="X259" s="6" t="str">
        <v>Internet Services &amp; Software;Computer Consulting Services;Other Software (inq. Games);Other Computer Systems;Applications Software(Business;Database Software/Programming;Programming Services;Communication/Network Software;Other Computer Related Svcs</v>
      </c>
      <c r="Y259" s="6" t="str">
        <v>Programming Services;Other Computer Related Svcs;Computer Consulting Services</v>
      </c>
      <c r="Z259" s="6" t="str">
        <v>Programming Services;Other Computer Related Svcs;Computer Consulting Services</v>
      </c>
      <c r="AA259" s="6" t="str">
        <v>Internet Services &amp; Software</v>
      </c>
      <c r="AB259" s="6" t="str">
        <v>Internet Services &amp; Software</v>
      </c>
      <c r="AC259" s="8">
        <v>160</v>
      </c>
      <c r="AD259" s="7">
        <f>=DATE(2004,6,28)</f>
        <v>38165.99949074074</v>
      </c>
      <c r="AH259" s="6" t="str">
        <v>True</v>
      </c>
      <c r="AI259" s="6" t="str">
        <v>2004</v>
      </c>
      <c r="AJ259" s="6" t="str">
        <v>Completed</v>
      </c>
      <c r="AM259" s="6" t="str">
        <v>Divestiture</v>
      </c>
      <c r="AO259" s="6" t="str">
        <v>US - aQuantive Inc (aQI) acquired SBI.Razorfish, a provider of computer integration system services and digital communications Internet solutions, from SBI Group Inc, for $160 mil. The consideration was to consist of $85 mil in cash and $75 mil in convertible note. Upon completion, aQI's Avenue A subsidiary would be renamed AvenueA/Razorfish. The transaction was subject to customary closing conditions.</v>
      </c>
    </row>
    <row r="260">
      <c r="A260" s="6" t="str">
        <v>38259P</v>
      </c>
      <c r="B260" s="6" t="str">
        <v>United States</v>
      </c>
      <c r="C260" s="6" t="str">
        <v>Google Inc</v>
      </c>
      <c r="D260" s="6" t="str">
        <v>Alphabet Inc</v>
      </c>
      <c r="F260" s="6" t="str">
        <v>United States</v>
      </c>
      <c r="G260" s="6" t="str">
        <v>Picasa Inc</v>
      </c>
      <c r="H260" s="6" t="str">
        <v>Prepackaged Software</v>
      </c>
      <c r="I260" s="6" t="str">
        <v>71935W</v>
      </c>
      <c r="J260" s="6" t="str">
        <v>Picasa Inc</v>
      </c>
      <c r="K260" s="6" t="str">
        <v>Picasa Inc</v>
      </c>
      <c r="L260" s="7">
        <f>=DATE(2004,7,13)</f>
        <v>38180.99949074074</v>
      </c>
      <c r="M260" s="7">
        <f>=DATE(2004,7,13)</f>
        <v>38180.99949074074</v>
      </c>
      <c r="W260" s="6" t="str">
        <v>Internet Services &amp; Software</v>
      </c>
      <c r="X260" s="6" t="str">
        <v>Other Software (inq. Games)</v>
      </c>
      <c r="Y260" s="6" t="str">
        <v>Other Software (inq. Games)</v>
      </c>
      <c r="Z260" s="6" t="str">
        <v>Other Software (inq. Games)</v>
      </c>
      <c r="AA260" s="6" t="str">
        <v>Computer Consulting Services;Internet Services &amp; Software;Primary Business not Hi-Tech;Telecommunications Equipment;Programming Services</v>
      </c>
      <c r="AB260" s="6" t="str">
        <v>Primary Business not Hi-Tech;Telecommunications Equipment;Programming Services;Computer Consulting Services;Internet Services &amp; Software</v>
      </c>
      <c r="AH260" s="6" t="str">
        <v>False</v>
      </c>
      <c r="AI260" s="6" t="str">
        <v>2004</v>
      </c>
      <c r="AJ260" s="6" t="str">
        <v>Completed</v>
      </c>
      <c r="AM260" s="6" t="str">
        <v>Financial Acquiror</v>
      </c>
      <c r="AO260" s="6" t="str">
        <v>US - Google Inc acquired Picasa Inc, a developer of digital photo organizing software. Terms were not disclosed.</v>
      </c>
    </row>
    <row r="261">
      <c r="A261" s="6" t="str">
        <v>59493Z</v>
      </c>
      <c r="B261" s="6" t="str">
        <v>United States</v>
      </c>
      <c r="C261" s="6" t="str">
        <v>Microsoft Network LLC{MSN}</v>
      </c>
      <c r="D261" s="6" t="str">
        <v>Microsoft Corp</v>
      </c>
      <c r="F261" s="6" t="str">
        <v>United States</v>
      </c>
      <c r="G261" s="6" t="str">
        <v>Lookout Software LLC</v>
      </c>
      <c r="H261" s="6" t="str">
        <v>Prepackaged Software</v>
      </c>
      <c r="I261" s="6" t="str">
        <v>54343J</v>
      </c>
      <c r="J261" s="6" t="str">
        <v>Lookout Software LLC</v>
      </c>
      <c r="K261" s="6" t="str">
        <v>Lookout Software LLC</v>
      </c>
      <c r="L261" s="7">
        <f>=DATE(2004,7,16)</f>
        <v>38183.99949074074</v>
      </c>
      <c r="M261" s="7">
        <f>=DATE(2004,7,16)</f>
        <v>38183.99949074074</v>
      </c>
      <c r="W261" s="6" t="str">
        <v>Internet Services &amp; Software;Communication/Network Software</v>
      </c>
      <c r="X261" s="6" t="str">
        <v>Applications Software(Business</v>
      </c>
      <c r="Y261" s="6" t="str">
        <v>Applications Software(Business</v>
      </c>
      <c r="Z261" s="6" t="str">
        <v>Applications Software(Business</v>
      </c>
      <c r="AA261" s="6" t="str">
        <v>Computer Consulting Services;Other Peripherals;Operating Systems;Monitors/Terminals;Internet Services &amp; Software;Applications Software(Business</v>
      </c>
      <c r="AB261" s="6" t="str">
        <v>Applications Software(Business;Internet Services &amp; Software;Monitors/Terminals;Other Peripherals;Computer Consulting Services;Operating Systems</v>
      </c>
      <c r="AH261" s="6" t="str">
        <v>False</v>
      </c>
      <c r="AI261" s="6" t="str">
        <v>2004</v>
      </c>
      <c r="AJ261" s="6" t="str">
        <v>Completed</v>
      </c>
      <c r="AM261" s="6" t="str">
        <v>Not Applicable</v>
      </c>
      <c r="AO261" s="6" t="str">
        <v>US - Microsoft Network LLC {MSN}, a unit of Microsoft Corp, acquired Lookout Software LLC, a provider of personal search tool services.</v>
      </c>
    </row>
    <row r="262">
      <c r="A262" s="6" t="str">
        <v>594918</v>
      </c>
      <c r="B262" s="6" t="str">
        <v>United States</v>
      </c>
      <c r="C262" s="6" t="str">
        <v>Microsoft Corp</v>
      </c>
      <c r="D262" s="6" t="str">
        <v>Microsoft Corp</v>
      </c>
      <c r="F262" s="6" t="str">
        <v>China (Mainland)</v>
      </c>
      <c r="G262" s="6" t="str">
        <v>Jiangmin New Science Technology Co Ltd</v>
      </c>
      <c r="H262" s="6" t="str">
        <v>Prepackaged Software</v>
      </c>
      <c r="I262" s="6" t="str">
        <v>47797N</v>
      </c>
      <c r="J262" s="6" t="str">
        <v>Jiangmin New Science Technology Co Ltd</v>
      </c>
      <c r="K262" s="6" t="str">
        <v>Jiangmin New Science Technology Co Ltd</v>
      </c>
      <c r="L262" s="7">
        <f>=DATE(2004,7,19)</f>
        <v>38186.99949074074</v>
      </c>
      <c r="W262" s="6" t="str">
        <v>Computer Consulting Services;Applications Software(Business;Internet Services &amp; Software;Operating Systems;Other Peripherals;Monitors/Terminals</v>
      </c>
      <c r="X262" s="6" t="str">
        <v>Other Software (inq. Games)</v>
      </c>
      <c r="Y262" s="6" t="str">
        <v>Other Software (inq. Games)</v>
      </c>
      <c r="Z262" s="6" t="str">
        <v>Other Software (inq. Games)</v>
      </c>
      <c r="AA262" s="6" t="str">
        <v>Operating Systems;Applications Software(Business;Other Peripherals;Computer Consulting Services;Internet Services &amp; Software;Monitors/Terminals</v>
      </c>
      <c r="AB262" s="6" t="str">
        <v>Computer Consulting Services;Operating Systems;Monitors/Terminals;Internet Services &amp; Software;Other Peripherals;Applications Software(Business</v>
      </c>
      <c r="AH262" s="6" t="str">
        <v>False</v>
      </c>
      <c r="AJ262" s="6" t="str">
        <v>Dismissed Rumor</v>
      </c>
      <c r="AM262" s="6" t="str">
        <v>Rumored Deal</v>
      </c>
      <c r="AO262" s="6" t="str">
        <v>CHINA - Microsoft Corp discontinued rumors that it was planning to acquire Jiangmin New Science Technology Co Ltd, an anti-virus software developer.</v>
      </c>
    </row>
    <row r="263">
      <c r="A263" s="6" t="str">
        <v>594918</v>
      </c>
      <c r="B263" s="6" t="str">
        <v>United States</v>
      </c>
      <c r="C263" s="6" t="str">
        <v>Microsoft Corp</v>
      </c>
      <c r="D263" s="6" t="str">
        <v>Microsoft Corp</v>
      </c>
      <c r="F263" s="6" t="str">
        <v>United States</v>
      </c>
      <c r="G263" s="6" t="str">
        <v>Microsoft Corp</v>
      </c>
      <c r="H263" s="6" t="str">
        <v>Prepackaged Software</v>
      </c>
      <c r="I263" s="6" t="str">
        <v>594918</v>
      </c>
      <c r="J263" s="6" t="str">
        <v>Microsoft Corp</v>
      </c>
      <c r="K263" s="6" t="str">
        <v>Microsoft Corp</v>
      </c>
      <c r="L263" s="7">
        <f>=DATE(2004,7,20)</f>
        <v>38187.99949074074</v>
      </c>
      <c r="M263" s="7">
        <f>=DATE(2006,7,20)</f>
        <v>38917.99949074074</v>
      </c>
      <c r="N263" s="8">
        <v>30000</v>
      </c>
      <c r="O263" s="8">
        <v>30000</v>
      </c>
      <c r="R263" s="8">
        <v>8168</v>
      </c>
      <c r="S263" s="8">
        <v>36835</v>
      </c>
      <c r="T263" s="8">
        <v>-2364</v>
      </c>
      <c r="U263" s="8">
        <v>-2745</v>
      </c>
      <c r="V263" s="8">
        <v>14626</v>
      </c>
      <c r="W263" s="6" t="str">
        <v>Applications Software(Business;Operating Systems;Internet Services &amp; Software;Other Peripherals;Monitors/Terminals;Computer Consulting Services</v>
      </c>
      <c r="X263" s="6" t="str">
        <v>Applications Software(Business;Other Peripherals;Computer Consulting Services;Internet Services &amp; Software;Monitors/Terminals;Operating Systems</v>
      </c>
      <c r="Y263" s="6" t="str">
        <v>Internet Services &amp; Software;Operating Systems;Other Peripherals;Monitors/Terminals;Computer Consulting Services;Applications Software(Business</v>
      </c>
      <c r="Z263" s="6" t="str">
        <v>Other Peripherals;Operating Systems;Computer Consulting Services;Internet Services &amp; Software;Monitors/Terminals;Applications Software(Business</v>
      </c>
      <c r="AA263" s="6" t="str">
        <v>Internet Services &amp; Software;Computer Consulting Services;Applications Software(Business;Operating Systems;Monitors/Terminals;Other Peripherals</v>
      </c>
      <c r="AB263" s="6" t="str">
        <v>Other Peripherals;Monitors/Terminals;Operating Systems;Applications Software(Business;Internet Services &amp; Software;Computer Consulting Services</v>
      </c>
      <c r="AC263" s="8">
        <v>30000</v>
      </c>
      <c r="AD263" s="7">
        <f>=DATE(2004,7,20)</f>
        <v>38187.99949074074</v>
      </c>
      <c r="AH263" s="6" t="str">
        <v>True</v>
      </c>
      <c r="AI263" s="6" t="str">
        <v>2006</v>
      </c>
      <c r="AJ263" s="6" t="str">
        <v>Completed</v>
      </c>
      <c r="AM263" s="6" t="str">
        <v>Open Market Purchase;Repurchase</v>
      </c>
      <c r="AN263" s="8">
        <v>3684</v>
      </c>
      <c r="AO263" s="6" t="str">
        <v>US - In July 2006, the board of Microsoft Corp (MC), a developer and wholesaler of computer software, completed the repurchase of up to $30 bil of the company's common stock outstanding, in open market transactions.</v>
      </c>
    </row>
    <row r="264">
      <c r="A264" s="6" t="str">
        <v>023135</v>
      </c>
      <c r="B264" s="6" t="str">
        <v>United States</v>
      </c>
      <c r="C264" s="6" t="str">
        <v>Amazon.com Inc</v>
      </c>
      <c r="D264" s="6" t="str">
        <v>Amazon.com Inc</v>
      </c>
      <c r="F264" s="6" t="str">
        <v>China (Mainland)</v>
      </c>
      <c r="G264" s="6" t="str">
        <v>Beijing Dangdang Information Technology Co Ltd</v>
      </c>
      <c r="H264" s="6" t="str">
        <v>Business Services</v>
      </c>
      <c r="I264" s="6" t="str">
        <v>23590Y</v>
      </c>
      <c r="J264" s="6" t="str">
        <v>Beijing Dangdang Information Technology Co Ltd</v>
      </c>
      <c r="K264" s="6" t="str">
        <v>Beijing Dangdang Information Technology Co Ltd</v>
      </c>
      <c r="L264" s="7">
        <f>=DATE(2004,8,5)</f>
        <v>38203.99949074074</v>
      </c>
      <c r="W264" s="6" t="str">
        <v>Primary Business not Hi-Tech</v>
      </c>
      <c r="X264" s="6" t="str">
        <v>Networking Systems (LAN,WAN);Internet Services &amp; Software</v>
      </c>
      <c r="Y264" s="6" t="str">
        <v>Networking Systems (LAN,WAN);Internet Services &amp; Software</v>
      </c>
      <c r="Z264" s="6" t="str">
        <v>Internet Services &amp; Software;Networking Systems (LAN,WAN)</v>
      </c>
      <c r="AA264" s="6" t="str">
        <v>Primary Business not Hi-Tech</v>
      </c>
      <c r="AB264" s="6" t="str">
        <v>Primary Business not Hi-Tech</v>
      </c>
      <c r="AH264" s="6" t="str">
        <v>False</v>
      </c>
      <c r="AJ264" s="6" t="str">
        <v>Dismissed Rumor</v>
      </c>
      <c r="AM264" s="6" t="str">
        <v>Rumored Deal</v>
      </c>
      <c r="AO264" s="6" t="str">
        <v>CHINA - Amazon.com discontinued rumors that it was planning to acquire a 90% interest in Dangdang.com, an Internet Service Provider {ISP}.</v>
      </c>
    </row>
    <row r="265">
      <c r="A265" s="6" t="str">
        <v>023135</v>
      </c>
      <c r="B265" s="6" t="str">
        <v>United States</v>
      </c>
      <c r="C265" s="6" t="str">
        <v>Amazon.com Inc</v>
      </c>
      <c r="D265" s="6" t="str">
        <v>Amazon.com Inc</v>
      </c>
      <c r="F265" s="6" t="str">
        <v>China (Mainland)</v>
      </c>
      <c r="G265" s="6" t="str">
        <v>Joyo.com Ltd</v>
      </c>
      <c r="H265" s="6" t="str">
        <v>Business Services</v>
      </c>
      <c r="I265" s="6" t="str">
        <v>48123P</v>
      </c>
      <c r="J265" s="6" t="str">
        <v>Joyo.com Ltd</v>
      </c>
      <c r="K265" s="6" t="str">
        <v>Joyo.com Ltd</v>
      </c>
      <c r="L265" s="7">
        <f>=DATE(2004,8,19)</f>
        <v>38217.99949074074</v>
      </c>
      <c r="M265" s="7">
        <f>=DATE(2004,9,8)</f>
        <v>38237.99949074074</v>
      </c>
      <c r="N265" s="8">
        <v>74.909264450029</v>
      </c>
      <c r="O265" s="8">
        <v>74.909264450029</v>
      </c>
      <c r="W265" s="6" t="str">
        <v>Primary Business not Hi-Tech</v>
      </c>
      <c r="X265" s="6" t="str">
        <v>Internet Services &amp; Software</v>
      </c>
      <c r="Y265" s="6" t="str">
        <v>Internet Services &amp; Software</v>
      </c>
      <c r="Z265" s="6" t="str">
        <v>Internet Services &amp; Software</v>
      </c>
      <c r="AA265" s="6" t="str">
        <v>Primary Business not Hi-Tech</v>
      </c>
      <c r="AB265" s="6" t="str">
        <v>Primary Business not Hi-Tech</v>
      </c>
      <c r="AC265" s="8">
        <v>74.909264450029</v>
      </c>
      <c r="AD265" s="7">
        <f>=DATE(2004,8,19)</f>
        <v>38217.99949074074</v>
      </c>
      <c r="AH265" s="6" t="str">
        <v>False</v>
      </c>
      <c r="AI265" s="6" t="str">
        <v>2004</v>
      </c>
      <c r="AJ265" s="6" t="str">
        <v>Completed</v>
      </c>
      <c r="AM265" s="6" t="str">
        <v>Not Applicable</v>
      </c>
      <c r="AO265" s="6" t="str">
        <v>CHINA - Amazon.com Inc acquired Joyo.com Ltd, an ecommerce information services provider, for an estimated 620.009 mil Chinese yuan ($75 mil US) in cash and the assumption of employee stock options.</v>
      </c>
    </row>
    <row r="266">
      <c r="A266" s="6" t="str">
        <v>395150</v>
      </c>
      <c r="B266" s="6" t="str">
        <v>United States</v>
      </c>
      <c r="C266" s="6" t="str">
        <v>Greenfield Online Inc</v>
      </c>
      <c r="D266" s="6" t="str">
        <v>Greenfield Online Inc</v>
      </c>
      <c r="F266" s="6" t="str">
        <v>United States</v>
      </c>
      <c r="G266" s="6" t="str">
        <v>OpinionSurveys.com-Online Panel</v>
      </c>
      <c r="H266" s="6" t="str">
        <v>Business Services</v>
      </c>
      <c r="I266" s="6" t="str">
        <v>68427Z</v>
      </c>
      <c r="J266" s="6" t="str">
        <v>Dohring Co</v>
      </c>
      <c r="K266" s="6" t="str">
        <v>OpinionSureveys.com</v>
      </c>
      <c r="L266" s="7">
        <f>=DATE(2004,8,19)</f>
        <v>38217.99949074074</v>
      </c>
      <c r="M266" s="7">
        <f>=DATE(2004,10,22)</f>
        <v>38281.99949074074</v>
      </c>
      <c r="W266" s="6" t="str">
        <v>Internet Services &amp; Software</v>
      </c>
      <c r="X266" s="6" t="str">
        <v>Internet Services &amp; Software</v>
      </c>
      <c r="Y266" s="6" t="str">
        <v>Internet Services &amp; Software</v>
      </c>
      <c r="Z266" s="6" t="str">
        <v>Primary Business not Hi-Tech</v>
      </c>
      <c r="AA266" s="6" t="str">
        <v>Internet Services &amp; Software</v>
      </c>
      <c r="AB266" s="6" t="str">
        <v>Internet Services &amp; Software</v>
      </c>
      <c r="AH266" s="6" t="str">
        <v>False</v>
      </c>
      <c r="AI266" s="6" t="str">
        <v>2004</v>
      </c>
      <c r="AJ266" s="6" t="str">
        <v>Completed</v>
      </c>
      <c r="AM266" s="6" t="str">
        <v>Divestiture</v>
      </c>
      <c r="AO266" s="6" t="str">
        <v>US - Greenfield Online Inc acquired the online panel of OpinionSurveys.com (OS), a provider of market research services and a unit of Dohring Co, for an undisclosed amount in cash. The transaction was subject to certain closing conditions. The transaction included certain database profiles and certain intellectual property of OS.</v>
      </c>
    </row>
    <row r="267">
      <c r="A267" s="6" t="str">
        <v>35911X</v>
      </c>
      <c r="B267" s="6" t="str">
        <v>United States</v>
      </c>
      <c r="C267" s="6" t="str">
        <v>FrontBridge Technologies Inc</v>
      </c>
      <c r="D267" s="6" t="str">
        <v>FrontBridge Technologies Inc</v>
      </c>
      <c r="F267" s="6" t="str">
        <v>United States</v>
      </c>
      <c r="G267" s="6" t="str">
        <v>MessageRite Inc</v>
      </c>
      <c r="H267" s="6" t="str">
        <v>Business Services</v>
      </c>
      <c r="I267" s="6" t="str">
        <v>59086L</v>
      </c>
      <c r="J267" s="6" t="str">
        <v>MessageRite Inc</v>
      </c>
      <c r="K267" s="6" t="str">
        <v>MessageRite Inc</v>
      </c>
      <c r="L267" s="7">
        <f>=DATE(2004,8,30)</f>
        <v>38228.99949074074</v>
      </c>
      <c r="M267" s="7">
        <f>=DATE(2004,8,30)</f>
        <v>38228.99949074074</v>
      </c>
      <c r="W267" s="6" t="str">
        <v>Other Computer Related Svcs</v>
      </c>
      <c r="X267" s="6" t="str">
        <v>Communication/Network Software;Data Processing Services</v>
      </c>
      <c r="Y267" s="6" t="str">
        <v>Communication/Network Software;Data Processing Services</v>
      </c>
      <c r="Z267" s="6" t="str">
        <v>Communication/Network Software;Data Processing Services</v>
      </c>
      <c r="AA267" s="6" t="str">
        <v>Other Computer Related Svcs</v>
      </c>
      <c r="AB267" s="6" t="str">
        <v>Other Computer Related Svcs</v>
      </c>
      <c r="AH267" s="6" t="str">
        <v>False</v>
      </c>
      <c r="AI267" s="6" t="str">
        <v>2004</v>
      </c>
      <c r="AJ267" s="6" t="str">
        <v>Completed</v>
      </c>
      <c r="AM267" s="6" t="str">
        <v>Not Applicable</v>
      </c>
      <c r="AO267" s="6" t="str">
        <v>US - FrontBridge Technologies Inc acquired MessageRite Inc, a provider of email and instant message archiving services.</v>
      </c>
    </row>
    <row r="268">
      <c r="A268" s="6" t="str">
        <v>38259P</v>
      </c>
      <c r="B268" s="6" t="str">
        <v>United States</v>
      </c>
      <c r="C268" s="6" t="str">
        <v>Google Inc</v>
      </c>
      <c r="D268" s="6" t="str">
        <v>Alphabet Inc</v>
      </c>
      <c r="F268" s="6" t="str">
        <v>Australia</v>
      </c>
      <c r="G268" s="6" t="str">
        <v>Where 2 Technologies</v>
      </c>
      <c r="H268" s="6" t="str">
        <v>Business Services</v>
      </c>
      <c r="I268" s="6" t="str">
        <v>96330W</v>
      </c>
      <c r="J268" s="6" t="str">
        <v>Where 2 Technologies</v>
      </c>
      <c r="K268" s="6" t="str">
        <v>Where 2 Technologies</v>
      </c>
      <c r="L268" s="7">
        <f>=DATE(2004,10,1)</f>
        <v>38260.99949074074</v>
      </c>
      <c r="M268" s="7">
        <f>=DATE(2004,10,1)</f>
        <v>38260.99949074074</v>
      </c>
      <c r="W268" s="6" t="str">
        <v>Internet Services &amp; Software;Programming Services</v>
      </c>
      <c r="X268" s="6" t="str">
        <v>Other Computer Related Svcs;Data Processing Services;Other Software (inq. Games);Computer Consulting Services</v>
      </c>
      <c r="Y268" s="6" t="str">
        <v>Computer Consulting Services;Other Computer Related Svcs;Other Software (inq. Games);Data Processing Services</v>
      </c>
      <c r="Z268" s="6" t="str">
        <v>Other Computer Related Svcs;Other Software (inq. Games);Data Processing Services;Computer Consulting Services</v>
      </c>
      <c r="AA268" s="6" t="str">
        <v>Internet Services &amp; Software;Primary Business not Hi-Tech;Computer Consulting Services;Telecommunications Equipment;Programming Services</v>
      </c>
      <c r="AB268" s="6" t="str">
        <v>Internet Services &amp; Software;Primary Business not Hi-Tech;Computer Consulting Services;Programming Services;Telecommunications Equipment</v>
      </c>
      <c r="AH268" s="6" t="str">
        <v>False</v>
      </c>
      <c r="AI268" s="6" t="str">
        <v>2004</v>
      </c>
      <c r="AJ268" s="6" t="str">
        <v>Completed</v>
      </c>
      <c r="AM268" s="6" t="str">
        <v>Not Applicable</v>
      </c>
      <c r="AO268" s="6" t="str">
        <v>AUSTRALIA - Google Inc acquired Where 2 Technologies, a mapping technology services provider.</v>
      </c>
    </row>
    <row r="269">
      <c r="A269" s="6" t="str">
        <v>38259P</v>
      </c>
      <c r="B269" s="6" t="str">
        <v>United States</v>
      </c>
      <c r="C269" s="6" t="str">
        <v>Google Inc</v>
      </c>
      <c r="D269" s="6" t="str">
        <v>Alphabet Inc</v>
      </c>
      <c r="F269" s="6" t="str">
        <v>United States</v>
      </c>
      <c r="G269" s="6" t="str">
        <v>Keyhole Corp</v>
      </c>
      <c r="H269" s="6" t="str">
        <v>Prepackaged Software</v>
      </c>
      <c r="I269" s="6" t="str">
        <v>48446C</v>
      </c>
      <c r="J269" s="6" t="str">
        <v>Keyhole Corp</v>
      </c>
      <c r="K269" s="6" t="str">
        <v>Keyhole Corp</v>
      </c>
      <c r="L269" s="7">
        <f>=DATE(2004,10,27)</f>
        <v>38286.99949074074</v>
      </c>
      <c r="M269" s="7">
        <f>=DATE(2004,10,27)</f>
        <v>38286.99949074074</v>
      </c>
      <c r="W269" s="6" t="str">
        <v>Internet Services &amp; Software;Programming Services</v>
      </c>
      <c r="X269" s="6" t="str">
        <v>Other Software (inq. Games)</v>
      </c>
      <c r="Y269" s="6" t="str">
        <v>Other Software (inq. Games)</v>
      </c>
      <c r="Z269" s="6" t="str">
        <v>Other Software (inq. Games)</v>
      </c>
      <c r="AA269" s="6" t="str">
        <v>Internet Services &amp; Software;Programming Services;Computer Consulting Services;Primary Business not Hi-Tech;Telecommunications Equipment</v>
      </c>
      <c r="AB269" s="6" t="str">
        <v>Computer Consulting Services;Primary Business not Hi-Tech;Programming Services;Telecommunications Equipment;Internet Services &amp; Software</v>
      </c>
      <c r="AH269" s="6" t="str">
        <v>False</v>
      </c>
      <c r="AI269" s="6" t="str">
        <v>2004</v>
      </c>
      <c r="AJ269" s="6" t="str">
        <v>Completed</v>
      </c>
      <c r="AM269" s="6" t="str">
        <v>Not Applicable</v>
      </c>
      <c r="AO269" s="6" t="str">
        <v>US - Google Inc acquired Keyhole Corp, a developer of digital mapping software. Terms were not disclosed.</v>
      </c>
    </row>
    <row r="270">
      <c r="A270" s="6" t="str">
        <v>594918</v>
      </c>
      <c r="B270" s="6" t="str">
        <v>United States</v>
      </c>
      <c r="C270" s="6" t="str">
        <v>Microsoft Corp</v>
      </c>
      <c r="D270" s="6" t="str">
        <v>Microsoft Corp</v>
      </c>
      <c r="F270" s="6" t="str">
        <v>United States</v>
      </c>
      <c r="G270" s="6" t="str">
        <v>GIANT Co Software Inc</v>
      </c>
      <c r="H270" s="6" t="str">
        <v>Business Services</v>
      </c>
      <c r="I270" s="6" t="str">
        <v>37451F</v>
      </c>
      <c r="J270" s="6" t="str">
        <v>GIANT Co Software Inc</v>
      </c>
      <c r="K270" s="6" t="str">
        <v>GIANT Co Software Inc</v>
      </c>
      <c r="L270" s="7">
        <f>=DATE(2004,12,16)</f>
        <v>38336.99949074074</v>
      </c>
      <c r="M270" s="7">
        <f>=DATE(2004,12,16)</f>
        <v>38336.99949074074</v>
      </c>
      <c r="W270" s="6" t="str">
        <v>Internet Services &amp; Software;Computer Consulting Services;Applications Software(Business;Operating Systems;Other Peripherals;Monitors/Terminals</v>
      </c>
      <c r="X270" s="6" t="str">
        <v>Internet Services &amp; Software;Utilities/File Mgmt Software</v>
      </c>
      <c r="Y270" s="6" t="str">
        <v>Utilities/File Mgmt Software;Internet Services &amp; Software</v>
      </c>
      <c r="Z270" s="6" t="str">
        <v>Internet Services &amp; Software;Utilities/File Mgmt Software</v>
      </c>
      <c r="AA270" s="6" t="str">
        <v>Internet Services &amp; Software;Operating Systems;Computer Consulting Services;Monitors/Terminals;Applications Software(Business;Other Peripherals</v>
      </c>
      <c r="AB270" s="6" t="str">
        <v>Computer Consulting Services;Monitors/Terminals;Other Peripherals;Internet Services &amp; Software;Operating Systems;Applications Software(Business</v>
      </c>
      <c r="AH270" s="6" t="str">
        <v>False</v>
      </c>
      <c r="AI270" s="6" t="str">
        <v>2004</v>
      </c>
      <c r="AJ270" s="6" t="str">
        <v>Completed</v>
      </c>
      <c r="AM270" s="6" t="str">
        <v>Not Applicable</v>
      </c>
      <c r="AO270" s="6" t="str">
        <v>US - Microsoft Corp acquired Giant Co Software Inc, a provider of anti-spyware and internet security services.</v>
      </c>
    </row>
    <row r="271">
      <c r="A271" s="6" t="str">
        <v>38259P</v>
      </c>
      <c r="B271" s="6" t="str">
        <v>United States</v>
      </c>
      <c r="C271" s="6" t="str">
        <v>Google Inc</v>
      </c>
      <c r="D271" s="6" t="str">
        <v>Alphabet Inc</v>
      </c>
      <c r="F271" s="6" t="str">
        <v>United States</v>
      </c>
      <c r="G271" s="6" t="str">
        <v>PhatBits</v>
      </c>
      <c r="H271" s="6" t="str">
        <v>Prepackaged Software</v>
      </c>
      <c r="I271" s="6" t="str">
        <v>71753P</v>
      </c>
      <c r="J271" s="6" t="str">
        <v>PhatBits</v>
      </c>
      <c r="K271" s="6" t="str">
        <v>PhatBits</v>
      </c>
      <c r="L271" s="7">
        <f>=DATE(2005,1,1)</f>
        <v>38352.99949074074</v>
      </c>
      <c r="M271" s="7">
        <f>=DATE(2005,6,30)</f>
        <v>38532.99949074074</v>
      </c>
      <c r="W271" s="6" t="str">
        <v>Internet Services &amp; Software;Programming Services</v>
      </c>
      <c r="X271" s="6" t="str">
        <v>Other Software (inq. Games)</v>
      </c>
      <c r="Y271" s="6" t="str">
        <v>Other Software (inq. Games)</v>
      </c>
      <c r="Z271" s="6" t="str">
        <v>Other Software (inq. Games)</v>
      </c>
      <c r="AA271" s="6" t="str">
        <v>Primary Business not Hi-Tech;Telecommunications Equipment;Computer Consulting Services;Internet Services &amp; Software;Programming Services</v>
      </c>
      <c r="AB271" s="6" t="str">
        <v>Computer Consulting Services;Primary Business not Hi-Tech;Telecommunications Equipment;Internet Services &amp; Software;Programming Services</v>
      </c>
      <c r="AH271" s="6" t="str">
        <v>False</v>
      </c>
      <c r="AI271" s="6" t="str">
        <v>2005</v>
      </c>
      <c r="AJ271" s="6" t="str">
        <v>Completed</v>
      </c>
      <c r="AM271" s="6" t="str">
        <v>Not Applicable</v>
      </c>
      <c r="AO271" s="6" t="str">
        <v>US - Google Inc acquired PhatBits, a developer of software.</v>
      </c>
    </row>
    <row r="272">
      <c r="A272" s="6" t="str">
        <v>395150</v>
      </c>
      <c r="B272" s="6" t="str">
        <v>United States</v>
      </c>
      <c r="C272" s="6" t="str">
        <v>Greenfield Online Inc</v>
      </c>
      <c r="D272" s="6" t="str">
        <v>Greenfield Online Inc</v>
      </c>
      <c r="F272" s="6" t="str">
        <v>United States</v>
      </c>
      <c r="G272" s="6" t="str">
        <v>Rapidata.net Inc</v>
      </c>
      <c r="H272" s="6" t="str">
        <v>Business Services</v>
      </c>
      <c r="I272" s="6" t="str">
        <v>75344E</v>
      </c>
      <c r="J272" s="6" t="str">
        <v>Rapidata.net Inc</v>
      </c>
      <c r="K272" s="6" t="str">
        <v>Rapidata.net Inc</v>
      </c>
      <c r="L272" s="7">
        <f>=DATE(2005,1,26)</f>
        <v>38377.99949074074</v>
      </c>
      <c r="M272" s="7">
        <f>=DATE(2005,1,26)</f>
        <v>38377.99949074074</v>
      </c>
      <c r="N272" s="8">
        <v>5.5</v>
      </c>
      <c r="O272" s="8">
        <v>5.5</v>
      </c>
      <c r="S272" s="8">
        <v>2.1</v>
      </c>
      <c r="W272" s="6" t="str">
        <v>Internet Services &amp; Software</v>
      </c>
      <c r="X272" s="6" t="str">
        <v>Internet Services &amp; Software;Research &amp; Development Firm</v>
      </c>
      <c r="Y272" s="6" t="str">
        <v>Internet Services &amp; Software;Research &amp; Development Firm</v>
      </c>
      <c r="Z272" s="6" t="str">
        <v>Research &amp; Development Firm;Internet Services &amp; Software</v>
      </c>
      <c r="AA272" s="6" t="str">
        <v>Internet Services &amp; Software</v>
      </c>
      <c r="AB272" s="6" t="str">
        <v>Internet Services &amp; Software</v>
      </c>
      <c r="AC272" s="8">
        <v>5.5</v>
      </c>
      <c r="AD272" s="7">
        <f>=DATE(2005,1,26)</f>
        <v>38377.99949074074</v>
      </c>
      <c r="AH272" s="6" t="str">
        <v>True</v>
      </c>
      <c r="AI272" s="6" t="str">
        <v>2005</v>
      </c>
      <c r="AJ272" s="6" t="str">
        <v>Completed</v>
      </c>
      <c r="AM272" s="6" t="str">
        <v>Not Applicable</v>
      </c>
      <c r="AO272" s="6" t="str">
        <v>US - Greenfield Online Inc acquired Rapidata.net Inc, a provider of pharmaceutical research services, for $5.5 mil in cash.</v>
      </c>
    </row>
    <row r="273">
      <c r="A273" s="6" t="str">
        <v>594918</v>
      </c>
      <c r="B273" s="6" t="str">
        <v>United States</v>
      </c>
      <c r="C273" s="6" t="str">
        <v>Microsoft Corp</v>
      </c>
      <c r="D273" s="6" t="str">
        <v>Microsoft Corp</v>
      </c>
      <c r="F273" s="6" t="str">
        <v>United States</v>
      </c>
      <c r="G273" s="6" t="str">
        <v>Sybari Software Inc</v>
      </c>
      <c r="H273" s="6" t="str">
        <v>Prepackaged Software</v>
      </c>
      <c r="I273" s="6" t="str">
        <v>871128</v>
      </c>
      <c r="J273" s="6" t="str">
        <v>Sybari Software Inc</v>
      </c>
      <c r="K273" s="6" t="str">
        <v>Sybari Software Inc</v>
      </c>
      <c r="L273" s="7">
        <f>=DATE(2005,2,8)</f>
        <v>38390.99949074074</v>
      </c>
      <c r="M273" s="7">
        <f>=DATE(2005,6,21)</f>
        <v>38523.99949074074</v>
      </c>
      <c r="W273" s="6" t="str">
        <v>Other Peripherals;Computer Consulting Services;Operating Systems;Monitors/Terminals;Internet Services &amp; Software;Applications Software(Business</v>
      </c>
      <c r="X273" s="6" t="str">
        <v>Other Software (inq. Games)</v>
      </c>
      <c r="Y273" s="6" t="str">
        <v>Other Software (inq. Games)</v>
      </c>
      <c r="Z273" s="6" t="str">
        <v>Other Software (inq. Games)</v>
      </c>
      <c r="AA273" s="6" t="str">
        <v>Monitors/Terminals;Internet Services &amp; Software;Other Peripherals;Operating Systems;Computer Consulting Services;Applications Software(Business</v>
      </c>
      <c r="AB273" s="6" t="str">
        <v>Monitors/Terminals;Computer Consulting Services;Internet Services &amp; Software;Other Peripherals;Operating Systems;Applications Software(Business</v>
      </c>
      <c r="AH273" s="6" t="str">
        <v>False</v>
      </c>
      <c r="AI273" s="6" t="str">
        <v>2005</v>
      </c>
      <c r="AJ273" s="6" t="str">
        <v>Completed</v>
      </c>
      <c r="AM273" s="6" t="str">
        <v>Not Applicable</v>
      </c>
      <c r="AO273" s="6" t="str">
        <v>US - Microsoft Corp acquired Sybari Software Inc, a developer of anti-virus and security software. Terms were not disclosed. The transaction was subject to regulatory approval.</v>
      </c>
    </row>
    <row r="274">
      <c r="A274" s="6" t="str">
        <v>395150</v>
      </c>
      <c r="B274" s="6" t="str">
        <v>United States</v>
      </c>
      <c r="C274" s="6" t="str">
        <v>Greenfield Online Inc</v>
      </c>
      <c r="D274" s="6" t="str">
        <v>Greenfield Online Inc</v>
      </c>
      <c r="F274" s="6" t="str">
        <v>United States</v>
      </c>
      <c r="G274" s="6" t="str">
        <v>Zing Wireless Inc</v>
      </c>
      <c r="H274" s="6" t="str">
        <v>Business Services</v>
      </c>
      <c r="I274" s="6" t="str">
        <v>99015H</v>
      </c>
      <c r="J274" s="6" t="str">
        <v>Zing Wireless Inc</v>
      </c>
      <c r="K274" s="6" t="str">
        <v>Zing Wireless Inc</v>
      </c>
      <c r="L274" s="7">
        <f>=DATE(2005,2,9)</f>
        <v>38391.99949074074</v>
      </c>
      <c r="M274" s="7">
        <f>=DATE(2005,2,9)</f>
        <v>38391.99949074074</v>
      </c>
      <c r="N274" s="8">
        <v>30</v>
      </c>
      <c r="O274" s="8">
        <v>30</v>
      </c>
      <c r="S274" s="8">
        <v>13</v>
      </c>
      <c r="W274" s="6" t="str">
        <v>Internet Services &amp; Software</v>
      </c>
      <c r="X274" s="6" t="str">
        <v>Internet Services &amp; Software</v>
      </c>
      <c r="Y274" s="6" t="str">
        <v>Internet Services &amp; Software</v>
      </c>
      <c r="Z274" s="6" t="str">
        <v>Internet Services &amp; Software</v>
      </c>
      <c r="AA274" s="6" t="str">
        <v>Internet Services &amp; Software</v>
      </c>
      <c r="AB274" s="6" t="str">
        <v>Internet Services &amp; Software</v>
      </c>
      <c r="AC274" s="8">
        <v>30</v>
      </c>
      <c r="AD274" s="7">
        <f>=DATE(2005,2,9)</f>
        <v>38391.99949074074</v>
      </c>
      <c r="AH274" s="6" t="str">
        <v>True</v>
      </c>
      <c r="AI274" s="6" t="str">
        <v>2005</v>
      </c>
      <c r="AJ274" s="6" t="str">
        <v>Completed</v>
      </c>
      <c r="AM274" s="6" t="str">
        <v>Not Applicable</v>
      </c>
      <c r="AO274" s="6" t="str">
        <v>US - Greenfield Online Inc acquired Zing Wireless Inc, a provider of Internet survey panel and market research services, for an estimated $30 mil in cash.</v>
      </c>
    </row>
    <row r="275">
      <c r="A275" s="6" t="str">
        <v>037833</v>
      </c>
      <c r="B275" s="6" t="str">
        <v>United States</v>
      </c>
      <c r="C275" s="6" t="str">
        <v>Apple Computer Inc</v>
      </c>
      <c r="D275" s="6" t="str">
        <v>Apple Computer Inc</v>
      </c>
      <c r="F275" s="6" t="str">
        <v>United States</v>
      </c>
      <c r="G275" s="6" t="str">
        <v>TiVo Inc</v>
      </c>
      <c r="H275" s="6" t="str">
        <v>Radio and Television Broadcasting Stations</v>
      </c>
      <c r="I275" s="6" t="str">
        <v>888706</v>
      </c>
      <c r="J275" s="6" t="str">
        <v>TiVo Inc</v>
      </c>
      <c r="K275" s="6" t="str">
        <v>TiVo Inc</v>
      </c>
      <c r="L275" s="7">
        <f>=DATE(2005,2,23)</f>
        <v>38405.99949074074</v>
      </c>
      <c r="R275" s="8">
        <v>-79.842</v>
      </c>
      <c r="S275" s="8">
        <v>172.055</v>
      </c>
      <c r="T275" s="8">
        <v>4.348</v>
      </c>
      <c r="U275" s="8">
        <v>-18.099</v>
      </c>
      <c r="V275" s="8">
        <v>-37.214</v>
      </c>
      <c r="W275" s="6" t="str">
        <v>Monitors/Terminals;Disk Drives;Other Software (inq. Games);Micro-Computers (PCs);Mainframes &amp; Super Computers;Portable Computers;Other Peripherals;Printers</v>
      </c>
      <c r="X275" s="6" t="str">
        <v>Satellite Communications;Internet Services &amp; Software</v>
      </c>
      <c r="Y275" s="6" t="str">
        <v>Satellite Communications;Internet Services &amp; Software</v>
      </c>
      <c r="Z275" s="6" t="str">
        <v>Satellite Communications;Internet Services &amp; Software</v>
      </c>
      <c r="AA275" s="6" t="str">
        <v>Mainframes &amp; Super Computers;Disk Drives;Portable Computers;Micro-Computers (PCs);Monitors/Terminals;Printers;Other Software (inq. Games);Other Peripherals</v>
      </c>
      <c r="AB275" s="6" t="str">
        <v>Disk Drives;Portable Computers;Printers;Monitors/Terminals;Other Peripherals;Other Software (inq. Games);Mainframes &amp; Super Computers;Micro-Computers (PCs)</v>
      </c>
      <c r="AH275" s="6" t="str">
        <v>True</v>
      </c>
      <c r="AJ275" s="6" t="str">
        <v>Dismissed Rumor</v>
      </c>
      <c r="AL275" s="8">
        <v>80.649544</v>
      </c>
      <c r="AM275" s="6" t="str">
        <v>Rumored Deal</v>
      </c>
      <c r="AN275" s="8">
        <v>2.231</v>
      </c>
      <c r="AO275" s="6" t="str">
        <v>US - Apple Computer Inc was rumored to be planning to acquire all the outstanding common stock of Tivo Inc, a provider of personal television services. The Current status of this deal is unknown.</v>
      </c>
    </row>
    <row r="276">
      <c r="A276" s="6" t="str">
        <v>01864J</v>
      </c>
      <c r="B276" s="6" t="str">
        <v>United States</v>
      </c>
      <c r="C276" s="6" t="str">
        <v>Avanade Inc</v>
      </c>
      <c r="D276" s="6" t="str">
        <v>Microsoft Corp</v>
      </c>
      <c r="F276" s="6" t="str">
        <v>United States</v>
      </c>
      <c r="G276" s="6" t="str">
        <v>en'tegrate</v>
      </c>
      <c r="H276" s="6" t="str">
        <v>Prepackaged Software</v>
      </c>
      <c r="I276" s="6" t="str">
        <v>29535A</v>
      </c>
      <c r="J276" s="6" t="str">
        <v>en'tegrate</v>
      </c>
      <c r="K276" s="6" t="str">
        <v>en'tegrate</v>
      </c>
      <c r="L276" s="7">
        <f>=DATE(2005,3,2)</f>
        <v>38412.99949074074</v>
      </c>
      <c r="M276" s="7">
        <f>=DATE(2005,3,2)</f>
        <v>38412.99949074074</v>
      </c>
      <c r="W276" s="6" t="str">
        <v>Other Software (inq. Games);Computer Consulting Services;Other Computer Related Svcs</v>
      </c>
      <c r="X276" s="6" t="str">
        <v>Other Software (inq. Games)</v>
      </c>
      <c r="Y276" s="6" t="str">
        <v>Other Software (inq. Games)</v>
      </c>
      <c r="Z276" s="6" t="str">
        <v>Other Software (inq. Games)</v>
      </c>
      <c r="AA276" s="6" t="str">
        <v>Internet Services &amp; Software;Operating Systems;Computer Consulting Services;Other Peripherals;Applications Software(Business;Monitors/Terminals</v>
      </c>
      <c r="AB276" s="6" t="str">
        <v>Monitors/Terminals;Operating Systems;Internet Services &amp; Software;Applications Software(Business;Computer Consulting Services;Other Peripherals</v>
      </c>
      <c r="AH276" s="6" t="str">
        <v>False</v>
      </c>
      <c r="AI276" s="6" t="str">
        <v>2005</v>
      </c>
      <c r="AJ276" s="6" t="str">
        <v>Completed</v>
      </c>
      <c r="AM276" s="6" t="str">
        <v>Not Applicable</v>
      </c>
      <c r="AO276" s="6" t="str">
        <v>US - Avanade Inc, a joint venture between Microsoft Corp and Accenture Ltd, acquired en'tegrate, a developer of software. Terms were not disclosed.</v>
      </c>
    </row>
    <row r="277">
      <c r="A277" s="6" t="str">
        <v>594918</v>
      </c>
      <c r="B277" s="6" t="str">
        <v>United States</v>
      </c>
      <c r="C277" s="6" t="str">
        <v>Microsoft Corp</v>
      </c>
      <c r="D277" s="6" t="str">
        <v>Microsoft Corp</v>
      </c>
      <c r="F277" s="6" t="str">
        <v>United States</v>
      </c>
      <c r="G277" s="6" t="str">
        <v>Groove Networks Inc</v>
      </c>
      <c r="H277" s="6" t="str">
        <v>Prepackaged Software</v>
      </c>
      <c r="I277" s="6" t="str">
        <v>39882Z</v>
      </c>
      <c r="J277" s="6" t="str">
        <v>Groove Networks Inc</v>
      </c>
      <c r="K277" s="6" t="str">
        <v>Groove Networks Inc</v>
      </c>
      <c r="L277" s="7">
        <f>=DATE(2005,3,10)</f>
        <v>38420.99949074074</v>
      </c>
      <c r="M277" s="7">
        <f>=DATE(2005,4,9)</f>
        <v>38450.99949074074</v>
      </c>
      <c r="S277" s="8">
        <v>59</v>
      </c>
      <c r="W277" s="6" t="str">
        <v>Applications Software(Business;Other Peripherals;Operating Systems;Internet Services &amp; Software;Monitors/Terminals;Computer Consulting Services</v>
      </c>
      <c r="X277" s="6" t="str">
        <v>Applications Software(Home);Communication/Network Software;Applications Software(Business</v>
      </c>
      <c r="Y277" s="6" t="str">
        <v>Communication/Network Software;Applications Software(Home);Applications Software(Business</v>
      </c>
      <c r="Z277" s="6" t="str">
        <v>Applications Software(Business;Applications Software(Home);Communication/Network Software</v>
      </c>
      <c r="AA277" s="6" t="str">
        <v>Monitors/Terminals;Applications Software(Business;Computer Consulting Services;Internet Services &amp; Software;Other Peripherals;Operating Systems</v>
      </c>
      <c r="AB277" s="6" t="str">
        <v>Applications Software(Business;Computer Consulting Services;Operating Systems;Monitors/Terminals;Other Peripherals;Internet Services &amp; Software</v>
      </c>
      <c r="AH277" s="6" t="str">
        <v>True</v>
      </c>
      <c r="AI277" s="6" t="str">
        <v>2005</v>
      </c>
      <c r="AJ277" s="6" t="str">
        <v>Completed</v>
      </c>
      <c r="AM277" s="6" t="str">
        <v>Not Applicable</v>
      </c>
      <c r="AO277" s="6" t="str">
        <v>US - Microsoft Corp acquired Groove Networks Inc, a developer of communications software. Terms were not disclosed.</v>
      </c>
    </row>
    <row r="278">
      <c r="A278" s="6" t="str">
        <v>38259P</v>
      </c>
      <c r="B278" s="6" t="str">
        <v>United States</v>
      </c>
      <c r="C278" s="6" t="str">
        <v>Google Inc</v>
      </c>
      <c r="D278" s="6" t="str">
        <v>Alphabet Inc</v>
      </c>
      <c r="F278" s="6" t="str">
        <v>United States</v>
      </c>
      <c r="G278" s="6" t="str">
        <v>Urchin Software Corp</v>
      </c>
      <c r="H278" s="6" t="str">
        <v>Prepackaged Software</v>
      </c>
      <c r="I278" s="6" t="str">
        <v>91706L</v>
      </c>
      <c r="J278" s="6" t="str">
        <v>Urchin Software Corp</v>
      </c>
      <c r="K278" s="6" t="str">
        <v>Urchin Software Corp</v>
      </c>
      <c r="L278" s="7">
        <f>=DATE(2005,3,28)</f>
        <v>38438.99949074074</v>
      </c>
      <c r="M278" s="7">
        <f>=DATE(2005,5,3)</f>
        <v>38474.99949074074</v>
      </c>
      <c r="W278" s="6" t="str">
        <v>Internet Services &amp; Software;Programming Services</v>
      </c>
      <c r="X278" s="6" t="str">
        <v>Other Software (inq. Games)</v>
      </c>
      <c r="Y278" s="6" t="str">
        <v>Other Software (inq. Games)</v>
      </c>
      <c r="Z278" s="6" t="str">
        <v>Other Software (inq. Games)</v>
      </c>
      <c r="AA278" s="6" t="str">
        <v>Programming Services;Telecommunications Equipment;Primary Business not Hi-Tech;Internet Services &amp; Software;Computer Consulting Services</v>
      </c>
      <c r="AB278" s="6" t="str">
        <v>Internet Services &amp; Software;Primary Business not Hi-Tech;Computer Consulting Services;Programming Services;Telecommunications Equipment</v>
      </c>
      <c r="AH278" s="6" t="str">
        <v>False</v>
      </c>
      <c r="AI278" s="6" t="str">
        <v>2005</v>
      </c>
      <c r="AJ278" s="6" t="str">
        <v>Completed</v>
      </c>
      <c r="AM278" s="6" t="str">
        <v>Not Applicable</v>
      </c>
      <c r="AO278" s="6" t="str">
        <v>US - Google Inc acquired Urchin Software Corp, a developer of website traffic software. Terms were not disclosed.</v>
      </c>
    </row>
    <row r="279">
      <c r="A279" s="6" t="str">
        <v>023135</v>
      </c>
      <c r="B279" s="6" t="str">
        <v>United States</v>
      </c>
      <c r="C279" s="6" t="str">
        <v>Amazon.com Inc</v>
      </c>
      <c r="D279" s="6" t="str">
        <v>Amazon.com Inc</v>
      </c>
      <c r="F279" s="6" t="str">
        <v>France</v>
      </c>
      <c r="G279" s="6" t="str">
        <v>Mobipocket.com SA</v>
      </c>
      <c r="H279" s="6" t="str">
        <v>Prepackaged Software</v>
      </c>
      <c r="I279" s="6" t="str">
        <v>60746E</v>
      </c>
      <c r="J279" s="6" t="str">
        <v>Mobipocket.com SA</v>
      </c>
      <c r="K279" s="6" t="str">
        <v>Mobipocket.com SA</v>
      </c>
      <c r="L279" s="7">
        <f>=DATE(2005,3,31)</f>
        <v>38441.99949074074</v>
      </c>
      <c r="M279" s="7">
        <f>=DATE(2005,3,31)</f>
        <v>38441.99949074074</v>
      </c>
      <c r="W279" s="6" t="str">
        <v>Primary Business not Hi-Tech</v>
      </c>
      <c r="X279" s="6" t="str">
        <v>Communication/Network Software;Internet Services &amp; Software</v>
      </c>
      <c r="Y279" s="6" t="str">
        <v>Internet Services &amp; Software;Communication/Network Software</v>
      </c>
      <c r="Z279" s="6" t="str">
        <v>Communication/Network Software;Internet Services &amp; Software</v>
      </c>
      <c r="AA279" s="6" t="str">
        <v>Primary Business not Hi-Tech</v>
      </c>
      <c r="AB279" s="6" t="str">
        <v>Primary Business not Hi-Tech</v>
      </c>
      <c r="AH279" s="6" t="str">
        <v>False</v>
      </c>
      <c r="AI279" s="6" t="str">
        <v>2005</v>
      </c>
      <c r="AJ279" s="6" t="str">
        <v>Completed</v>
      </c>
      <c r="AM279" s="6" t="str">
        <v>Not Applicable</v>
      </c>
      <c r="AO279" s="6" t="str">
        <v>FRANCE - Amazon.com Inc (Amazon) acquired all the outstanding shares of MobiPocket.com SA (MobiPocket), a developer of software. In connection with this transaction, Amazon acquired the 16,765 ordinary shares in MobiPocket held by Franklin Electronic Publishers Inc.</v>
      </c>
    </row>
    <row r="280">
      <c r="A280" s="6" t="str">
        <v>38259P</v>
      </c>
      <c r="B280" s="6" t="str">
        <v>United States</v>
      </c>
      <c r="C280" s="6" t="str">
        <v>Google Inc</v>
      </c>
      <c r="D280" s="6" t="str">
        <v>Alphabet Inc</v>
      </c>
      <c r="F280" s="6" t="str">
        <v>United States</v>
      </c>
      <c r="G280" s="6" t="str">
        <v>Zipdash Inc</v>
      </c>
      <c r="H280" s="6" t="str">
        <v>Prepackaged Software</v>
      </c>
      <c r="I280" s="6" t="str">
        <v>99152J</v>
      </c>
      <c r="J280" s="6" t="str">
        <v>Zipdash Inc</v>
      </c>
      <c r="K280" s="6" t="str">
        <v>Zipdash Inc</v>
      </c>
      <c r="L280" s="7">
        <f>=DATE(2005,3,31)</f>
        <v>38441.99949074074</v>
      </c>
      <c r="M280" s="7">
        <f>=DATE(2005,3,31)</f>
        <v>38441.99949074074</v>
      </c>
      <c r="W280" s="6" t="str">
        <v>Internet Services &amp; Software;Programming Services</v>
      </c>
      <c r="X280" s="6" t="str">
        <v>Communication/Network Software;Internet Services &amp; Software</v>
      </c>
      <c r="Y280" s="6" t="str">
        <v>Communication/Network Software;Internet Services &amp; Software</v>
      </c>
      <c r="Z280" s="6" t="str">
        <v>Internet Services &amp; Software;Communication/Network Software</v>
      </c>
      <c r="AA280" s="6" t="str">
        <v>Programming Services;Computer Consulting Services;Telecommunications Equipment;Internet Services &amp; Software;Primary Business not Hi-Tech</v>
      </c>
      <c r="AB280" s="6" t="str">
        <v>Telecommunications Equipment;Primary Business not Hi-Tech;Internet Services &amp; Software;Computer Consulting Services;Programming Services</v>
      </c>
      <c r="AH280" s="6" t="str">
        <v>False</v>
      </c>
      <c r="AI280" s="6" t="str">
        <v>2005</v>
      </c>
      <c r="AJ280" s="6" t="str">
        <v>Completed</v>
      </c>
      <c r="AM280" s="6" t="str">
        <v>Not Applicable</v>
      </c>
      <c r="AO280" s="6" t="str">
        <v>US - Google Inc acquired Zipdash Inc, a developer of Internet software.</v>
      </c>
    </row>
    <row r="281">
      <c r="A281" s="6" t="str">
        <v>395150</v>
      </c>
      <c r="B281" s="6" t="str">
        <v>United States</v>
      </c>
      <c r="C281" s="6" t="str">
        <v>Greenfield Online Inc</v>
      </c>
      <c r="D281" s="6" t="str">
        <v>Greenfield Online Inc</v>
      </c>
      <c r="F281" s="6" t="str">
        <v>Germany</v>
      </c>
      <c r="G281" s="6" t="str">
        <v>CIAO AG</v>
      </c>
      <c r="H281" s="6" t="str">
        <v>Business Services</v>
      </c>
      <c r="I281" s="6" t="str">
        <v>17168W</v>
      </c>
      <c r="J281" s="6" t="str">
        <v>CIAO AG</v>
      </c>
      <c r="K281" s="6" t="str">
        <v>CIAO AG</v>
      </c>
      <c r="L281" s="7">
        <f>=DATE(2005,4,7)</f>
        <v>38448.99949074074</v>
      </c>
      <c r="M281" s="7">
        <f>=DATE(2005,4,7)</f>
        <v>38448.99949074074</v>
      </c>
      <c r="N281" s="8">
        <v>153.745003020682</v>
      </c>
      <c r="O281" s="8">
        <v>153.745003020682</v>
      </c>
      <c r="R281" s="8">
        <v>7.51657469799477</v>
      </c>
      <c r="S281" s="8">
        <v>24.5603807096276</v>
      </c>
      <c r="T281" s="8">
        <v>-2.064638772</v>
      </c>
      <c r="U281" s="8">
        <v>-1.482339726</v>
      </c>
      <c r="V281" s="8">
        <v>8.89812945</v>
      </c>
      <c r="W281" s="6" t="str">
        <v>Internet Services &amp; Software</v>
      </c>
      <c r="X281" s="6" t="str">
        <v>Communication/Network Software;Internet Services &amp; Software</v>
      </c>
      <c r="Y281" s="6" t="str">
        <v>Communication/Network Software;Internet Services &amp; Software</v>
      </c>
      <c r="Z281" s="6" t="str">
        <v>Communication/Network Software;Internet Services &amp; Software</v>
      </c>
      <c r="AA281" s="6" t="str">
        <v>Internet Services &amp; Software</v>
      </c>
      <c r="AB281" s="6" t="str">
        <v>Internet Services &amp; Software</v>
      </c>
      <c r="AC281" s="8">
        <v>153.745003020682</v>
      </c>
      <c r="AD281" s="7">
        <f>=DATE(2005,4,7)</f>
        <v>38448.99949074074</v>
      </c>
      <c r="AH281" s="6" t="str">
        <v>True</v>
      </c>
      <c r="AI281" s="6" t="str">
        <v>2005</v>
      </c>
      <c r="AJ281" s="6" t="str">
        <v>Completed</v>
      </c>
      <c r="AM281" s="6" t="str">
        <v>Not Applicable</v>
      </c>
      <c r="AO281" s="6" t="str">
        <v>GERMANY - Greenfield Online Inc (GO) of the US, acquired CIAO AG (CA), a Munich-based Internet service provider, for 119.609 mil euros ($153.957 mil US). The consideration consisted of 57.692 mil euros ($74.260 mil) in cash and 3.947 mil GO ordinary shares valued at 15.686 euros ($20.19) on April 6, the last full trading day prior to the date of announcement.</v>
      </c>
    </row>
    <row r="282">
      <c r="A282" s="6" t="str">
        <v>38259P</v>
      </c>
      <c r="B282" s="6" t="str">
        <v>United States</v>
      </c>
      <c r="C282" s="6" t="str">
        <v>Google Inc</v>
      </c>
      <c r="D282" s="6" t="str">
        <v>Alphabet Inc</v>
      </c>
      <c r="F282" s="6" t="str">
        <v>United States</v>
      </c>
      <c r="G282" s="6" t="str">
        <v>Dodgeball.com</v>
      </c>
      <c r="H282" s="6" t="str">
        <v>Telecommunications</v>
      </c>
      <c r="I282" s="6" t="str">
        <v>25654F</v>
      </c>
      <c r="J282" s="6" t="str">
        <v>Dodgeball.com</v>
      </c>
      <c r="K282" s="6" t="str">
        <v>Dodgeball.com</v>
      </c>
      <c r="L282" s="7">
        <f>=DATE(2005,5,11)</f>
        <v>38482.99949074074</v>
      </c>
      <c r="M282" s="7">
        <f>=DATE(2005,5,11)</f>
        <v>38482.99949074074</v>
      </c>
      <c r="W282" s="6" t="str">
        <v>Programming Services;Internet Services &amp; Software</v>
      </c>
      <c r="X282" s="6" t="str">
        <v>Cellular Communications</v>
      </c>
      <c r="Y282" s="6" t="str">
        <v>Cellular Communications</v>
      </c>
      <c r="Z282" s="6" t="str">
        <v>Cellular Communications</v>
      </c>
      <c r="AA282" s="6" t="str">
        <v>Telecommunications Equipment;Internet Services &amp; Software;Primary Business not Hi-Tech;Computer Consulting Services;Programming Services</v>
      </c>
      <c r="AB282" s="6" t="str">
        <v>Programming Services;Internet Services &amp; Software;Computer Consulting Services;Primary Business not Hi-Tech;Telecommunications Equipment</v>
      </c>
      <c r="AH282" s="6" t="str">
        <v>False</v>
      </c>
      <c r="AI282" s="6" t="str">
        <v>2005</v>
      </c>
      <c r="AJ282" s="6" t="str">
        <v>Completed</v>
      </c>
      <c r="AM282" s="6" t="str">
        <v>Not Applicable</v>
      </c>
      <c r="AO282" s="6" t="str">
        <v>US - Google Inc acquired Dodgeball.com, a provider of text-messaging services. Terms were not disclosed.</v>
      </c>
    </row>
    <row r="283">
      <c r="A283" s="6" t="str">
        <v>59493Z</v>
      </c>
      <c r="B283" s="6" t="str">
        <v>United States</v>
      </c>
      <c r="C283" s="6" t="str">
        <v>Microsoft Network LLC{MSN}</v>
      </c>
      <c r="D283" s="6" t="str">
        <v>Microsoft Corp</v>
      </c>
      <c r="F283" s="6" t="str">
        <v>United States</v>
      </c>
      <c r="G283" s="6" t="str">
        <v>MessageCast Inc</v>
      </c>
      <c r="H283" s="6" t="str">
        <v>Business Services</v>
      </c>
      <c r="I283" s="6" t="str">
        <v>59089C</v>
      </c>
      <c r="J283" s="6" t="str">
        <v>MessageCast Inc</v>
      </c>
      <c r="K283" s="6" t="str">
        <v>MessageCast Inc</v>
      </c>
      <c r="L283" s="7">
        <f>=DATE(2005,5,11)</f>
        <v>38482.99949074074</v>
      </c>
      <c r="M283" s="7">
        <f>=DATE(2005,5,11)</f>
        <v>38482.99949074074</v>
      </c>
      <c r="N283" s="8">
        <v>7</v>
      </c>
      <c r="O283" s="8">
        <v>7</v>
      </c>
      <c r="W283" s="6" t="str">
        <v>Communication/Network Software;Internet Services &amp; Software</v>
      </c>
      <c r="X283" s="6" t="str">
        <v>Internet Services &amp; Software</v>
      </c>
      <c r="Y283" s="6" t="str">
        <v>Internet Services &amp; Software</v>
      </c>
      <c r="Z283" s="6" t="str">
        <v>Internet Services &amp; Software</v>
      </c>
      <c r="AA283" s="6" t="str">
        <v>Internet Services &amp; Software;Computer Consulting Services;Other Peripherals;Monitors/Terminals;Applications Software(Business;Operating Systems</v>
      </c>
      <c r="AB283" s="6" t="str">
        <v>Operating Systems;Monitors/Terminals;Internet Services &amp; Software;Other Peripherals;Applications Software(Business;Computer Consulting Services</v>
      </c>
      <c r="AC283" s="8">
        <v>7</v>
      </c>
      <c r="AD283" s="7">
        <f>=DATE(2005,9,26)</f>
        <v>38620.99949074074</v>
      </c>
      <c r="AH283" s="6" t="str">
        <v>False</v>
      </c>
      <c r="AI283" s="6" t="str">
        <v>2005</v>
      </c>
      <c r="AJ283" s="6" t="str">
        <v>Completed</v>
      </c>
      <c r="AM283" s="6" t="str">
        <v>Not Applicable</v>
      </c>
      <c r="AO283" s="6" t="str">
        <v>US - Microsoft Network LLC, a unit of Microsoft Corp, acquired MessageCast Inc, a provider of automated alerting and messaging technology services, for $7 mil.</v>
      </c>
    </row>
    <row r="284">
      <c r="A284" s="6" t="str">
        <v>594918</v>
      </c>
      <c r="B284" s="6" t="str">
        <v>United States</v>
      </c>
      <c r="C284" s="6" t="str">
        <v>Microsoft Corp</v>
      </c>
      <c r="D284" s="6" t="str">
        <v>Microsoft Corp</v>
      </c>
      <c r="F284" s="6" t="str">
        <v>China (Mainland)</v>
      </c>
      <c r="G284" s="6" t="str">
        <v>Tsinghua-Shenxun Science &amp; Technology Co Ltd-Certain Assets</v>
      </c>
      <c r="H284" s="6" t="str">
        <v>Prepackaged Software</v>
      </c>
      <c r="I284" s="6" t="str">
        <v>89876P</v>
      </c>
      <c r="J284" s="6" t="str">
        <v>Tsinghua-Shenxun Science &amp; Technology Co Ltd</v>
      </c>
      <c r="K284" s="6" t="str">
        <v>Tsinghua-Shenxun Science &amp; Technology Co Ltd</v>
      </c>
      <c r="L284" s="7">
        <f>=DATE(2005,5,11)</f>
        <v>38482.99949074074</v>
      </c>
      <c r="M284" s="7">
        <f>=DATE(2005,5,31)</f>
        <v>38502.99949074074</v>
      </c>
      <c r="N284" s="8">
        <v>14.9819368090376</v>
      </c>
      <c r="O284" s="8">
        <v>14.9819368090376</v>
      </c>
      <c r="W284" s="6" t="str">
        <v>Other Peripherals;Internet Services &amp; Software;Monitors/Terminals;Applications Software(Business;Operating Systems;Computer Consulting Services</v>
      </c>
      <c r="X284" s="6" t="str">
        <v>Internet Services &amp; Software;Communication/Network Software</v>
      </c>
      <c r="Y284" s="6" t="str">
        <v>Internet Services &amp; Software;Communication/Network Software</v>
      </c>
      <c r="Z284" s="6" t="str">
        <v>Communication/Network Software;Internet Services &amp; Software</v>
      </c>
      <c r="AA284" s="6" t="str">
        <v>Applications Software(Business;Internet Services &amp; Software;Computer Consulting Services;Operating Systems;Other Peripherals;Monitors/Terminals</v>
      </c>
      <c r="AB284" s="6" t="str">
        <v>Internet Services &amp; Software;Applications Software(Business;Other Peripherals;Monitors/Terminals;Computer Consulting Services;Operating Systems</v>
      </c>
      <c r="AC284" s="8">
        <v>14.9819368090376</v>
      </c>
      <c r="AD284" s="7">
        <f>=DATE(2005,5,31)</f>
        <v>38502.99949074074</v>
      </c>
      <c r="AH284" s="6" t="str">
        <v>False</v>
      </c>
      <c r="AI284" s="6" t="str">
        <v>2005</v>
      </c>
      <c r="AJ284" s="6" t="str">
        <v>Completed</v>
      </c>
      <c r="AM284" s="6" t="str">
        <v>Divestiture</v>
      </c>
      <c r="AO284" s="6" t="str">
        <v>CHINA - Microsoft Corp acquired the certain assets of Tsinghua-Shenxun Science &amp; Technology Co Ltd, an internet software developer, for 123.998 mil Chinese yuan ($15 mil US).</v>
      </c>
    </row>
    <row r="285">
      <c r="A285" s="6" t="str">
        <v>09362H</v>
      </c>
      <c r="B285" s="6" t="str">
        <v>United States</v>
      </c>
      <c r="C285" s="6" t="str">
        <v>Blizzard Entertainment Inc</v>
      </c>
      <c r="D285" s="6" t="str">
        <v>Activision Inc</v>
      </c>
      <c r="F285" s="6" t="str">
        <v>United States</v>
      </c>
      <c r="G285" s="6" t="str">
        <v>Swingin' Ape Studios</v>
      </c>
      <c r="H285" s="6" t="str">
        <v>Prepackaged Software</v>
      </c>
      <c r="I285" s="6" t="str">
        <v>87524K</v>
      </c>
      <c r="J285" s="6" t="str">
        <v>Swingin' Ape Studios</v>
      </c>
      <c r="K285" s="6" t="str">
        <v>Swingin' Ape Studios</v>
      </c>
      <c r="L285" s="7">
        <f>=DATE(2005,5,16)</f>
        <v>38487.99949074074</v>
      </c>
      <c r="M285" s="7">
        <f>=DATE(2005,5,16)</f>
        <v>38487.99949074074</v>
      </c>
      <c r="W285" s="6" t="str">
        <v>Other Software (inq. Games)</v>
      </c>
      <c r="X285" s="6" t="str">
        <v>Other Software (inq. Games)</v>
      </c>
      <c r="Y285" s="6" t="str">
        <v>Other Software (inq. Games)</v>
      </c>
      <c r="Z285" s="6" t="str">
        <v>Other Software (inq. Games)</v>
      </c>
      <c r="AA285" s="6" t="str">
        <v>Other Software (inq. Games)</v>
      </c>
      <c r="AB285" s="6" t="str">
        <v>Other Software (inq. Games)</v>
      </c>
      <c r="AH285" s="6" t="str">
        <v>True</v>
      </c>
      <c r="AI285" s="6" t="str">
        <v>2005</v>
      </c>
      <c r="AJ285" s="6" t="str">
        <v>Completed</v>
      </c>
      <c r="AM285" s="6" t="str">
        <v>Not Applicable</v>
      </c>
      <c r="AO285" s="6" t="str">
        <v>US - Blizzard Entertainment, a unit of Vivendi Universal Games subsidiary of Vivendi Universal SA's Vivendi Universal Publishing unit, acquired Swingin' Ape Studios, a developer of console game software. Terms wer not disclosed.</v>
      </c>
    </row>
    <row r="286">
      <c r="A286" s="6" t="str">
        <v>38259P</v>
      </c>
      <c r="B286" s="6" t="str">
        <v>United States</v>
      </c>
      <c r="C286" s="6" t="str">
        <v>Google Inc</v>
      </c>
      <c r="D286" s="6" t="str">
        <v>Alphabet Inc</v>
      </c>
      <c r="F286" s="6" t="str">
        <v>United States</v>
      </c>
      <c r="G286" s="6" t="str">
        <v>2Web Technologies</v>
      </c>
      <c r="H286" s="6" t="str">
        <v>Business Services</v>
      </c>
      <c r="I286" s="6" t="str">
        <v>90655W</v>
      </c>
      <c r="J286" s="6" t="str">
        <v>2Web Technologies</v>
      </c>
      <c r="K286" s="6" t="str">
        <v>2Web Technologies</v>
      </c>
      <c r="L286" s="7">
        <f>=DATE(2005,6,6)</f>
        <v>38508.99949074074</v>
      </c>
      <c r="M286" s="7">
        <f>=DATE(2005,6,6)</f>
        <v>38508.99949074074</v>
      </c>
      <c r="W286" s="6" t="str">
        <v>Programming Services;Internet Services &amp; Software</v>
      </c>
      <c r="X286" s="6" t="str">
        <v>Other Software (inq. Games);Other Computer Related Svcs;Computer Consulting Services;Data Processing Services</v>
      </c>
      <c r="Y286" s="6" t="str">
        <v>Computer Consulting Services;Other Software (inq. Games);Data Processing Services;Other Computer Related Svcs</v>
      </c>
      <c r="Z286" s="6" t="str">
        <v>Other Computer Related Svcs;Data Processing Services;Computer Consulting Services;Other Software (inq. Games)</v>
      </c>
      <c r="AA286" s="6" t="str">
        <v>Primary Business not Hi-Tech;Computer Consulting Services;Telecommunications Equipment;Programming Services;Internet Services &amp; Software</v>
      </c>
      <c r="AB286" s="6" t="str">
        <v>Primary Business not Hi-Tech;Telecommunications Equipment;Computer Consulting Services;Internet Services &amp; Software;Programming Services</v>
      </c>
      <c r="AH286" s="6" t="str">
        <v>False</v>
      </c>
      <c r="AI286" s="6" t="str">
        <v>2005</v>
      </c>
      <c r="AJ286" s="6" t="str">
        <v>Completed</v>
      </c>
      <c r="AM286" s="6" t="str">
        <v>Not Applicable</v>
      </c>
      <c r="AO286" s="6" t="str">
        <v>US - Google Inc acquired 2Web Technologies, a provider of information technology services.</v>
      </c>
    </row>
    <row r="287">
      <c r="A287" s="6" t="str">
        <v>594918</v>
      </c>
      <c r="B287" s="6" t="str">
        <v>United States</v>
      </c>
      <c r="C287" s="6" t="str">
        <v>Microsoft Corp</v>
      </c>
      <c r="D287" s="6" t="str">
        <v>Microsoft Corp</v>
      </c>
      <c r="F287" s="6" t="str">
        <v>China (Mainland)</v>
      </c>
      <c r="G287" s="6" t="str">
        <v>Dalian Hi-Think Computer Technology Corp</v>
      </c>
      <c r="H287" s="6" t="str">
        <v>Prepackaged Software</v>
      </c>
      <c r="I287" s="6" t="str">
        <v>23596N</v>
      </c>
      <c r="J287" s="6" t="str">
        <v>Dalian Hi-Think Computer Technology Corp</v>
      </c>
      <c r="K287" s="6" t="str">
        <v>Dalian Hi-Think Computer Technology Corp</v>
      </c>
      <c r="L287" s="7">
        <f>=DATE(2005,6,30)</f>
        <v>38532.99949074074</v>
      </c>
      <c r="W287" s="6" t="str">
        <v>Other Peripherals;Internet Services &amp; Software;Applications Software(Business;Computer Consulting Services;Operating Systems;Monitors/Terminals</v>
      </c>
      <c r="X287" s="6" t="str">
        <v>Applications Software(Business;Other Computer Related Svcs;Computer Consulting Services;Other Software (inq. Games);Programming Services</v>
      </c>
      <c r="Y287" s="6" t="str">
        <v>Programming Services;Computer Consulting Services;Other Computer Related Svcs;Applications Software(Business;Other Software (inq. Games)</v>
      </c>
      <c r="Z287" s="6" t="str">
        <v>Computer Consulting Services;Programming Services;Other Computer Related Svcs;Other Software (inq. Games);Applications Software(Business</v>
      </c>
      <c r="AA287" s="6" t="str">
        <v>Operating Systems;Other Peripherals;Monitors/Terminals;Applications Software(Business;Computer Consulting Services;Internet Services &amp; Software</v>
      </c>
      <c r="AB287" s="6" t="str">
        <v>Other Peripherals;Internet Services &amp; Software;Applications Software(Business;Operating Systems;Monitors/Terminals;Computer Consulting Services</v>
      </c>
      <c r="AH287" s="6" t="str">
        <v>False</v>
      </c>
      <c r="AJ287" s="6" t="str">
        <v>Pending</v>
      </c>
      <c r="AM287" s="6" t="str">
        <v>Not Applicable</v>
      </c>
      <c r="AO287" s="6" t="str">
        <v>CHINA - Microsoft Corp planned to acquire an undisclosed minority stake in Dalian Hi-Think Computer Technology Co Ltd, a software outsourcing services provider.</v>
      </c>
    </row>
    <row r="288">
      <c r="A288" s="6" t="str">
        <v>594918</v>
      </c>
      <c r="B288" s="6" t="str">
        <v>United States</v>
      </c>
      <c r="C288" s="6" t="str">
        <v>Microsoft Corp</v>
      </c>
      <c r="D288" s="6" t="str">
        <v>Microsoft Corp</v>
      </c>
      <c r="F288" s="6" t="str">
        <v>China (Mainland)</v>
      </c>
      <c r="G288" s="6" t="str">
        <v>Lang Chao International Ltd</v>
      </c>
      <c r="H288" s="6" t="str">
        <v>Business Services</v>
      </c>
      <c r="I288" s="6" t="str">
        <v>51574A</v>
      </c>
      <c r="J288" s="6" t="str">
        <v>Inspur Group Ltd</v>
      </c>
      <c r="K288" s="6" t="str">
        <v>Lang Chao Electronics Hong Kong Ltd</v>
      </c>
      <c r="L288" s="7">
        <f>=DATE(2005,6,30)</f>
        <v>38532.99949074074</v>
      </c>
      <c r="N288" s="8">
        <v>25.0011582117211</v>
      </c>
      <c r="O288" s="8">
        <v>25.0011582117211</v>
      </c>
      <c r="P288" s="8" t="str">
        <v>73.92</v>
      </c>
      <c r="R288" s="8">
        <v>2.66504517025712</v>
      </c>
      <c r="S288" s="8">
        <v>85.2196741564358</v>
      </c>
      <c r="T288" s="8">
        <v>0.659248132</v>
      </c>
      <c r="U288" s="8">
        <v>-0.143740028</v>
      </c>
      <c r="V288" s="8">
        <v>-0.513963896</v>
      </c>
      <c r="W288" s="6" t="str">
        <v>Applications Software(Business;Operating Systems;Computer Consulting Services;Monitors/Terminals;Other Peripherals;Internet Services &amp; Software</v>
      </c>
      <c r="X288" s="6" t="str">
        <v>Other Computer Related Svcs;Other Software (inq. Games);Data Processing Services;Computer Consulting Services</v>
      </c>
      <c r="Y288" s="6" t="str">
        <v>Primary Business not Hi-Tech</v>
      </c>
      <c r="Z288" s="6" t="str">
        <v>Other Computer Related Svcs;Other Software (inq. Games);Computer Consulting Services;Data Processing Services</v>
      </c>
      <c r="AA288" s="6" t="str">
        <v>Other Peripherals;Applications Software(Business;Monitors/Terminals;Internet Services &amp; Software;Operating Systems;Computer Consulting Services</v>
      </c>
      <c r="AB288" s="6" t="str">
        <v>Monitors/Terminals;Other Peripherals;Operating Systems;Computer Consulting Services;Internet Services &amp; Software;Applications Software(Business</v>
      </c>
      <c r="AC288" s="8">
        <v>25.0011582117211</v>
      </c>
      <c r="AD288" s="7">
        <f>=DATE(2005,6,30)</f>
        <v>38532.99949074074</v>
      </c>
      <c r="AF288" s="8" t="str">
        <v>73.92</v>
      </c>
      <c r="AH288" s="6" t="str">
        <v>True</v>
      </c>
      <c r="AJ288" s="6" t="str">
        <v>Pending</v>
      </c>
      <c r="AL288" s="8">
        <v>214.143872</v>
      </c>
      <c r="AM288" s="6" t="str">
        <v>Privately Negotiated Purchase</v>
      </c>
      <c r="AO288" s="6" t="str">
        <v>HONG KONG - Microsoft Corp agreed to acquire 214.144 mil pref shs convertible to 28% stake, or 214.144 mil new ordinary shares, in Lang Chao International Ltd, a computers wholesaler, and a 54.98% owned unit of Chinese state-owned Langchao Group Ltd's wholly owned Lang Chao Electronics (Hong Kong) Ltd subsidiary, for an estimated 194.274 mil Hong Kong dollars ($25 mil US). The transaction was subject to due diligence review and the approval of the shareholders and other regulatory bodies.</v>
      </c>
    </row>
    <row r="289">
      <c r="A289" s="6" t="str">
        <v>594918</v>
      </c>
      <c r="B289" s="6" t="str">
        <v>United States</v>
      </c>
      <c r="C289" s="6" t="str">
        <v>Microsoft Corp</v>
      </c>
      <c r="D289" s="6" t="str">
        <v>Microsoft Corp</v>
      </c>
      <c r="F289" s="6" t="str">
        <v>Singapore</v>
      </c>
      <c r="G289" s="6" t="str">
        <v>Creative Technology Ltd</v>
      </c>
      <c r="H289" s="6" t="str">
        <v>Computer and Office Equipment</v>
      </c>
      <c r="I289" s="6" t="str">
        <v>Y1775U</v>
      </c>
      <c r="J289" s="6" t="str">
        <v>Creative Technology Ltd</v>
      </c>
      <c r="K289" s="6" t="str">
        <v>Creative Technology Ltd</v>
      </c>
      <c r="L289" s="7">
        <f>=DATE(2005,7,15)</f>
        <v>38547.99949074074</v>
      </c>
      <c r="R289" s="8">
        <v>38.910831112188</v>
      </c>
      <c r="S289" s="8">
        <v>1136.12490913497</v>
      </c>
      <c r="T289" s="8">
        <v>137.1237354</v>
      </c>
      <c r="U289" s="8">
        <v>33.471276804</v>
      </c>
      <c r="V289" s="8">
        <v>-145.92000948</v>
      </c>
      <c r="W289" s="6" t="str">
        <v>Computer Consulting Services;Internet Services &amp; Software;Monitors/Terminals;Operating Systems;Other Peripherals;Applications Software(Business</v>
      </c>
      <c r="X289" s="6" t="str">
        <v>Other Peripherals;Applications Software(Business;Other Software (inq. Games)</v>
      </c>
      <c r="Y289" s="6" t="str">
        <v>Other Software (inq. Games);Applications Software(Business;Other Peripherals</v>
      </c>
      <c r="Z289" s="6" t="str">
        <v>Other Software (inq. Games);Applications Software(Business;Other Peripherals</v>
      </c>
      <c r="AA289" s="6" t="str">
        <v>Operating Systems;Internet Services &amp; Software;Monitors/Terminals;Applications Software(Business;Computer Consulting Services;Other Peripherals</v>
      </c>
      <c r="AB289" s="6" t="str">
        <v>Internet Services &amp; Software;Operating Systems;Applications Software(Business;Monitors/Terminals;Computer Consulting Services;Other Peripherals</v>
      </c>
      <c r="AH289" s="6" t="str">
        <v>True</v>
      </c>
      <c r="AJ289" s="6" t="str">
        <v>Dismissed Rumor</v>
      </c>
      <c r="AM289" s="6" t="str">
        <v>Rumored Deal</v>
      </c>
      <c r="AN289" s="8">
        <v>36.2654470559729</v>
      </c>
      <c r="AO289" s="6" t="str">
        <v>SINGAPORE - Microsoft Corp discontinued rumors that it was planning to acquire an undisclosed minority stake in Creative Technology Ltd, a computer peripheral equipment manufacturer.</v>
      </c>
    </row>
    <row r="290">
      <c r="A290" s="6" t="str">
        <v>594918</v>
      </c>
      <c r="B290" s="6" t="str">
        <v>United States</v>
      </c>
      <c r="C290" s="6" t="str">
        <v>Microsoft Corp</v>
      </c>
      <c r="D290" s="6" t="str">
        <v>Microsoft Corp</v>
      </c>
      <c r="F290" s="6" t="str">
        <v>United States</v>
      </c>
      <c r="G290" s="6" t="str">
        <v>FrontBridge Technologies Inc</v>
      </c>
      <c r="H290" s="6" t="str">
        <v>Business Services</v>
      </c>
      <c r="I290" s="6" t="str">
        <v>35911X</v>
      </c>
      <c r="J290" s="6" t="str">
        <v>FrontBridge Technologies Inc</v>
      </c>
      <c r="K290" s="6" t="str">
        <v>FrontBridge Technologies Inc</v>
      </c>
      <c r="L290" s="7">
        <f>=DATE(2005,7,20)</f>
        <v>38552.99949074074</v>
      </c>
      <c r="M290" s="7">
        <f>=DATE(2005,8,31)</f>
        <v>38594.99949074074</v>
      </c>
      <c r="W290" s="6" t="str">
        <v>Computer Consulting Services;Other Peripherals;Applications Software(Business;Monitors/Terminals;Internet Services &amp; Software;Operating Systems</v>
      </c>
      <c r="X290" s="6" t="str">
        <v>Other Computer Related Svcs</v>
      </c>
      <c r="Y290" s="6" t="str">
        <v>Other Computer Related Svcs</v>
      </c>
      <c r="Z290" s="6" t="str">
        <v>Other Computer Related Svcs</v>
      </c>
      <c r="AA290" s="6" t="str">
        <v>Operating Systems;Internet Services &amp; Software;Monitors/Terminals;Other Peripherals;Computer Consulting Services;Applications Software(Business</v>
      </c>
      <c r="AB290" s="6" t="str">
        <v>Computer Consulting Services;Other Peripherals;Operating Systems;Internet Services &amp; Software;Monitors/Terminals;Applications Software(Business</v>
      </c>
      <c r="AH290" s="6" t="str">
        <v>False</v>
      </c>
      <c r="AI290" s="6" t="str">
        <v>2005</v>
      </c>
      <c r="AJ290" s="6" t="str">
        <v>Completed</v>
      </c>
      <c r="AM290" s="6" t="str">
        <v>Not Applicable</v>
      </c>
      <c r="AO290" s="6" t="str">
        <v>US - Microsoft Corp acquired FrontBridge Technologies Inc, provider of email protection and secure messaging services. Terms were not disclosed.</v>
      </c>
    </row>
    <row r="291">
      <c r="A291" s="6" t="str">
        <v>38259P</v>
      </c>
      <c r="B291" s="6" t="str">
        <v>United States</v>
      </c>
      <c r="C291" s="6" t="str">
        <v>Google Inc</v>
      </c>
      <c r="D291" s="6" t="str">
        <v>Alphabet Inc</v>
      </c>
      <c r="F291" s="6" t="str">
        <v>United States</v>
      </c>
      <c r="G291" s="6" t="str">
        <v>Android Inc</v>
      </c>
      <c r="H291" s="6" t="str">
        <v>Prepackaged Software</v>
      </c>
      <c r="I291" s="6" t="str">
        <v>03456P</v>
      </c>
      <c r="J291" s="6" t="str">
        <v>Android Inc</v>
      </c>
      <c r="K291" s="6" t="str">
        <v>Android Inc</v>
      </c>
      <c r="L291" s="7">
        <f>=DATE(2005,7,31)</f>
        <v>38563.99949074074</v>
      </c>
      <c r="M291" s="7">
        <f>=DATE(2005,7,31)</f>
        <v>38563.99949074074</v>
      </c>
      <c r="W291" s="6" t="str">
        <v>Internet Services &amp; Software;Programming Services</v>
      </c>
      <c r="X291" s="6" t="str">
        <v>Other Software (inq. Games)</v>
      </c>
      <c r="Y291" s="6" t="str">
        <v>Other Software (inq. Games)</v>
      </c>
      <c r="Z291" s="6" t="str">
        <v>Other Software (inq. Games)</v>
      </c>
      <c r="AA291" s="6" t="str">
        <v>Internet Services &amp; Software;Telecommunications Equipment;Primary Business not Hi-Tech;Computer Consulting Services;Programming Services</v>
      </c>
      <c r="AB291" s="6" t="str">
        <v>Telecommunications Equipment;Internet Services &amp; Software;Primary Business not Hi-Tech;Computer Consulting Services;Programming Services</v>
      </c>
      <c r="AH291" s="6" t="str">
        <v>False</v>
      </c>
      <c r="AI291" s="6" t="str">
        <v>2005</v>
      </c>
      <c r="AJ291" s="6" t="str">
        <v>Completed</v>
      </c>
      <c r="AM291" s="6" t="str">
        <v>Not Applicable</v>
      </c>
      <c r="AO291" s="6" t="str">
        <v>US - Google Inc acquired Android Inc, a developer of software. Terms were not disclosed.</v>
      </c>
    </row>
    <row r="292">
      <c r="A292" s="6" t="str">
        <v>55126T</v>
      </c>
      <c r="B292" s="6" t="str">
        <v>United States</v>
      </c>
      <c r="C292" s="6" t="str">
        <v>Lynda.com Inc</v>
      </c>
      <c r="D292" s="6" t="str">
        <v>Lynda.com Inc</v>
      </c>
      <c r="F292" s="6" t="str">
        <v>United States</v>
      </c>
      <c r="G292" s="6" t="str">
        <v>Flashforward</v>
      </c>
      <c r="H292" s="6" t="str">
        <v>Prepackaged Software</v>
      </c>
      <c r="I292" s="6" t="str">
        <v>33856J</v>
      </c>
      <c r="J292" s="6" t="str">
        <v>Lynda.com Inc</v>
      </c>
      <c r="K292" s="6" t="str">
        <v>Lynda.com Inc</v>
      </c>
      <c r="L292" s="7">
        <f>=DATE(2005,8,5)</f>
        <v>38568.99949074074</v>
      </c>
      <c r="M292" s="7">
        <f>=DATE(2005,8,5)</f>
        <v>38568.99949074074</v>
      </c>
      <c r="W292" s="6" t="str">
        <v>Internet Services &amp; Software</v>
      </c>
      <c r="X292" s="6" t="str">
        <v>Other Software (inq. Games)</v>
      </c>
      <c r="Y292" s="6" t="str">
        <v>Internet Services &amp; Software</v>
      </c>
      <c r="Z292" s="6" t="str">
        <v>Internet Services &amp; Software</v>
      </c>
      <c r="AA292" s="6" t="str">
        <v>Internet Services &amp; Software</v>
      </c>
      <c r="AB292" s="6" t="str">
        <v>Internet Services &amp; Software</v>
      </c>
      <c r="AH292" s="6" t="str">
        <v>False</v>
      </c>
      <c r="AI292" s="6" t="str">
        <v>2005</v>
      </c>
      <c r="AJ292" s="6" t="str">
        <v>Completed</v>
      </c>
      <c r="AM292" s="6" t="str">
        <v>Not Applicable</v>
      </c>
      <c r="AO292" s="6" t="str">
        <v>US - Lynda.com Inc (LI) acquired the undisclosed remaining stake which it did not already own in Flashforward, a developer of media software, a joint venture between, LI and United Digital Artists Inc.</v>
      </c>
    </row>
    <row r="293">
      <c r="A293" s="6" t="str">
        <v>594918</v>
      </c>
      <c r="B293" s="6" t="str">
        <v>United States</v>
      </c>
      <c r="C293" s="6" t="str">
        <v>Microsoft Corp</v>
      </c>
      <c r="D293" s="6" t="str">
        <v>Microsoft Corp</v>
      </c>
      <c r="F293" s="6" t="str">
        <v>United States</v>
      </c>
      <c r="G293" s="6" t="str">
        <v>Teleo Inc</v>
      </c>
      <c r="H293" s="6" t="str">
        <v>Business Services</v>
      </c>
      <c r="I293" s="6" t="str">
        <v>87898W</v>
      </c>
      <c r="J293" s="6" t="str">
        <v>Teleo Inc</v>
      </c>
      <c r="K293" s="6" t="str">
        <v>Teleo Inc</v>
      </c>
      <c r="L293" s="7">
        <f>=DATE(2005,8,29)</f>
        <v>38592.99949074074</v>
      </c>
      <c r="M293" s="7">
        <f>=DATE(2005,8,29)</f>
        <v>38592.99949074074</v>
      </c>
      <c r="W293" s="6" t="str">
        <v>Other Peripherals;Monitors/Terminals;Internet Services &amp; Software;Applications Software(Business;Operating Systems;Computer Consulting Services</v>
      </c>
      <c r="X293" s="6" t="str">
        <v>Internet Services &amp; Software;Networking Systems (LAN,WAN)</v>
      </c>
      <c r="Y293" s="6" t="str">
        <v>Internet Services &amp; Software;Networking Systems (LAN,WAN)</v>
      </c>
      <c r="Z293" s="6" t="str">
        <v>Networking Systems (LAN,WAN);Internet Services &amp; Software</v>
      </c>
      <c r="AA293" s="6" t="str">
        <v>Applications Software(Business;Monitors/Terminals;Internet Services &amp; Software;Computer Consulting Services;Operating Systems;Other Peripherals</v>
      </c>
      <c r="AB293" s="6" t="str">
        <v>Other Peripherals;Monitors/Terminals;Operating Systems;Internet Services &amp; Software;Applications Software(Business;Computer Consulting Services</v>
      </c>
      <c r="AH293" s="6" t="str">
        <v>False</v>
      </c>
      <c r="AI293" s="6" t="str">
        <v>2005</v>
      </c>
      <c r="AJ293" s="6" t="str">
        <v>Completed</v>
      </c>
      <c r="AM293" s="6" t="str">
        <v>Not Applicable</v>
      </c>
      <c r="AO293" s="6" t="str">
        <v>US - Microsoft Corp acquired Teleo Inc, a provider of Voice over Internet Protocol services. Terms were not disclosed.</v>
      </c>
    </row>
    <row r="294">
      <c r="A294" s="6" t="str">
        <v>38259P</v>
      </c>
      <c r="B294" s="6" t="str">
        <v>United States</v>
      </c>
      <c r="C294" s="6" t="str">
        <v>Google Inc</v>
      </c>
      <c r="D294" s="6" t="str">
        <v>Alphabet Inc</v>
      </c>
      <c r="F294" s="6" t="str">
        <v>United States</v>
      </c>
      <c r="G294" s="6" t="str">
        <v>Transformic Inc</v>
      </c>
      <c r="H294" s="6" t="str">
        <v>Business Services</v>
      </c>
      <c r="I294" s="6" t="str">
        <v>89329R</v>
      </c>
      <c r="J294" s="6" t="str">
        <v>Transformic Inc</v>
      </c>
      <c r="K294" s="6" t="str">
        <v>Transformic Inc</v>
      </c>
      <c r="L294" s="7">
        <f>=DATE(2005,9,15)</f>
        <v>38609.99949074074</v>
      </c>
      <c r="M294" s="7">
        <f>=DATE(2005,9,15)</f>
        <v>38609.99949074074</v>
      </c>
      <c r="W294" s="6" t="str">
        <v>Internet Services &amp; Software;Programming Services</v>
      </c>
      <c r="X294" s="6" t="str">
        <v>Internet Services &amp; Software</v>
      </c>
      <c r="Y294" s="6" t="str">
        <v>Internet Services &amp; Software</v>
      </c>
      <c r="Z294" s="6" t="str">
        <v>Internet Services &amp; Software</v>
      </c>
      <c r="AA294" s="6" t="str">
        <v>Programming Services;Primary Business not Hi-Tech;Computer Consulting Services;Telecommunications Equipment;Internet Services &amp; Software</v>
      </c>
      <c r="AB294" s="6" t="str">
        <v>Internet Services &amp; Software;Primary Business not Hi-Tech;Programming Services;Telecommunications Equipment;Computer Consulting Services</v>
      </c>
      <c r="AH294" s="6" t="str">
        <v>False</v>
      </c>
      <c r="AI294" s="6" t="str">
        <v>2005</v>
      </c>
      <c r="AJ294" s="6" t="str">
        <v>Completed</v>
      </c>
      <c r="AM294" s="6" t="str">
        <v>Not Applicable</v>
      </c>
      <c r="AO294" s="6" t="str">
        <v>US - Google Inc acquired Transformic Inc, a provider of Internet search engine services. Terms were not disclosed.</v>
      </c>
    </row>
    <row r="295">
      <c r="A295" s="6" t="str">
        <v>594918</v>
      </c>
      <c r="B295" s="6" t="str">
        <v>United States</v>
      </c>
      <c r="C295" s="6" t="str">
        <v>Microsoft Corp</v>
      </c>
      <c r="D295" s="6" t="str">
        <v>Microsoft Corp</v>
      </c>
      <c r="F295" s="6" t="str">
        <v>Canada</v>
      </c>
      <c r="G295" s="6" t="str">
        <v>Alacris Inc</v>
      </c>
      <c r="H295" s="6" t="str">
        <v>Prepackaged Software</v>
      </c>
      <c r="I295" s="6" t="str">
        <v>00644P</v>
      </c>
      <c r="J295" s="6" t="str">
        <v>Alacris Inc</v>
      </c>
      <c r="K295" s="6" t="str">
        <v>Alacris Inc</v>
      </c>
      <c r="L295" s="7">
        <f>=DATE(2005,9,19)</f>
        <v>38613.99949074074</v>
      </c>
      <c r="M295" s="7">
        <f>=DATE(2005,9,19)</f>
        <v>38613.99949074074</v>
      </c>
      <c r="W295" s="6" t="str">
        <v>Other Peripherals;Internet Services &amp; Software;Operating Systems;Monitors/Terminals;Computer Consulting Services;Applications Software(Business</v>
      </c>
      <c r="X295" s="6" t="str">
        <v>Other Software (inq. Games);Applications Software(Business</v>
      </c>
      <c r="Y295" s="6" t="str">
        <v>Other Software (inq. Games);Applications Software(Business</v>
      </c>
      <c r="Z295" s="6" t="str">
        <v>Other Software (inq. Games);Applications Software(Business</v>
      </c>
      <c r="AA295" s="6" t="str">
        <v>Computer Consulting Services;Operating Systems;Other Peripherals;Applications Software(Business;Monitors/Terminals;Internet Services &amp; Software</v>
      </c>
      <c r="AB295" s="6" t="str">
        <v>Computer Consulting Services;Internet Services &amp; Software;Other Peripherals;Operating Systems;Monitors/Terminals;Applications Software(Business</v>
      </c>
      <c r="AH295" s="6" t="str">
        <v>False</v>
      </c>
      <c r="AI295" s="6" t="str">
        <v>2005</v>
      </c>
      <c r="AJ295" s="6" t="str">
        <v>Completed</v>
      </c>
      <c r="AM295" s="6" t="str">
        <v>Not Applicable</v>
      </c>
      <c r="AO295" s="6" t="str">
        <v>US - Microsoft Corp acquired Alacris Inc, a developer of certificate management and identity assurance software.</v>
      </c>
    </row>
    <row r="296">
      <c r="A296" s="6" t="str">
        <v>38259P</v>
      </c>
      <c r="B296" s="6" t="str">
        <v>United States</v>
      </c>
      <c r="C296" s="6" t="str">
        <v>Google Inc</v>
      </c>
      <c r="D296" s="6" t="str">
        <v>Alphabet Inc</v>
      </c>
      <c r="F296" s="6" t="str">
        <v>United States</v>
      </c>
      <c r="G296" s="6" t="str">
        <v>Skia</v>
      </c>
      <c r="H296" s="6" t="str">
        <v>Prepackaged Software</v>
      </c>
      <c r="I296" s="6" t="str">
        <v>87003K</v>
      </c>
      <c r="J296" s="6" t="str">
        <v>Skia</v>
      </c>
      <c r="K296" s="6" t="str">
        <v>Skia</v>
      </c>
      <c r="L296" s="7">
        <f>=DATE(2005,11,1)</f>
        <v>38656.99949074074</v>
      </c>
      <c r="M296" s="7">
        <f>=DATE(2005,11,1)</f>
        <v>38656.99949074074</v>
      </c>
      <c r="W296" s="6" t="str">
        <v>Internet Services &amp; Software;Programming Services</v>
      </c>
      <c r="X296" s="6" t="str">
        <v>Internet Services &amp; Software;Communication/Network Software</v>
      </c>
      <c r="Y296" s="6" t="str">
        <v>Internet Services &amp; Software;Communication/Network Software</v>
      </c>
      <c r="Z296" s="6" t="str">
        <v>Communication/Network Software;Internet Services &amp; Software</v>
      </c>
      <c r="AA296" s="6" t="str">
        <v>Telecommunications Equipment;Computer Consulting Services;Programming Services;Primary Business not Hi-Tech;Internet Services &amp; Software</v>
      </c>
      <c r="AB296" s="6" t="str">
        <v>Internet Services &amp; Software;Computer Consulting Services;Primary Business not Hi-Tech;Programming Services;Telecommunications Equipment</v>
      </c>
      <c r="AH296" s="6" t="str">
        <v>False</v>
      </c>
      <c r="AI296" s="6" t="str">
        <v>2005</v>
      </c>
      <c r="AJ296" s="6" t="str">
        <v>Completed</v>
      </c>
      <c r="AM296" s="6" t="str">
        <v>Not Applicable</v>
      </c>
      <c r="AO296" s="6" t="str">
        <v>US - Google Inc acquired Skia, a developer of Internet software.</v>
      </c>
    </row>
    <row r="297">
      <c r="A297" s="6" t="str">
        <v>594918</v>
      </c>
      <c r="B297" s="6" t="str">
        <v>United States</v>
      </c>
      <c r="C297" s="6" t="str">
        <v>Microsoft Corp</v>
      </c>
      <c r="D297" s="6" t="str">
        <v>Microsoft Corp</v>
      </c>
      <c r="F297" s="6" t="str">
        <v>United States</v>
      </c>
      <c r="G297" s="6" t="str">
        <v>ByteTaxi Inc</v>
      </c>
      <c r="H297" s="6" t="str">
        <v>Prepackaged Software</v>
      </c>
      <c r="I297" s="6" t="str">
        <v>12906F</v>
      </c>
      <c r="J297" s="6" t="str">
        <v>ByteTaxi Inc</v>
      </c>
      <c r="K297" s="6" t="str">
        <v>ByteTaxi Inc</v>
      </c>
      <c r="L297" s="7">
        <f>=DATE(2005,11,3)</f>
        <v>38658.99949074074</v>
      </c>
      <c r="M297" s="7">
        <f>=DATE(2005,11,3)</f>
        <v>38658.99949074074</v>
      </c>
      <c r="W297" s="6" t="str">
        <v>Applications Software(Business;Operating Systems;Computer Consulting Services;Monitors/Terminals;Internet Services &amp; Software;Other Peripherals</v>
      </c>
      <c r="X297" s="6" t="str">
        <v>Other Software (inq. Games)</v>
      </c>
      <c r="Y297" s="6" t="str">
        <v>Other Software (inq. Games)</v>
      </c>
      <c r="Z297" s="6" t="str">
        <v>Other Software (inq. Games)</v>
      </c>
      <c r="AA297" s="6" t="str">
        <v>Monitors/Terminals;Internet Services &amp; Software;Other Peripherals;Operating Systems;Computer Consulting Services;Applications Software(Business</v>
      </c>
      <c r="AB297" s="6" t="str">
        <v>Other Peripherals;Monitors/Terminals;Internet Services &amp; Software;Applications Software(Business;Operating Systems;Computer Consulting Services</v>
      </c>
      <c r="AH297" s="6" t="str">
        <v>False</v>
      </c>
      <c r="AI297" s="6" t="str">
        <v>2005</v>
      </c>
      <c r="AJ297" s="6" t="str">
        <v>Completed</v>
      </c>
      <c r="AM297" s="6" t="str">
        <v>Not Applicable</v>
      </c>
      <c r="AO297" s="6" t="str">
        <v>US - Microsoft Inc acquired an undisclosed minority stake in ByteTaxi Inc (BT), a developer of software. The transaction inculded BT's FolderShare service. Terms were not disclosed.</v>
      </c>
    </row>
    <row r="298">
      <c r="A298" s="6" t="str">
        <v>594918</v>
      </c>
      <c r="B298" s="6" t="str">
        <v>United States</v>
      </c>
      <c r="C298" s="6" t="str">
        <v>Microsoft Corp</v>
      </c>
      <c r="D298" s="6" t="str">
        <v>Microsoft Corp</v>
      </c>
      <c r="F298" s="6" t="str">
        <v>Switzerland</v>
      </c>
      <c r="G298" s="6" t="str">
        <v>media-streams.com AG</v>
      </c>
      <c r="H298" s="6" t="str">
        <v>Prepackaged Software</v>
      </c>
      <c r="I298" s="6" t="str">
        <v>58618E</v>
      </c>
      <c r="J298" s="6" t="str">
        <v>media-streams.com AG</v>
      </c>
      <c r="K298" s="6" t="str">
        <v>media-streams.com AG</v>
      </c>
      <c r="L298" s="7">
        <f>=DATE(2005,11,3)</f>
        <v>38658.99949074074</v>
      </c>
      <c r="M298" s="7">
        <f>=DATE(2005,11,3)</f>
        <v>38658.99949074074</v>
      </c>
      <c r="W298" s="6" t="str">
        <v>Operating Systems;Computer Consulting Services;Other Peripherals;Applications Software(Business;Internet Services &amp; Software;Monitors/Terminals</v>
      </c>
      <c r="X298" s="6" t="str">
        <v>Other Software (inq. Games)</v>
      </c>
      <c r="Y298" s="6" t="str">
        <v>Other Software (inq. Games)</v>
      </c>
      <c r="Z298" s="6" t="str">
        <v>Other Software (inq. Games)</v>
      </c>
      <c r="AA298" s="6" t="str">
        <v>Operating Systems;Applications Software(Business;Monitors/Terminals;Other Peripherals;Internet Services &amp; Software;Computer Consulting Services</v>
      </c>
      <c r="AB298" s="6" t="str">
        <v>Operating Systems;Internet Services &amp; Software;Computer Consulting Services;Other Peripherals;Monitors/Terminals;Applications Software(Business</v>
      </c>
      <c r="AH298" s="6" t="str">
        <v>False</v>
      </c>
      <c r="AI298" s="6" t="str">
        <v>2005</v>
      </c>
      <c r="AJ298" s="6" t="str">
        <v>Completed</v>
      </c>
      <c r="AM298" s="6" t="str">
        <v>Not Applicable</v>
      </c>
      <c r="AO298" s="6" t="str">
        <v>SWITZERLAND - Microsoft Corp acquired media-streams.com AG, a Zurich-based developer of communications applications. Terms were not disclosed.</v>
      </c>
    </row>
    <row r="299">
      <c r="A299" s="6" t="str">
        <v>594918</v>
      </c>
      <c r="B299" s="6" t="str">
        <v>United States</v>
      </c>
      <c r="C299" s="6" t="str">
        <v>Microsoft Corp</v>
      </c>
      <c r="D299" s="6" t="str">
        <v>Microsoft Corp</v>
      </c>
      <c r="F299" s="6" t="str">
        <v>United States</v>
      </c>
      <c r="G299" s="6" t="str">
        <v>UMT-Software and IP Assets</v>
      </c>
      <c r="H299" s="6" t="str">
        <v>Prepackaged Software</v>
      </c>
      <c r="I299" s="6" t="str">
        <v>90588E</v>
      </c>
      <c r="J299" s="6" t="str">
        <v>UMT</v>
      </c>
      <c r="K299" s="6" t="str">
        <v>UMT</v>
      </c>
      <c r="L299" s="7">
        <f>=DATE(2005,12,16)</f>
        <v>38701.99949074074</v>
      </c>
      <c r="M299" s="7">
        <f>=DATE(2006,1,19)</f>
        <v>38735.99949074074</v>
      </c>
      <c r="W299" s="6" t="str">
        <v>Other Peripherals;Internet Services &amp; Software;Applications Software(Business;Operating Systems;Monitors/Terminals;Computer Consulting Services</v>
      </c>
      <c r="X299" s="6" t="str">
        <v>Other Software (inq. Games)</v>
      </c>
      <c r="Y299" s="6" t="str">
        <v>Computer Consulting Services</v>
      </c>
      <c r="Z299" s="6" t="str">
        <v>Computer Consulting Services</v>
      </c>
      <c r="AA299" s="6" t="str">
        <v>Other Peripherals;Monitors/Terminals;Operating Systems;Internet Services &amp; Software;Computer Consulting Services;Applications Software(Business</v>
      </c>
      <c r="AB299" s="6" t="str">
        <v>Internet Services &amp; Software;Other Peripherals;Applications Software(Business;Operating Systems;Monitors/Terminals;Computer Consulting Services</v>
      </c>
      <c r="AH299" s="6" t="str">
        <v>False</v>
      </c>
      <c r="AI299" s="6" t="str">
        <v>2006</v>
      </c>
      <c r="AJ299" s="6" t="str">
        <v>Completed</v>
      </c>
      <c r="AM299" s="6" t="str">
        <v>Not Applicable</v>
      </c>
      <c r="AO299" s="6" t="str">
        <v>US - Microsoft Corp acquired the software and IP assets of UMT, a provider of computer consulting services. Terms were not disclosed.</v>
      </c>
    </row>
    <row r="300">
      <c r="A300" s="6" t="str">
        <v>38259P</v>
      </c>
      <c r="B300" s="6" t="str">
        <v>United States</v>
      </c>
      <c r="C300" s="6" t="str">
        <v>Google Inc</v>
      </c>
      <c r="D300" s="6" t="str">
        <v>Alphabet Inc</v>
      </c>
      <c r="F300" s="6" t="str">
        <v>United States</v>
      </c>
      <c r="G300" s="6" t="str">
        <v>America Online Inc</v>
      </c>
      <c r="H300" s="6" t="str">
        <v>Business Services</v>
      </c>
      <c r="I300" s="6" t="str">
        <v>02363V</v>
      </c>
      <c r="J300" s="6" t="str">
        <v>Time Warner Inc</v>
      </c>
      <c r="K300" s="6" t="str">
        <v>Time Warner Inc</v>
      </c>
      <c r="L300" s="7">
        <f>=DATE(2005,12,20)</f>
        <v>38705.99949074074</v>
      </c>
      <c r="M300" s="7">
        <f>=DATE(2006,4,1)</f>
        <v>38807.99949074074</v>
      </c>
      <c r="N300" s="8">
        <v>1000</v>
      </c>
      <c r="O300" s="8">
        <v>1000</v>
      </c>
      <c r="P300" s="8" t="str">
        <v>20,000.00</v>
      </c>
      <c r="S300" s="8">
        <v>6121</v>
      </c>
      <c r="W300" s="6" t="str">
        <v>Internet Services &amp; Software;Programming Services</v>
      </c>
      <c r="X300" s="6" t="str">
        <v>Other Computer Related Svcs</v>
      </c>
      <c r="Y300" s="6" t="str">
        <v>Internet Services &amp; Software;Communication/Network Software;Satellite Communications</v>
      </c>
      <c r="Z300" s="6" t="str">
        <v>Internet Services &amp; Software;Satellite Communications;Communication/Network Software</v>
      </c>
      <c r="AA300" s="6" t="str">
        <v>Computer Consulting Services;Internet Services &amp; Software;Telecommunications Equipment;Programming Services;Primary Business not Hi-Tech</v>
      </c>
      <c r="AB300" s="6" t="str">
        <v>Primary Business not Hi-Tech;Programming Services;Telecommunications Equipment;Internet Services &amp; Software;Computer Consulting Services</v>
      </c>
      <c r="AC300" s="8">
        <v>1000</v>
      </c>
      <c r="AD300" s="7">
        <f>=DATE(2005,12,20)</f>
        <v>38705.99949074074</v>
      </c>
      <c r="AF300" s="8" t="str">
        <v>20,000.00</v>
      </c>
      <c r="AG300" s="8" t="str">
        <v>20,000.00</v>
      </c>
      <c r="AH300" s="6" t="str">
        <v>True</v>
      </c>
      <c r="AI300" s="6" t="str">
        <v>2006</v>
      </c>
      <c r="AJ300" s="6" t="str">
        <v>Completed</v>
      </c>
      <c r="AM300" s="6" t="str">
        <v>Rumored Deal</v>
      </c>
      <c r="AO300" s="6" t="str">
        <v>US - Google Inc acquired a 5% stake in America Online Inc, a provider of online services, and a wholly owned unit of Time Warner Inc, for $1 bil. Earlier, in October 2005, an investor group comprised of Google Inc and Comcast Corp, was rumored to be in negotiations to acquire an undisclosed minority stake in America Online Inc.</v>
      </c>
    </row>
    <row r="301">
      <c r="A301" s="6" t="str">
        <v>893929</v>
      </c>
      <c r="B301" s="6" t="str">
        <v>United States</v>
      </c>
      <c r="C301" s="6" t="str">
        <v>Transcend Services Inc</v>
      </c>
      <c r="D301" s="6" t="str">
        <v>Transcend Services Inc</v>
      </c>
      <c r="F301" s="6" t="str">
        <v>United States</v>
      </c>
      <c r="G301" s="6" t="str">
        <v>PracticeXpert Inc- Transcription Business Unit</v>
      </c>
      <c r="H301" s="6" t="str">
        <v>Business Services</v>
      </c>
      <c r="I301" s="6" t="str">
        <v>73958W</v>
      </c>
      <c r="J301" s="6" t="str">
        <v>PracticeXpert Inc</v>
      </c>
      <c r="K301" s="6" t="str">
        <v>PracticeXpert Inc</v>
      </c>
      <c r="L301" s="7">
        <f>=DATE(2005,12,30)</f>
        <v>38715.99949074074</v>
      </c>
      <c r="M301" s="7">
        <f>=DATE(2006,1,3)</f>
        <v>38719.99949074074</v>
      </c>
      <c r="N301" s="8">
        <v>0.54</v>
      </c>
      <c r="O301" s="8">
        <v>0.54</v>
      </c>
      <c r="W301" s="6" t="str">
        <v>Data Processing Services;Other Computer Related Svcs</v>
      </c>
      <c r="X301" s="6" t="str">
        <v>Other Software (inq. Games)</v>
      </c>
      <c r="Y301" s="6" t="str">
        <v>Other Software (inq. Games)</v>
      </c>
      <c r="Z301" s="6" t="str">
        <v>Other Software (inq. Games)</v>
      </c>
      <c r="AA301" s="6" t="str">
        <v>Data Processing Services;Other Computer Related Svcs</v>
      </c>
      <c r="AB301" s="6" t="str">
        <v>Data Processing Services;Other Computer Related Svcs</v>
      </c>
      <c r="AC301" s="8">
        <v>0.54</v>
      </c>
      <c r="AD301" s="7">
        <f>=DATE(2005,12,30)</f>
        <v>38715.99949074074</v>
      </c>
      <c r="AH301" s="6" t="str">
        <v>False</v>
      </c>
      <c r="AI301" s="6" t="str">
        <v>2006</v>
      </c>
      <c r="AJ301" s="6" t="str">
        <v>Completed</v>
      </c>
      <c r="AM301" s="6" t="str">
        <v>Divestiture</v>
      </c>
      <c r="AO301" s="6" t="str">
        <v>US - Transcend Services Inc acquired the transcription business unit of PracticeXpert Inc, a provider of medical transcription services, for $.540 mil. The consideration consisted of $.040 mil in cash and up to $.500 mil in profit-related payments.</v>
      </c>
    </row>
    <row r="302">
      <c r="A302" s="6" t="str">
        <v>38259P</v>
      </c>
      <c r="B302" s="6" t="str">
        <v>United States</v>
      </c>
      <c r="C302" s="6" t="str">
        <v>Google Inc</v>
      </c>
      <c r="D302" s="6" t="str">
        <v>Alphabet Inc</v>
      </c>
      <c r="F302" s="6" t="str">
        <v>Canada</v>
      </c>
      <c r="G302" s="6" t="str">
        <v>Reqwireless Inc</v>
      </c>
      <c r="H302" s="6" t="str">
        <v>Prepackaged Software</v>
      </c>
      <c r="I302" s="6" t="str">
        <v>75429J</v>
      </c>
      <c r="J302" s="6" t="str">
        <v>Reqwireless Inc</v>
      </c>
      <c r="K302" s="6" t="str">
        <v>Reqwireless Inc</v>
      </c>
      <c r="L302" s="7">
        <f>=DATE(2006,1,6)</f>
        <v>38722.99949074074</v>
      </c>
      <c r="M302" s="7">
        <f>=DATE(2006,1,6)</f>
        <v>38722.99949074074</v>
      </c>
      <c r="W302" s="6" t="str">
        <v>Internet Services &amp; Software;Programming Services</v>
      </c>
      <c r="X302" s="6" t="str">
        <v>Internet Services &amp; Software;Communication/Network Software</v>
      </c>
      <c r="Y302" s="6" t="str">
        <v>Communication/Network Software;Internet Services &amp; Software</v>
      </c>
      <c r="Z302" s="6" t="str">
        <v>Communication/Network Software;Internet Services &amp; Software</v>
      </c>
      <c r="AA302" s="6" t="str">
        <v>Computer Consulting Services;Programming Services;Internet Services &amp; Software;Primary Business not Hi-Tech;Telecommunications Equipment</v>
      </c>
      <c r="AB302" s="6" t="str">
        <v>Telecommunications Equipment;Programming Services;Primary Business not Hi-Tech;Computer Consulting Services;Internet Services &amp; Software</v>
      </c>
      <c r="AH302" s="6" t="str">
        <v>False</v>
      </c>
      <c r="AI302" s="6" t="str">
        <v>2006</v>
      </c>
      <c r="AJ302" s="6" t="str">
        <v>Completed</v>
      </c>
      <c r="AM302" s="6" t="str">
        <v>Not Applicable</v>
      </c>
      <c r="AO302" s="6" t="str">
        <v>US - Google Inc acquired Reqwireless Inc, a developer of web browser software.</v>
      </c>
    </row>
    <row r="303">
      <c r="A303" s="6" t="str">
        <v>38259P</v>
      </c>
      <c r="B303" s="6" t="str">
        <v>United States</v>
      </c>
      <c r="C303" s="6" t="str">
        <v>Google Inc</v>
      </c>
      <c r="D303" s="6" t="str">
        <v>Alphabet Inc</v>
      </c>
      <c r="F303" s="6" t="str">
        <v>United States</v>
      </c>
      <c r="G303" s="6" t="str">
        <v>dMarc Broadcasting Inc</v>
      </c>
      <c r="H303" s="6" t="str">
        <v>Prepackaged Software</v>
      </c>
      <c r="I303" s="6" t="str">
        <v>23554V</v>
      </c>
      <c r="J303" s="6" t="str">
        <v>dMarc Broadcasting Inc</v>
      </c>
      <c r="K303" s="6" t="str">
        <v>dMarc Broadcasting Inc</v>
      </c>
      <c r="L303" s="7">
        <f>=DATE(2006,1,16)</f>
        <v>38732.99949074074</v>
      </c>
      <c r="M303" s="7">
        <f>=DATE(2006,2,28)</f>
        <v>38775.99949074074</v>
      </c>
      <c r="N303" s="8">
        <v>102</v>
      </c>
      <c r="O303" s="8">
        <v>102</v>
      </c>
      <c r="W303" s="6" t="str">
        <v>Programming Services;Internet Services &amp; Software</v>
      </c>
      <c r="X303" s="6" t="str">
        <v>Other Computer Systems;Communication/Network Software;Networking Systems (LAN,WAN);Other Peripherals</v>
      </c>
      <c r="Y303" s="6" t="str">
        <v>Other Computer Systems;Other Peripherals;Communication/Network Software;Networking Systems (LAN,WAN)</v>
      </c>
      <c r="Z303" s="6" t="str">
        <v>Other Computer Systems;Communication/Network Software;Other Peripherals;Networking Systems (LAN,WAN)</v>
      </c>
      <c r="AA303" s="6" t="str">
        <v>Primary Business not Hi-Tech;Internet Services &amp; Software;Computer Consulting Services;Telecommunications Equipment;Programming Services</v>
      </c>
      <c r="AB303" s="6" t="str">
        <v>Computer Consulting Services;Programming Services;Telecommunications Equipment;Primary Business not Hi-Tech;Internet Services &amp; Software</v>
      </c>
      <c r="AC303" s="8">
        <v>102</v>
      </c>
      <c r="AD303" s="7">
        <f>=DATE(2006,1,16)</f>
        <v>38732.99949074074</v>
      </c>
      <c r="AF303" s="8" t="str">
        <v>102.00</v>
      </c>
      <c r="AG303" s="8" t="str">
        <v>102.00</v>
      </c>
      <c r="AH303" s="6" t="str">
        <v>False</v>
      </c>
      <c r="AI303" s="6" t="str">
        <v>2006</v>
      </c>
      <c r="AJ303" s="6" t="str">
        <v>Completed</v>
      </c>
      <c r="AM303" s="6" t="str">
        <v>Not Applicable</v>
      </c>
      <c r="AO303" s="6" t="str">
        <v>US - Google Inc acquired all the outstanding stock of dMarc Broadcasting Inc, a provider of digital studio automation, data services, and advertising sales solutions for the radio broadcast industry, for an estimated $102 mil in cash, and an undisclosed amount in profit-related payments. The transaction was subject to customary closing conditions.</v>
      </c>
    </row>
    <row r="304">
      <c r="A304" s="6" t="str">
        <v>594918</v>
      </c>
      <c r="B304" s="6" t="str">
        <v>United States</v>
      </c>
      <c r="C304" s="6" t="str">
        <v>Microsoft Corp</v>
      </c>
      <c r="D304" s="6" t="str">
        <v>Microsoft Corp</v>
      </c>
      <c r="F304" s="6" t="str">
        <v>United States</v>
      </c>
      <c r="G304" s="6" t="str">
        <v>Seadragon Software</v>
      </c>
      <c r="H304" s="6" t="str">
        <v>Prepackaged Software</v>
      </c>
      <c r="I304" s="6" t="str">
        <v>81133K</v>
      </c>
      <c r="J304" s="6" t="str">
        <v>Seadragon Software</v>
      </c>
      <c r="K304" s="6" t="str">
        <v>Seadragon Software</v>
      </c>
      <c r="L304" s="7">
        <f>=DATE(2006,1,28)</f>
        <v>38744.99949074074</v>
      </c>
      <c r="M304" s="7">
        <f>=DATE(2006,2,13)</f>
        <v>38760.99949074074</v>
      </c>
      <c r="W304" s="6" t="str">
        <v>Other Peripherals;Applications Software(Business;Operating Systems;Computer Consulting Services;Internet Services &amp; Software;Monitors/Terminals</v>
      </c>
      <c r="X304" s="6" t="str">
        <v>Other Software (inq. Games)</v>
      </c>
      <c r="Y304" s="6" t="str">
        <v>Other Software (inq. Games)</v>
      </c>
      <c r="Z304" s="6" t="str">
        <v>Other Software (inq. Games)</v>
      </c>
      <c r="AA304" s="6" t="str">
        <v>Internet Services &amp; Software;Other Peripherals;Monitors/Terminals;Operating Systems;Applications Software(Business;Computer Consulting Services</v>
      </c>
      <c r="AB304" s="6" t="str">
        <v>Monitors/Terminals;Internet Services &amp; Software;Operating Systems;Other Peripherals;Computer Consulting Services;Applications Software(Business</v>
      </c>
      <c r="AH304" s="6" t="str">
        <v>False</v>
      </c>
      <c r="AI304" s="6" t="str">
        <v>2006</v>
      </c>
      <c r="AJ304" s="6" t="str">
        <v>Completed</v>
      </c>
      <c r="AM304" s="6" t="str">
        <v>Not Applicable</v>
      </c>
      <c r="AO304" s="6" t="str">
        <v>US - Microsoft Corp acquired Seadragon Software, a developer of software. Terms were not disclosed.</v>
      </c>
    </row>
    <row r="305">
      <c r="A305" s="6" t="str">
        <v>01157Z</v>
      </c>
      <c r="B305" s="6" t="str">
        <v>United States</v>
      </c>
      <c r="C305" s="6" t="str">
        <v>Atrua Technologies Inc</v>
      </c>
      <c r="D305" s="6" t="str">
        <v>Atrua Technologies Inc</v>
      </c>
      <c r="F305" s="6" t="str">
        <v>United States</v>
      </c>
      <c r="G305" s="6" t="str">
        <v>Varatouch Technology Inc</v>
      </c>
      <c r="H305" s="6" t="str">
        <v>Prepackaged Software</v>
      </c>
      <c r="I305" s="6" t="str">
        <v>92312A</v>
      </c>
      <c r="J305" s="6" t="str">
        <v>Varatouch Technology Inc</v>
      </c>
      <c r="K305" s="6" t="str">
        <v>Varatouch Technology Inc</v>
      </c>
      <c r="L305" s="7">
        <f>=DATE(2006,2,1)</f>
        <v>38748.99949074074</v>
      </c>
      <c r="M305" s="7">
        <f>=DATE(2006,2,14)</f>
        <v>38761.99949074074</v>
      </c>
      <c r="W305" s="6" t="str">
        <v>Semiconductors;Applications Software(Business;Communication/Network Software</v>
      </c>
      <c r="X305" s="6" t="str">
        <v>Communication/Network Software</v>
      </c>
      <c r="Y305" s="6" t="str">
        <v>Communication/Network Software</v>
      </c>
      <c r="Z305" s="6" t="str">
        <v>Communication/Network Software</v>
      </c>
      <c r="AA305" s="6" t="str">
        <v>Semiconductors;Communication/Network Software;Applications Software(Business</v>
      </c>
      <c r="AB305" s="6" t="str">
        <v>Communication/Network Software;Applications Software(Business;Semiconductors</v>
      </c>
      <c r="AH305" s="6" t="str">
        <v>False</v>
      </c>
      <c r="AI305" s="6" t="str">
        <v>2006</v>
      </c>
      <c r="AJ305" s="6" t="str">
        <v>Completed</v>
      </c>
      <c r="AM305" s="6" t="str">
        <v>Not Applicable</v>
      </c>
      <c r="AO305" s="6" t="str">
        <v>US - Atrua Technologies Inc acquired Varatouch Technology Inc, a developer of analog control software.</v>
      </c>
    </row>
    <row r="306">
      <c r="A306" s="6" t="str">
        <v>67020Y</v>
      </c>
      <c r="B306" s="6" t="str">
        <v>United States</v>
      </c>
      <c r="C306" s="6" t="str">
        <v>Nuance Communications Inc</v>
      </c>
      <c r="D306" s="6" t="str">
        <v>Nuance Communications Inc</v>
      </c>
      <c r="F306" s="6" t="str">
        <v>United States</v>
      </c>
      <c r="G306" s="6" t="str">
        <v>Dictaphone Corp</v>
      </c>
      <c r="H306" s="6" t="str">
        <v>Communications Equipment</v>
      </c>
      <c r="I306" s="6" t="str">
        <v>253579</v>
      </c>
      <c r="J306" s="6" t="str">
        <v>Dictaphone Corp</v>
      </c>
      <c r="K306" s="6" t="str">
        <v>Dictaphone Corp</v>
      </c>
      <c r="L306" s="7">
        <f>=DATE(2006,2,8)</f>
        <v>38755.99949074074</v>
      </c>
      <c r="M306" s="7">
        <f>=DATE(2006,3,31)</f>
        <v>38806.99949074074</v>
      </c>
      <c r="N306" s="8">
        <v>357</v>
      </c>
      <c r="O306" s="8">
        <v>357</v>
      </c>
      <c r="R306" s="8">
        <v>12.58</v>
      </c>
      <c r="S306" s="8">
        <v>70.456</v>
      </c>
      <c r="T306" s="8">
        <v>-34.332</v>
      </c>
      <c r="U306" s="8">
        <v>29.563</v>
      </c>
      <c r="V306" s="8">
        <v>16.462</v>
      </c>
      <c r="W306" s="6" t="str">
        <v>Internet Services &amp; Software;Primary Business not Hi-Tech;Applications Software(Business;Database Software/Programming;Other Software (inq. Games);Applications Software(Home);Computer Consulting Services;Utilities/File Mgmt Software;Programming Services;Communication/Network Software;Desktop Publishing;Other Computer Related Svcs;Networking Systems (LAN,WAN)</v>
      </c>
      <c r="X306" s="6" t="str">
        <v>Other Telecommunications Equip;Modems;Telephone Interconnect Equip;Data Commun(Exclude networking;Messaging Systems</v>
      </c>
      <c r="Y306" s="6" t="str">
        <v>Messaging Systems;Telephone Interconnect Equip;Modems;Data Commun(Exclude networking;Other Telecommunications Equip</v>
      </c>
      <c r="Z306" s="6" t="str">
        <v>Messaging Systems;Modems;Telephone Interconnect Equip;Other Telecommunications Equip;Data Commun(Exclude networking</v>
      </c>
      <c r="AA306" s="6" t="str">
        <v>Networking Systems (LAN,WAN);Database Software/Programming;Other Computer Related Svcs;Primary Business not Hi-Tech;Programming Services;Applications Software(Business;Communication/Network Software;Desktop Publishing;Applications Software(Home);Utilities/File Mgmt Software;Computer Consulting Services;Internet Services &amp; Software;Other Software (inq. Games)</v>
      </c>
      <c r="AB306" s="6" t="str">
        <v>Networking Systems (LAN,WAN);Utilities/File Mgmt Software;Communication/Network Software;Primary Business not Hi-Tech;Other Computer Related Svcs;Computer Consulting Services;Programming Services;Applications Software(Business;Applications Software(Home);Desktop Publishing;Other Software (inq. Games);Database Software/Programming;Internet Services &amp; Software</v>
      </c>
      <c r="AC306" s="8">
        <v>357</v>
      </c>
      <c r="AD306" s="7">
        <f>=DATE(2006,2,8)</f>
        <v>38755.99949074074</v>
      </c>
      <c r="AH306" s="6" t="str">
        <v>True</v>
      </c>
      <c r="AI306" s="6" t="str">
        <v>2006</v>
      </c>
      <c r="AJ306" s="6" t="str">
        <v>Completed</v>
      </c>
      <c r="AM306" s="6" t="str">
        <v>Financial Acquiror</v>
      </c>
      <c r="AN306" s="8">
        <v>33.587</v>
      </c>
      <c r="AO306" s="6" t="str">
        <v>US - Nuance Communications Inc acquired Dictaphone Corporation, a manufacturer of business communications equipment, for $357 mil in cash. The transaction was subject to the approval of regulatory authorities.</v>
      </c>
    </row>
    <row r="307">
      <c r="A307" s="6" t="str">
        <v>594918</v>
      </c>
      <c r="B307" s="6" t="str">
        <v>United States</v>
      </c>
      <c r="C307" s="6" t="str">
        <v>Microsoft Corp</v>
      </c>
      <c r="D307" s="6" t="str">
        <v>Microsoft Corp</v>
      </c>
      <c r="F307" s="6" t="str">
        <v>France</v>
      </c>
      <c r="G307" s="6" t="str">
        <v>MotionBridge SA</v>
      </c>
      <c r="H307" s="6" t="str">
        <v>Prepackaged Software</v>
      </c>
      <c r="I307" s="6" t="str">
        <v>61994E</v>
      </c>
      <c r="J307" s="6" t="str">
        <v>MotionBridge SA</v>
      </c>
      <c r="K307" s="6" t="str">
        <v>MotionBridge SA</v>
      </c>
      <c r="L307" s="7">
        <f>=DATE(2006,2,13)</f>
        <v>38760.99949074074</v>
      </c>
      <c r="M307" s="7">
        <f>=DATE(2006,2,13)</f>
        <v>38760.99949074074</v>
      </c>
      <c r="N307" s="8">
        <v>17.8545922011141</v>
      </c>
      <c r="O307" s="8">
        <v>17.8545922011141</v>
      </c>
      <c r="W307" s="6" t="str">
        <v>Computer Consulting Services;Other Peripherals;Operating Systems;Monitors/Terminals;Internet Services &amp; Software;Applications Software(Business</v>
      </c>
      <c r="X307" s="6" t="str">
        <v>Applications Software(Business;Internet Services &amp; Software;Communication/Network Software</v>
      </c>
      <c r="Y307" s="6" t="str">
        <v>Communication/Network Software;Applications Software(Business;Internet Services &amp; Software</v>
      </c>
      <c r="Z307" s="6" t="str">
        <v>Applications Software(Business;Communication/Network Software;Internet Services &amp; Software</v>
      </c>
      <c r="AA307" s="6" t="str">
        <v>Computer Consulting Services;Applications Software(Business;Internet Services &amp; Software;Monitors/Terminals;Operating Systems;Other Peripherals</v>
      </c>
      <c r="AB307" s="6" t="str">
        <v>Internet Services &amp; Software;Other Peripherals;Monitors/Terminals;Operating Systems;Applications Software(Business;Computer Consulting Services</v>
      </c>
      <c r="AC307" s="8">
        <v>17.8545922011141</v>
      </c>
      <c r="AD307" s="7">
        <f>=DATE(2006,12,5)</f>
        <v>39055.99949074074</v>
      </c>
      <c r="AH307" s="6" t="str">
        <v>False</v>
      </c>
      <c r="AI307" s="6" t="str">
        <v>2006</v>
      </c>
      <c r="AJ307" s="6" t="str">
        <v>Completed</v>
      </c>
      <c r="AM307" s="6" t="str">
        <v>Not Applicable</v>
      </c>
      <c r="AO307" s="6" t="str">
        <v>FRANCE - Microsoft Corp of the US acquired MotionBridge SA, a Paris-based provider of search technology for mobile operators and mobile internet, for 15 mil euros ($17.858 mil US).</v>
      </c>
    </row>
    <row r="308">
      <c r="A308" s="6" t="str">
        <v>05069A</v>
      </c>
      <c r="B308" s="6" t="str">
        <v>United States</v>
      </c>
      <c r="C308" s="6" t="str">
        <v>Audible Inc</v>
      </c>
      <c r="D308" s="6" t="str">
        <v>Audible Inc</v>
      </c>
      <c r="F308" s="6" t="str">
        <v>United States</v>
      </c>
      <c r="G308" s="6" t="str">
        <v>Audible Inc</v>
      </c>
      <c r="H308" s="6" t="str">
        <v>Business Services</v>
      </c>
      <c r="I308" s="6" t="str">
        <v>05069A</v>
      </c>
      <c r="J308" s="6" t="str">
        <v>Audible Inc</v>
      </c>
      <c r="K308" s="6" t="str">
        <v>Audible Inc</v>
      </c>
      <c r="L308" s="7">
        <f>=DATE(2006,2,17)</f>
        <v>38764.99949074074</v>
      </c>
      <c r="N308" s="8">
        <v>25</v>
      </c>
      <c r="O308" s="8">
        <v>25</v>
      </c>
      <c r="R308" s="8">
        <v>-0.653</v>
      </c>
      <c r="S308" s="8">
        <v>63.237</v>
      </c>
      <c r="T308" s="8">
        <v>0.864</v>
      </c>
      <c r="U308" s="8">
        <v>-14.392</v>
      </c>
      <c r="V308" s="8">
        <v>11.779</v>
      </c>
      <c r="W308" s="6" t="str">
        <v>Internet Services &amp; Software</v>
      </c>
      <c r="X308" s="6" t="str">
        <v>Internet Services &amp; Software</v>
      </c>
      <c r="Y308" s="6" t="str">
        <v>Internet Services &amp; Software</v>
      </c>
      <c r="Z308" s="6" t="str">
        <v>Internet Services &amp; Software</v>
      </c>
      <c r="AA308" s="6" t="str">
        <v>Internet Services &amp; Software</v>
      </c>
      <c r="AB308" s="6" t="str">
        <v>Internet Services &amp; Software</v>
      </c>
      <c r="AC308" s="8">
        <v>25</v>
      </c>
      <c r="AD308" s="7">
        <f>=DATE(2006,2,17)</f>
        <v>38764.99949074074</v>
      </c>
      <c r="AH308" s="6" t="str">
        <v>True</v>
      </c>
      <c r="AJ308" s="6" t="str">
        <v>Withdrawn</v>
      </c>
      <c r="AM308" s="6" t="str">
        <v>Repurchase;Open Market Purchase</v>
      </c>
      <c r="AO308" s="6" t="str">
        <v>On February 16, 2005, the board of Audible Inc authorized the repurchase of up to $25 mil of its common stock outstanding in open market transactions. As of December 31, 2007, the company had purchased 0.779 million shares at a total cost of $6.767 million. The program was terminated due to the acquisition of Amazon.com Inc on March 2010.</v>
      </c>
    </row>
    <row r="309">
      <c r="A309" s="6" t="str">
        <v>38259P</v>
      </c>
      <c r="B309" s="6" t="str">
        <v>United States</v>
      </c>
      <c r="C309" s="6" t="str">
        <v>Google Inc</v>
      </c>
      <c r="D309" s="6" t="str">
        <v>Alphabet Inc</v>
      </c>
      <c r="F309" s="6" t="str">
        <v>United States</v>
      </c>
      <c r="G309" s="6" t="str">
        <v>Measure Map</v>
      </c>
      <c r="H309" s="6" t="str">
        <v>Business Services</v>
      </c>
      <c r="I309" s="6" t="str">
        <v>58341X</v>
      </c>
      <c r="J309" s="6" t="str">
        <v>Measure Map</v>
      </c>
      <c r="K309" s="6" t="str">
        <v>Measure Map</v>
      </c>
      <c r="L309" s="7">
        <f>=DATE(2006,2,20)</f>
        <v>38767.99949074074</v>
      </c>
      <c r="M309" s="7">
        <f>=DATE(2006,2,20)</f>
        <v>38767.99949074074</v>
      </c>
      <c r="W309" s="6" t="str">
        <v>Programming Services;Internet Services &amp; Software</v>
      </c>
      <c r="X309" s="6" t="str">
        <v>Internet Services &amp; Software</v>
      </c>
      <c r="Y309" s="6" t="str">
        <v>Internet Services &amp; Software</v>
      </c>
      <c r="Z309" s="6" t="str">
        <v>Internet Services &amp; Software</v>
      </c>
      <c r="AA309" s="6" t="str">
        <v>Primary Business not Hi-Tech;Internet Services &amp; Software;Programming Services;Computer Consulting Services;Telecommunications Equipment</v>
      </c>
      <c r="AB309" s="6" t="str">
        <v>Primary Business not Hi-Tech;Programming Services;Computer Consulting Services;Telecommunications Equipment;Internet Services &amp; Software</v>
      </c>
      <c r="AH309" s="6" t="str">
        <v>False</v>
      </c>
      <c r="AI309" s="6" t="str">
        <v>2006</v>
      </c>
      <c r="AJ309" s="6" t="str">
        <v>Completed</v>
      </c>
      <c r="AM309" s="6" t="str">
        <v>Not Applicable</v>
      </c>
      <c r="AO309" s="6" t="str">
        <v>US - Google Inc acquired Measure Map, a provider of blog usage and traffic anaylsis.</v>
      </c>
    </row>
    <row r="310">
      <c r="A310" s="6" t="str">
        <v>023135</v>
      </c>
      <c r="B310" s="6" t="str">
        <v>United States</v>
      </c>
      <c r="C310" s="6" t="str">
        <v>Amazon.com Inc</v>
      </c>
      <c r="D310" s="6" t="str">
        <v>Amazon.com Inc</v>
      </c>
      <c r="F310" s="6" t="str">
        <v>United States</v>
      </c>
      <c r="G310" s="6" t="str">
        <v>Shopbop.com</v>
      </c>
      <c r="H310" s="6" t="str">
        <v>Business Services</v>
      </c>
      <c r="I310" s="6" t="str">
        <v>83111R</v>
      </c>
      <c r="J310" s="6" t="str">
        <v>Shopbop.com</v>
      </c>
      <c r="K310" s="6" t="str">
        <v>Shopbop.com</v>
      </c>
      <c r="L310" s="7">
        <f>=DATE(2006,2,27)</f>
        <v>38774.99949074074</v>
      </c>
      <c r="M310" s="7">
        <f>=DATE(2006,2,27)</f>
        <v>38774.99949074074</v>
      </c>
      <c r="W310" s="6" t="str">
        <v>Primary Business not Hi-Tech</v>
      </c>
      <c r="X310" s="6" t="str">
        <v>Internet Services &amp; Software;Networking Systems (LAN,WAN)</v>
      </c>
      <c r="Y310" s="6" t="str">
        <v>Networking Systems (LAN,WAN);Internet Services &amp; Software</v>
      </c>
      <c r="Z310" s="6" t="str">
        <v>Networking Systems (LAN,WAN);Internet Services &amp; Software</v>
      </c>
      <c r="AA310" s="6" t="str">
        <v>Primary Business not Hi-Tech</v>
      </c>
      <c r="AB310" s="6" t="str">
        <v>Primary Business not Hi-Tech</v>
      </c>
      <c r="AH310" s="6" t="str">
        <v>False</v>
      </c>
      <c r="AI310" s="6" t="str">
        <v>2006</v>
      </c>
      <c r="AJ310" s="6" t="str">
        <v>Completed</v>
      </c>
      <c r="AM310" s="6" t="str">
        <v>Not Applicable</v>
      </c>
      <c r="AO310" s="6" t="str">
        <v>US - Amazon.com Inc acquired Shopbop.com, a provider of online shopping services. Terms were not disclosed.</v>
      </c>
    </row>
    <row r="311">
      <c r="A311" s="6" t="str">
        <v>594918</v>
      </c>
      <c r="B311" s="6" t="str">
        <v>United States</v>
      </c>
      <c r="C311" s="6" t="str">
        <v>Microsoft Corp</v>
      </c>
      <c r="D311" s="6" t="str">
        <v>Microsoft Corp</v>
      </c>
      <c r="F311" s="6" t="str">
        <v>United States</v>
      </c>
      <c r="G311" s="6" t="str">
        <v>Apptimum Inc</v>
      </c>
      <c r="H311" s="6" t="str">
        <v>Prepackaged Software</v>
      </c>
      <c r="I311" s="6" t="str">
        <v>03807C</v>
      </c>
      <c r="J311" s="6" t="str">
        <v>Apptimum Inc</v>
      </c>
      <c r="K311" s="6" t="str">
        <v>Apptimum Inc</v>
      </c>
      <c r="L311" s="7">
        <f>=DATE(2006,3,7)</f>
        <v>38782.99949074074</v>
      </c>
      <c r="M311" s="7">
        <f>=DATE(2006,3,7)</f>
        <v>38782.99949074074</v>
      </c>
      <c r="W311" s="6" t="str">
        <v>Other Peripherals;Monitors/Terminals;Internet Services &amp; Software;Applications Software(Business;Computer Consulting Services;Operating Systems</v>
      </c>
      <c r="X311" s="6" t="str">
        <v>Other Software (inq. Games)</v>
      </c>
      <c r="Y311" s="6" t="str">
        <v>Other Software (inq. Games)</v>
      </c>
      <c r="Z311" s="6" t="str">
        <v>Other Software (inq. Games)</v>
      </c>
      <c r="AA311" s="6" t="str">
        <v>Monitors/Terminals;Other Peripherals;Operating Systems;Applications Software(Business;Computer Consulting Services;Internet Services &amp; Software</v>
      </c>
      <c r="AB311" s="6" t="str">
        <v>Operating Systems;Other Peripherals;Monitors/Terminals;Applications Software(Business;Internet Services &amp; Software;Computer Consulting Services</v>
      </c>
      <c r="AH311" s="6" t="str">
        <v>False</v>
      </c>
      <c r="AI311" s="6" t="str">
        <v>2006</v>
      </c>
      <c r="AJ311" s="6" t="str">
        <v>Completed</v>
      </c>
      <c r="AM311" s="6" t="str">
        <v>Not Applicable</v>
      </c>
      <c r="AO311" s="6" t="str">
        <v>US - Microsoft Corp acquired Apptimum Inc, a developer of software. Terms were not disclosed</v>
      </c>
    </row>
    <row r="312">
      <c r="A312" s="6" t="str">
        <v>594918</v>
      </c>
      <c r="B312" s="6" t="str">
        <v>United States</v>
      </c>
      <c r="C312" s="6" t="str">
        <v>Microsoft Corp</v>
      </c>
      <c r="D312" s="6" t="str">
        <v>Microsoft Corp</v>
      </c>
      <c r="F312" s="6" t="str">
        <v>United States</v>
      </c>
      <c r="G312" s="6" t="str">
        <v>Onfolio Inc</v>
      </c>
      <c r="H312" s="6" t="str">
        <v>Prepackaged Software</v>
      </c>
      <c r="I312" s="6" t="str">
        <v>68298X</v>
      </c>
      <c r="J312" s="6" t="str">
        <v>Onfolio Inc</v>
      </c>
      <c r="K312" s="6" t="str">
        <v>Onfolio Inc</v>
      </c>
      <c r="L312" s="7">
        <f>=DATE(2006,3,7)</f>
        <v>38782.99949074074</v>
      </c>
      <c r="M312" s="7">
        <f>=DATE(2006,3,7)</f>
        <v>38782.99949074074</v>
      </c>
      <c r="W312" s="6" t="str">
        <v>Computer Consulting Services;Internet Services &amp; Software;Monitors/Terminals;Other Peripherals;Applications Software(Business;Operating Systems</v>
      </c>
      <c r="X312" s="6" t="str">
        <v>Internet Services &amp; Software;Communication/Network Software</v>
      </c>
      <c r="Y312" s="6" t="str">
        <v>Communication/Network Software;Internet Services &amp; Software</v>
      </c>
      <c r="Z312" s="6" t="str">
        <v>Communication/Network Software;Internet Services &amp; Software</v>
      </c>
      <c r="AA312" s="6" t="str">
        <v>Monitors/Terminals;Internet Services &amp; Software;Applications Software(Business;Operating Systems;Other Peripherals;Computer Consulting Services</v>
      </c>
      <c r="AB312" s="6" t="str">
        <v>Computer Consulting Services;Applications Software(Business;Operating Systems;Monitors/Terminals;Other Peripherals;Internet Services &amp; Software</v>
      </c>
      <c r="AH312" s="6" t="str">
        <v>False</v>
      </c>
      <c r="AI312" s="6" t="str">
        <v>2006</v>
      </c>
      <c r="AJ312" s="6" t="str">
        <v>Completed</v>
      </c>
      <c r="AM312" s="6" t="str">
        <v>Not Applicable</v>
      </c>
      <c r="AO312" s="6" t="str">
        <v>US - Microsoft Corp acquired Onfolio Inc, a developer of internet software for research and information management services. Terms were not disclosed.</v>
      </c>
    </row>
    <row r="313">
      <c r="A313" s="6" t="str">
        <v>38259P</v>
      </c>
      <c r="B313" s="6" t="str">
        <v>United States</v>
      </c>
      <c r="C313" s="6" t="str">
        <v>Google Inc</v>
      </c>
      <c r="D313" s="6" t="str">
        <v>Alphabet Inc</v>
      </c>
      <c r="F313" s="6" t="str">
        <v>United States</v>
      </c>
      <c r="G313" s="6" t="str">
        <v>Upstartle LLC</v>
      </c>
      <c r="H313" s="6" t="str">
        <v>Prepackaged Software</v>
      </c>
      <c r="I313" s="6" t="str">
        <v>91678J</v>
      </c>
      <c r="J313" s="6" t="str">
        <v>Upstartle LLC</v>
      </c>
      <c r="K313" s="6" t="str">
        <v>Upstartle LLC</v>
      </c>
      <c r="L313" s="7">
        <f>=DATE(2006,3,9)</f>
        <v>38784.99949074074</v>
      </c>
      <c r="M313" s="7">
        <f>=DATE(2006,3,9)</f>
        <v>38784.99949074074</v>
      </c>
      <c r="W313" s="6" t="str">
        <v>Programming Services;Internet Services &amp; Software</v>
      </c>
      <c r="X313" s="6" t="str">
        <v>Internet Services &amp; Software;Communication/Network Software</v>
      </c>
      <c r="Y313" s="6" t="str">
        <v>Communication/Network Software;Internet Services &amp; Software</v>
      </c>
      <c r="Z313" s="6" t="str">
        <v>Communication/Network Software;Internet Services &amp; Software</v>
      </c>
      <c r="AA313" s="6" t="str">
        <v>Primary Business not Hi-Tech;Internet Services &amp; Software;Programming Services;Computer Consulting Services;Telecommunications Equipment</v>
      </c>
      <c r="AB313" s="6" t="str">
        <v>Programming Services;Primary Business not Hi-Tech;Telecommunications Equipment;Internet Services &amp; Software;Computer Consulting Services</v>
      </c>
      <c r="AH313" s="6" t="str">
        <v>False</v>
      </c>
      <c r="AI313" s="6" t="str">
        <v>2006</v>
      </c>
      <c r="AJ313" s="6" t="str">
        <v>Completed</v>
      </c>
      <c r="AM313" s="6" t="str">
        <v>Not Applicable</v>
      </c>
      <c r="AO313" s="6" t="str">
        <v>US - Google Inc acquired Upstartle LLC , a developer of internet software. Terms were not disclosed.</v>
      </c>
    </row>
    <row r="314">
      <c r="A314" s="6" t="str">
        <v>38259P</v>
      </c>
      <c r="B314" s="6" t="str">
        <v>United States</v>
      </c>
      <c r="C314" s="6" t="str">
        <v>Google Inc</v>
      </c>
      <c r="D314" s="6" t="str">
        <v>Alphabet Inc</v>
      </c>
      <c r="F314" s="6" t="str">
        <v>United States</v>
      </c>
      <c r="G314" s="6" t="str">
        <v>@Last Software</v>
      </c>
      <c r="H314" s="6" t="str">
        <v>Prepackaged Software</v>
      </c>
      <c r="I314" s="6" t="str">
        <v>04676W</v>
      </c>
      <c r="J314" s="6" t="str">
        <v>@Last Software</v>
      </c>
      <c r="K314" s="6" t="str">
        <v>@Last Software</v>
      </c>
      <c r="L314" s="7">
        <f>=DATE(2006,3,15)</f>
        <v>38790.99949074074</v>
      </c>
      <c r="M314" s="7">
        <f>=DATE(2006,3,15)</f>
        <v>38790.99949074074</v>
      </c>
      <c r="W314" s="6" t="str">
        <v>Programming Services;Internet Services &amp; Software</v>
      </c>
      <c r="X314" s="6" t="str">
        <v>Other Software (inq. Games)</v>
      </c>
      <c r="Y314" s="6" t="str">
        <v>Other Software (inq. Games)</v>
      </c>
      <c r="Z314" s="6" t="str">
        <v>Other Software (inq. Games)</v>
      </c>
      <c r="AA314" s="6" t="str">
        <v>Telecommunications Equipment;Computer Consulting Services;Primary Business not Hi-Tech;Internet Services &amp; Software;Programming Services</v>
      </c>
      <c r="AB314" s="6" t="str">
        <v>Primary Business not Hi-Tech;Programming Services;Computer Consulting Services;Internet Services &amp; Software;Telecommunications Equipment</v>
      </c>
      <c r="AH314" s="6" t="str">
        <v>False</v>
      </c>
      <c r="AI314" s="6" t="str">
        <v>2006</v>
      </c>
      <c r="AJ314" s="6" t="str">
        <v>Completed</v>
      </c>
      <c r="AM314" s="6" t="str">
        <v>Not Applicable</v>
      </c>
      <c r="AO314" s="6" t="str">
        <v>US - Google Inc acquired @Last Software, a developer of sketchup 3d drawing tool software.</v>
      </c>
    </row>
    <row r="315">
      <c r="A315" s="6" t="str">
        <v>594918</v>
      </c>
      <c r="B315" s="6" t="str">
        <v>United States</v>
      </c>
      <c r="C315" s="6" t="str">
        <v>Microsoft Corp</v>
      </c>
      <c r="D315" s="6" t="str">
        <v>Microsoft Corp</v>
      </c>
      <c r="F315" s="6" t="str">
        <v>United States</v>
      </c>
      <c r="G315" s="6" t="str">
        <v>Vexcel Corp</v>
      </c>
      <c r="H315" s="6" t="str">
        <v>Prepackaged Software</v>
      </c>
      <c r="I315" s="6" t="str">
        <v>92198Q</v>
      </c>
      <c r="J315" s="6" t="str">
        <v>Vexcel Corp</v>
      </c>
      <c r="K315" s="6" t="str">
        <v>Vexcel Corp</v>
      </c>
      <c r="L315" s="7">
        <f>=DATE(2006,3,20)</f>
        <v>38795.99949074074</v>
      </c>
      <c r="M315" s="7">
        <f>=DATE(2006,5,4)</f>
        <v>38840.99949074074</v>
      </c>
      <c r="W315" s="6" t="str">
        <v>Computer Consulting Services;Other Peripherals;Operating Systems;Applications Software(Business;Monitors/Terminals;Internet Services &amp; Software</v>
      </c>
      <c r="X315" s="6" t="str">
        <v>Other Software (inq. Games)</v>
      </c>
      <c r="Y315" s="6" t="str">
        <v>Other Software (inq. Games)</v>
      </c>
      <c r="Z315" s="6" t="str">
        <v>Other Software (inq. Games)</v>
      </c>
      <c r="AA315" s="6" t="str">
        <v>Applications Software(Business;Monitors/Terminals;Operating Systems;Computer Consulting Services;Internet Services &amp; Software;Other Peripherals</v>
      </c>
      <c r="AB315" s="6" t="str">
        <v>Applications Software(Business;Computer Consulting Services;Operating Systems;Other Peripherals;Internet Services &amp; Software;Monitors/Terminals</v>
      </c>
      <c r="AH315" s="6" t="str">
        <v>False</v>
      </c>
      <c r="AI315" s="6" t="str">
        <v>2006</v>
      </c>
      <c r="AJ315" s="6" t="str">
        <v>Completed</v>
      </c>
      <c r="AM315" s="6" t="str">
        <v>Not Applicable</v>
      </c>
      <c r="AO315" s="6" t="str">
        <v>US - Microsoft Corp acquired Vexcel Corp, a developer of mapping software and multiple remote sensing technologies.</v>
      </c>
    </row>
    <row r="316">
      <c r="A316" s="6" t="str">
        <v>594918</v>
      </c>
      <c r="B316" s="6" t="str">
        <v>United States</v>
      </c>
      <c r="C316" s="6" t="str">
        <v>Microsoft Corp</v>
      </c>
      <c r="D316" s="6" t="str">
        <v>Microsoft Corp</v>
      </c>
      <c r="F316" s="6" t="str">
        <v>United States</v>
      </c>
      <c r="G316" s="6" t="str">
        <v>ProClarity Corp</v>
      </c>
      <c r="H316" s="6" t="str">
        <v>Prepackaged Software</v>
      </c>
      <c r="I316" s="6" t="str">
        <v>74508T</v>
      </c>
      <c r="J316" s="6" t="str">
        <v>ProClarity Corp</v>
      </c>
      <c r="K316" s="6" t="str">
        <v>ProClarity Corp</v>
      </c>
      <c r="L316" s="7">
        <f>=DATE(2006,4,3)</f>
        <v>38809.99949074074</v>
      </c>
      <c r="M316" s="7">
        <f>=DATE(2006,6,6)</f>
        <v>38873.99949074074</v>
      </c>
      <c r="W316" s="6" t="str">
        <v>Operating Systems;Applications Software(Business;Computer Consulting Services;Internet Services &amp; Software;Monitors/Terminals;Other Peripherals</v>
      </c>
      <c r="X316" s="6" t="str">
        <v>Other Software (inq. Games)</v>
      </c>
      <c r="Y316" s="6" t="str">
        <v>Other Software (inq. Games)</v>
      </c>
      <c r="Z316" s="6" t="str">
        <v>Other Software (inq. Games)</v>
      </c>
      <c r="AA316" s="6" t="str">
        <v>Other Peripherals;Internet Services &amp; Software;Operating Systems;Applications Software(Business;Monitors/Terminals;Computer Consulting Services</v>
      </c>
      <c r="AB316" s="6" t="str">
        <v>Applications Software(Business;Monitors/Terminals;Operating Systems;Other Peripherals;Internet Services &amp; Software;Computer Consulting Services</v>
      </c>
      <c r="AH316" s="6" t="str">
        <v>False</v>
      </c>
      <c r="AI316" s="6" t="str">
        <v>2006</v>
      </c>
      <c r="AJ316" s="6" t="str">
        <v>Completed</v>
      </c>
      <c r="AM316" s="6" t="str">
        <v>Not Applicable</v>
      </c>
      <c r="AO316" s="6" t="str">
        <v>US - Microsoft Corp acquired ProClarity Corp, a developer of analysis and visualization software,</v>
      </c>
    </row>
    <row r="317">
      <c r="A317" s="6" t="str">
        <v>59476P</v>
      </c>
      <c r="B317" s="6" t="str">
        <v>United States</v>
      </c>
      <c r="C317" s="6" t="str">
        <v>Microsoft Game Studios</v>
      </c>
      <c r="D317" s="6" t="str">
        <v>Microsoft Corp</v>
      </c>
      <c r="F317" s="6" t="str">
        <v>United Kingdom</v>
      </c>
      <c r="G317" s="6" t="str">
        <v>Lionhead Studios</v>
      </c>
      <c r="H317" s="6" t="str">
        <v>Prepackaged Software</v>
      </c>
      <c r="I317" s="6" t="str">
        <v>53641Y</v>
      </c>
      <c r="J317" s="6" t="str">
        <v>Lionhead Studios</v>
      </c>
      <c r="K317" s="6" t="str">
        <v>Lionhead Studios</v>
      </c>
      <c r="L317" s="7">
        <f>=DATE(2006,4,6)</f>
        <v>38812.99949074074</v>
      </c>
      <c r="M317" s="7">
        <f>=DATE(2006,4,6)</f>
        <v>38812.99949074074</v>
      </c>
      <c r="W317" s="6" t="str">
        <v>Utilities/File Mgmt Software;Other Software (inq. Games);Internet Services &amp; Software;Applications Software(Business;Applications Software(Home);Communication/Network Software;Desktop Publishing</v>
      </c>
      <c r="X317" s="6" t="str">
        <v>Other Software (inq. Games)</v>
      </c>
      <c r="Y317" s="6" t="str">
        <v>Other Software (inq. Games)</v>
      </c>
      <c r="Z317" s="6" t="str">
        <v>Other Software (inq. Games)</v>
      </c>
      <c r="AA317" s="6" t="str">
        <v>Computer Consulting Services;Applications Software(Business;Operating Systems;Internet Services &amp; Software;Monitors/Terminals;Other Peripherals</v>
      </c>
      <c r="AB317" s="6" t="str">
        <v>Operating Systems;Other Peripherals;Applications Software(Business;Internet Services &amp; Software;Computer Consulting Services;Monitors/Terminals</v>
      </c>
      <c r="AH317" s="6" t="str">
        <v>False</v>
      </c>
      <c r="AI317" s="6" t="str">
        <v>2006</v>
      </c>
      <c r="AJ317" s="6" t="str">
        <v>Completed</v>
      </c>
      <c r="AM317" s="6" t="str">
        <v>Not Applicable</v>
      </c>
      <c r="AO317" s="6" t="str">
        <v>UK - Microsoft Game Studios of Washington, a unit of Microsoft Corp, acquired Lionhead Studios, a Guildford-based developer of video game entertainment technology including "Fable", a role-playing adventure for the microsoft Xbox gaming console, with "Black &amp; White" also developed for the gaming console market. Terms were not disclosed.</v>
      </c>
    </row>
    <row r="318">
      <c r="A318" s="6" t="str">
        <v>594918</v>
      </c>
      <c r="B318" s="6" t="str">
        <v>United States</v>
      </c>
      <c r="C318" s="6" t="str">
        <v>Microsoft Corp</v>
      </c>
      <c r="D318" s="6" t="str">
        <v>Microsoft Corp</v>
      </c>
      <c r="F318" s="6" t="str">
        <v>Canada</v>
      </c>
      <c r="G318" s="6" t="str">
        <v>AssetMetrix Corp</v>
      </c>
      <c r="H318" s="6" t="str">
        <v>Prepackaged Software</v>
      </c>
      <c r="I318" s="6" t="str">
        <v>04606E</v>
      </c>
      <c r="J318" s="6" t="str">
        <v>AssetMetrix Corp</v>
      </c>
      <c r="K318" s="6" t="str">
        <v>AssetMetrix Corp</v>
      </c>
      <c r="L318" s="7">
        <f>=DATE(2006,4,26)</f>
        <v>38832.99949074074</v>
      </c>
      <c r="M318" s="7">
        <f>=DATE(2006,4,26)</f>
        <v>38832.99949074074</v>
      </c>
      <c r="W318" s="6" t="str">
        <v>Monitors/Terminals;Other Peripherals;Computer Consulting Services;Applications Software(Business;Internet Services &amp; Software;Operating Systems</v>
      </c>
      <c r="X318" s="6" t="str">
        <v>Other Software (inq. Games)</v>
      </c>
      <c r="Y318" s="6" t="str">
        <v>Other Software (inq. Games)</v>
      </c>
      <c r="Z318" s="6" t="str">
        <v>Other Software (inq. Games)</v>
      </c>
      <c r="AA318" s="6" t="str">
        <v>Monitors/Terminals;Other Peripherals;Operating Systems;Internet Services &amp; Software;Computer Consulting Services;Applications Software(Business</v>
      </c>
      <c r="AB318" s="6" t="str">
        <v>Monitors/Terminals;Computer Consulting Services;Applications Software(Business;Internet Services &amp; Software;Operating Systems;Other Peripherals</v>
      </c>
      <c r="AH318" s="6" t="str">
        <v>False</v>
      </c>
      <c r="AI318" s="6" t="str">
        <v>2006</v>
      </c>
      <c r="AJ318" s="6" t="str">
        <v>Completed</v>
      </c>
      <c r="AM318" s="6" t="str">
        <v>Not Applicable</v>
      </c>
      <c r="AO318" s="6" t="str">
        <v>CANADA - Microsoft Corp acquired AssetMetrix Corp, a developer of enterprise software. The transaction was subject to regulatory approvals.</v>
      </c>
    </row>
    <row r="319">
      <c r="A319" s="6" t="str">
        <v>594918</v>
      </c>
      <c r="B319" s="6" t="str">
        <v>United States</v>
      </c>
      <c r="C319" s="6" t="str">
        <v>Microsoft Corp</v>
      </c>
      <c r="D319" s="6" t="str">
        <v>Microsoft Corp</v>
      </c>
      <c r="F319" s="6" t="str">
        <v>United States</v>
      </c>
      <c r="G319" s="6" t="str">
        <v>Massive Inc</v>
      </c>
      <c r="H319" s="6" t="str">
        <v>Advertising Services</v>
      </c>
      <c r="I319" s="6" t="str">
        <v>57625C</v>
      </c>
      <c r="J319" s="6" t="str">
        <v>Massive Inc</v>
      </c>
      <c r="K319" s="6" t="str">
        <v>Massive Inc</v>
      </c>
      <c r="L319" s="7">
        <f>=DATE(2006,4,26)</f>
        <v>38832.99949074074</v>
      </c>
      <c r="M319" s="7">
        <f>=DATE(2006,5,4)</f>
        <v>38840.99949074074</v>
      </c>
      <c r="W319" s="6" t="str">
        <v>Monitors/Terminals;Other Peripherals;Computer Consulting Services;Internet Services &amp; Software;Applications Software(Business;Operating Systems</v>
      </c>
      <c r="X319" s="6" t="str">
        <v>Internet Services &amp; Software</v>
      </c>
      <c r="Y319" s="6" t="str">
        <v>Internet Services &amp; Software</v>
      </c>
      <c r="Z319" s="6" t="str">
        <v>Internet Services &amp; Software</v>
      </c>
      <c r="AA319" s="6" t="str">
        <v>Monitors/Terminals;Applications Software(Business;Other Peripherals;Internet Services &amp; Software;Operating Systems;Computer Consulting Services</v>
      </c>
      <c r="AB319" s="6" t="str">
        <v>Applications Software(Business;Monitors/Terminals;Computer Consulting Services;Internet Services &amp; Software;Operating Systems;Other Peripherals</v>
      </c>
      <c r="AH319" s="6" t="str">
        <v>False</v>
      </c>
      <c r="AI319" s="6" t="str">
        <v>2006</v>
      </c>
      <c r="AJ319" s="6" t="str">
        <v>Completed</v>
      </c>
      <c r="AM319" s="6" t="str">
        <v>Rumored Deal</v>
      </c>
      <c r="AO319" s="6" t="str">
        <v>US - Microsoft Corp (MC) acquired Massive Inc (MI), a provider of video game advertising services. Terms were not disclosed. Originally, MC was rumored to be planning to acquire MI.</v>
      </c>
    </row>
    <row r="320">
      <c r="A320" s="6" t="str">
        <v>594918</v>
      </c>
      <c r="B320" s="6" t="str">
        <v>United States</v>
      </c>
      <c r="C320" s="6" t="str">
        <v>Microsoft Corp</v>
      </c>
      <c r="D320" s="6" t="str">
        <v>Microsoft Corp</v>
      </c>
      <c r="F320" s="6" t="str">
        <v>Canada</v>
      </c>
      <c r="G320" s="6" t="str">
        <v>DeepMetrix Corp</v>
      </c>
      <c r="H320" s="6" t="str">
        <v>Prepackaged Software</v>
      </c>
      <c r="I320" s="6" t="str">
        <v>24381X</v>
      </c>
      <c r="J320" s="6" t="str">
        <v>DeepMetrix Corp</v>
      </c>
      <c r="K320" s="6" t="str">
        <v>DeepMetrix Corp</v>
      </c>
      <c r="L320" s="7">
        <f>=DATE(2006,5,15)</f>
        <v>38851.99949074074</v>
      </c>
      <c r="M320" s="7">
        <f>=DATE(2006,5,15)</f>
        <v>38851.99949074074</v>
      </c>
      <c r="W320" s="6" t="str">
        <v>Monitors/Terminals;Applications Software(Business;Computer Consulting Services;Internet Services &amp; Software;Other Peripherals;Operating Systems</v>
      </c>
      <c r="X320" s="6" t="str">
        <v>Other Software (inq. Games)</v>
      </c>
      <c r="Y320" s="6" t="str">
        <v>Other Software (inq. Games)</v>
      </c>
      <c r="Z320" s="6" t="str">
        <v>Other Software (inq. Games)</v>
      </c>
      <c r="AA320" s="6" t="str">
        <v>Other Peripherals;Operating Systems;Computer Consulting Services;Internet Services &amp; Software;Applications Software(Business;Monitors/Terminals</v>
      </c>
      <c r="AB320" s="6" t="str">
        <v>Monitors/Terminals;Operating Systems;Applications Software(Business;Computer Consulting Services;Internet Services &amp; Software;Other Peripherals</v>
      </c>
      <c r="AH320" s="6" t="str">
        <v>False</v>
      </c>
      <c r="AI320" s="6" t="str">
        <v>2006</v>
      </c>
      <c r="AJ320" s="6" t="str">
        <v>Completed</v>
      </c>
      <c r="AM320" s="6" t="str">
        <v>Not Applicable</v>
      </c>
      <c r="AO320" s="6" t="str">
        <v>US - Microsoft Corp acquired DeepMetrix Corp, a developer of web log analysis solutions.</v>
      </c>
    </row>
    <row r="321">
      <c r="A321" s="6" t="str">
        <v>03839G</v>
      </c>
      <c r="B321" s="6" t="str">
        <v>United States</v>
      </c>
      <c r="C321" s="6" t="str">
        <v>aQuantive Inc</v>
      </c>
      <c r="D321" s="6" t="str">
        <v>aQuantive Inc</v>
      </c>
      <c r="F321" s="6" t="str">
        <v>United States</v>
      </c>
      <c r="G321" s="6" t="str">
        <v>Franchise Gator LLC</v>
      </c>
      <c r="H321" s="6" t="str">
        <v>Business Services</v>
      </c>
      <c r="I321" s="6" t="str">
        <v>35196H</v>
      </c>
      <c r="J321" s="6" t="str">
        <v>Franchise Gator LLC</v>
      </c>
      <c r="K321" s="6" t="str">
        <v>Franchise Gator LLC</v>
      </c>
      <c r="L321" s="7">
        <f>=DATE(2006,5,17)</f>
        <v>38853.99949074074</v>
      </c>
      <c r="M321" s="7">
        <f>=DATE(2006,5,17)</f>
        <v>38853.99949074074</v>
      </c>
      <c r="N321" s="8">
        <v>21.5</v>
      </c>
      <c r="O321" s="8">
        <v>21.5</v>
      </c>
      <c r="W321" s="6" t="str">
        <v>Internet Services &amp; Software</v>
      </c>
      <c r="X321" s="6" t="str">
        <v>Communication/Network Software;Internet Services &amp; Software</v>
      </c>
      <c r="Y321" s="6" t="str">
        <v>Communication/Network Software;Internet Services &amp; Software</v>
      </c>
      <c r="Z321" s="6" t="str">
        <v>Communication/Network Software;Internet Services &amp; Software</v>
      </c>
      <c r="AA321" s="6" t="str">
        <v>Internet Services &amp; Software</v>
      </c>
      <c r="AB321" s="6" t="str">
        <v>Internet Services &amp; Software</v>
      </c>
      <c r="AC321" s="8">
        <v>21.5</v>
      </c>
      <c r="AD321" s="7">
        <f>=DATE(2006,5,17)</f>
        <v>38853.99949074074</v>
      </c>
      <c r="AH321" s="6" t="str">
        <v>False</v>
      </c>
      <c r="AI321" s="6" t="str">
        <v>2006</v>
      </c>
      <c r="AJ321" s="6" t="str">
        <v>Completed</v>
      </c>
      <c r="AM321" s="6" t="str">
        <v>Not Applicable</v>
      </c>
      <c r="AO321" s="6" t="str">
        <v>US - aQuantive Inc acquired Franchise Gator LLC, a provider of internet-based franchise and small business performance marketing services, for $21.5 mil in cash.</v>
      </c>
    </row>
    <row r="322">
      <c r="A322" s="6" t="str">
        <v>594918</v>
      </c>
      <c r="B322" s="6" t="str">
        <v>United States</v>
      </c>
      <c r="C322" s="6" t="str">
        <v>Microsoft Corp</v>
      </c>
      <c r="D322" s="6" t="str">
        <v>Microsoft Corp</v>
      </c>
      <c r="F322" s="6" t="str">
        <v>United States</v>
      </c>
      <c r="G322" s="6" t="str">
        <v>Whale Communications Ltd</v>
      </c>
      <c r="H322" s="6" t="str">
        <v>Business Services</v>
      </c>
      <c r="I322" s="6" t="str">
        <v>96222J</v>
      </c>
      <c r="J322" s="6" t="str">
        <v>Whale Communications Ltd</v>
      </c>
      <c r="K322" s="6" t="str">
        <v>Whale Communications Ltd</v>
      </c>
      <c r="L322" s="7">
        <f>=DATE(2006,5,18)</f>
        <v>38854.99949074074</v>
      </c>
      <c r="M322" s="7">
        <f>=DATE(2006,7,26)</f>
        <v>38923.99949074074</v>
      </c>
      <c r="W322" s="6" t="str">
        <v>Operating Systems;Computer Consulting Services;Internet Services &amp; Software;Other Peripherals;Applications Software(Business;Monitors/Terminals</v>
      </c>
      <c r="X322" s="6" t="str">
        <v>Computer Consulting Services;Programming Services;Other Computer Related Svcs</v>
      </c>
      <c r="Y322" s="6" t="str">
        <v>Other Computer Related Svcs;Programming Services;Computer Consulting Services</v>
      </c>
      <c r="Z322" s="6" t="str">
        <v>Programming Services;Computer Consulting Services;Other Computer Related Svcs</v>
      </c>
      <c r="AA322" s="6" t="str">
        <v>Internet Services &amp; Software;Monitors/Terminals;Other Peripherals;Computer Consulting Services;Operating Systems;Applications Software(Business</v>
      </c>
      <c r="AB322" s="6" t="str">
        <v>Computer Consulting Services;Operating Systems;Monitors/Terminals;Other Peripherals;Internet Services &amp; Software;Applications Software(Business</v>
      </c>
      <c r="AH322" s="6" t="str">
        <v>False</v>
      </c>
      <c r="AI322" s="6" t="str">
        <v>2006</v>
      </c>
      <c r="AJ322" s="6" t="str">
        <v>Completed</v>
      </c>
      <c r="AM322" s="6" t="str">
        <v>Not Applicable</v>
      </c>
      <c r="AO322" s="6" t="str">
        <v>US - Microsoft Corp acquired Whale Communications Ltd, provider application management and support services for hosted enterprise software.</v>
      </c>
    </row>
    <row r="323">
      <c r="A323" s="6" t="str">
        <v>594918</v>
      </c>
      <c r="B323" s="6" t="str">
        <v>United States</v>
      </c>
      <c r="C323" s="6" t="str">
        <v>Microsoft Corp</v>
      </c>
      <c r="D323" s="6" t="str">
        <v>Microsoft Corp</v>
      </c>
      <c r="F323" s="6" t="str">
        <v>United States</v>
      </c>
      <c r="G323" s="6" t="str">
        <v>Softricity Inc</v>
      </c>
      <c r="H323" s="6" t="str">
        <v>Prepackaged Software</v>
      </c>
      <c r="I323" s="6" t="str">
        <v>83527A</v>
      </c>
      <c r="J323" s="6" t="str">
        <v>Softricity Inc</v>
      </c>
      <c r="K323" s="6" t="str">
        <v>Softricity Inc</v>
      </c>
      <c r="L323" s="7">
        <f>=DATE(2006,5,22)</f>
        <v>38858.99949074074</v>
      </c>
      <c r="M323" s="7">
        <f>=DATE(2006,7,17)</f>
        <v>38914.99949074074</v>
      </c>
      <c r="W323" s="6" t="str">
        <v>Monitors/Terminals;Internet Services &amp; Software;Applications Software(Business;Computer Consulting Services;Operating Systems;Other Peripherals</v>
      </c>
      <c r="X323" s="6" t="str">
        <v>Applications Software(Business;Other Software (inq. Games)</v>
      </c>
      <c r="Y323" s="6" t="str">
        <v>Other Software (inq. Games);Applications Software(Business</v>
      </c>
      <c r="Z323" s="6" t="str">
        <v>Other Software (inq. Games);Applications Software(Business</v>
      </c>
      <c r="AA323" s="6" t="str">
        <v>Internet Services &amp; Software;Other Peripherals;Applications Software(Business;Monitors/Terminals;Operating Systems;Computer Consulting Services</v>
      </c>
      <c r="AB323" s="6" t="str">
        <v>Other Peripherals;Applications Software(Business;Monitors/Terminals;Internet Services &amp; Software;Computer Consulting Services;Operating Systems</v>
      </c>
      <c r="AH323" s="6" t="str">
        <v>False</v>
      </c>
      <c r="AI323" s="6" t="str">
        <v>2006</v>
      </c>
      <c r="AJ323" s="6" t="str">
        <v>Completed</v>
      </c>
      <c r="AM323" s="6" t="str">
        <v>Not Applicable</v>
      </c>
      <c r="AO323" s="6" t="str">
        <v>US - Microsoft Corp acquired Softricity Inc, a developer virtualization infrastructure software. Terms were not disclosed.</v>
      </c>
    </row>
    <row r="324">
      <c r="A324" s="6" t="str">
        <v>594918</v>
      </c>
      <c r="B324" s="6" t="str">
        <v>United States</v>
      </c>
      <c r="C324" s="6" t="str">
        <v>Microsoft Corp</v>
      </c>
      <c r="D324" s="6" t="str">
        <v>Microsoft Corp</v>
      </c>
      <c r="F324" s="6" t="str">
        <v>United Kingdom</v>
      </c>
      <c r="G324" s="6" t="str">
        <v>iView Multimedia Ltd</v>
      </c>
      <c r="H324" s="6" t="str">
        <v>Business Services</v>
      </c>
      <c r="I324" s="6" t="str">
        <v>44793H</v>
      </c>
      <c r="J324" s="6" t="str">
        <v>iView Multimedia Ltd</v>
      </c>
      <c r="K324" s="6" t="str">
        <v>iView Multimedia Ltd</v>
      </c>
      <c r="L324" s="7">
        <f>=DATE(2006,6,27)</f>
        <v>38894.99949074074</v>
      </c>
      <c r="M324" s="7">
        <f>=DATE(2006,6,27)</f>
        <v>38894.99949074074</v>
      </c>
      <c r="W324" s="6" t="str">
        <v>Monitors/Terminals;Computer Consulting Services;Operating Systems;Internet Services &amp; Software;Other Peripherals;Applications Software(Business</v>
      </c>
      <c r="X324" s="6" t="str">
        <v>Internet Services &amp; Software;Other Computer Related Svcs</v>
      </c>
      <c r="Y324" s="6" t="str">
        <v>Internet Services &amp; Software;Other Computer Related Svcs</v>
      </c>
      <c r="Z324" s="6" t="str">
        <v>Other Computer Related Svcs;Internet Services &amp; Software</v>
      </c>
      <c r="AA324" s="6" t="str">
        <v>Monitors/Terminals;Computer Consulting Services;Applications Software(Business;Other Peripherals;Internet Services &amp; Software;Operating Systems</v>
      </c>
      <c r="AB324" s="6" t="str">
        <v>Monitors/Terminals;Internet Services &amp; Software;Computer Consulting Services;Applications Software(Business;Other Peripherals;Operating Systems</v>
      </c>
      <c r="AH324" s="6" t="str">
        <v>False</v>
      </c>
      <c r="AI324" s="6" t="str">
        <v>2006</v>
      </c>
      <c r="AJ324" s="6" t="str">
        <v>Completed</v>
      </c>
      <c r="AM324" s="6" t="str">
        <v>Not Applicable</v>
      </c>
      <c r="AO324" s="6" t="str">
        <v>UK - Microsoft Corp of the US acquired iView Multimedia Ltd, a London-based provider of digital asset management services. Terms were not disclosed.</v>
      </c>
    </row>
    <row r="325">
      <c r="A325" s="6" t="str">
        <v>594918</v>
      </c>
      <c r="B325" s="6" t="str">
        <v>United States</v>
      </c>
      <c r="C325" s="6" t="str">
        <v>Microsoft Corp</v>
      </c>
      <c r="D325" s="6" t="str">
        <v>Microsoft Corp</v>
      </c>
      <c r="F325" s="6" t="str">
        <v>United States</v>
      </c>
      <c r="G325" s="6" t="str">
        <v>Winternals Software LP</v>
      </c>
      <c r="H325" s="6" t="str">
        <v>Prepackaged Software</v>
      </c>
      <c r="I325" s="6" t="str">
        <v>97630C</v>
      </c>
      <c r="J325" s="6" t="str">
        <v>Winternals Software LP</v>
      </c>
      <c r="K325" s="6" t="str">
        <v>Winternals Software LP</v>
      </c>
      <c r="L325" s="7">
        <f>=DATE(2006,7,18)</f>
        <v>38915.99949074074</v>
      </c>
      <c r="M325" s="7">
        <f>=DATE(2006,7,18)</f>
        <v>38915.99949074074</v>
      </c>
      <c r="W325" s="6" t="str">
        <v>Applications Software(Business;Operating Systems;Internet Services &amp; Software;Computer Consulting Services;Other Peripherals;Monitors/Terminals</v>
      </c>
      <c r="X325" s="6" t="str">
        <v>Other Software (inq. Games)</v>
      </c>
      <c r="Y325" s="6" t="str">
        <v>Other Software (inq. Games)</v>
      </c>
      <c r="Z325" s="6" t="str">
        <v>Other Software (inq. Games)</v>
      </c>
      <c r="AA325" s="6" t="str">
        <v>Applications Software(Business;Internet Services &amp; Software;Operating Systems;Other Peripherals;Monitors/Terminals;Computer Consulting Services</v>
      </c>
      <c r="AB325" s="6" t="str">
        <v>Applications Software(Business;Monitors/Terminals;Operating Systems;Computer Consulting Services;Internet Services &amp; Software;Other Peripherals</v>
      </c>
      <c r="AH325" s="6" t="str">
        <v>False</v>
      </c>
      <c r="AI325" s="6" t="str">
        <v>2006</v>
      </c>
      <c r="AJ325" s="6" t="str">
        <v>Completed</v>
      </c>
      <c r="AM325" s="6" t="str">
        <v>Not Applicable</v>
      </c>
      <c r="AO325" s="6" t="str">
        <v>US - Microsoft Corp acquired Winternals Software LP, a developer of systems recovery and data protection solutions software. Terms were not disclosed.</v>
      </c>
    </row>
    <row r="326">
      <c r="A326" s="6" t="str">
        <v>594918</v>
      </c>
      <c r="B326" s="6" t="str">
        <v>United States</v>
      </c>
      <c r="C326" s="6" t="str">
        <v>Microsoft Corp</v>
      </c>
      <c r="D326" s="6" t="str">
        <v>Microsoft Corp</v>
      </c>
      <c r="E326" s="6" t="str">
        <v>Microsoft Corp</v>
      </c>
      <c r="F326" s="6" t="str">
        <v>United States</v>
      </c>
      <c r="G326" s="6" t="str">
        <v>Microsoft Corp</v>
      </c>
      <c r="H326" s="6" t="str">
        <v>Prepackaged Software</v>
      </c>
      <c r="I326" s="6" t="str">
        <v>594918</v>
      </c>
      <c r="J326" s="6" t="str">
        <v>Microsoft Corp</v>
      </c>
      <c r="K326" s="6" t="str">
        <v>Microsoft Corp</v>
      </c>
      <c r="L326" s="7">
        <f>=DATE(2006,7,20)</f>
        <v>38917.99949074074</v>
      </c>
      <c r="M326" s="7">
        <f>=DATE(2006,8,24)</f>
        <v>38952.99949074074</v>
      </c>
      <c r="N326" s="8">
        <v>3.824</v>
      </c>
      <c r="O326" s="8">
        <v>3.824</v>
      </c>
      <c r="P326" s="8" t="str">
        <v>214,873.50</v>
      </c>
      <c r="Q326" s="8" t="str">
        <v>36,200.00</v>
      </c>
      <c r="R326" s="8">
        <v>12599</v>
      </c>
      <c r="S326" s="8">
        <v>44282</v>
      </c>
      <c r="T326" s="8">
        <v>-20562</v>
      </c>
      <c r="U326" s="8">
        <v>8003</v>
      </c>
      <c r="V326" s="8">
        <v>14404</v>
      </c>
      <c r="W326" s="6" t="str">
        <v>Operating Systems;Other Peripherals;Monitors/Terminals;Applications Software(Business;Internet Services &amp; Software;Computer Consulting Services</v>
      </c>
      <c r="X326" s="6" t="str">
        <v>Operating Systems;Internet Services &amp; Software;Monitors/Terminals;Other Peripherals;Applications Software(Business;Computer Consulting Services</v>
      </c>
      <c r="Y326" s="6" t="str">
        <v>Other Peripherals;Operating Systems;Applications Software(Business;Computer Consulting Services;Monitors/Terminals;Internet Services &amp; Software</v>
      </c>
      <c r="Z326" s="6" t="str">
        <v>Operating Systems;Internet Services &amp; Software;Applications Software(Business;Computer Consulting Services;Monitors/Terminals;Other Peripherals</v>
      </c>
      <c r="AA326" s="6" t="str">
        <v>Monitors/Terminals;Operating Systems;Computer Consulting Services;Internet Services &amp; Software;Other Peripherals;Applications Software(Business</v>
      </c>
      <c r="AB326" s="6" t="str">
        <v>Internet Services &amp; Software;Other Peripherals;Computer Consulting Services;Operating Systems;Applications Software(Business;Monitors/Terminals</v>
      </c>
      <c r="AC326" s="8">
        <v>3.824</v>
      </c>
      <c r="AD326" s="7">
        <f>=DATE(2006,7,20)</f>
        <v>38917.99949074074</v>
      </c>
      <c r="AE326" s="8">
        <v>252479.77120575</v>
      </c>
      <c r="AF326" s="8" t="str">
        <v>218,318.77</v>
      </c>
      <c r="AG326" s="8" t="str">
        <v>214,873.50</v>
      </c>
      <c r="AH326" s="6" t="str">
        <v>True</v>
      </c>
      <c r="AI326" s="6" t="str">
        <v>2006</v>
      </c>
      <c r="AJ326" s="6" t="str">
        <v>Completed</v>
      </c>
      <c r="AK326" s="8">
        <v>252479.77120575</v>
      </c>
      <c r="AM326" s="6" t="str">
        <v>Dutch Auction Tender Offer;Self-Tender;Tender Offer</v>
      </c>
      <c r="AN326" s="8">
        <v>4405</v>
      </c>
      <c r="AO326" s="6" t="str">
        <v>US - Microsoft Corp, a Redmond-based, provider of computer software products development services, completed a Dutch Auction self-tender offer to repurchase up to 154.52 mil common shares, or (1.5%) of its entire share capital, for between USD 22.5 and USD 24.75 in cash per share, or a maximum total value of USD 3.824 bil.</v>
      </c>
    </row>
    <row r="327">
      <c r="A327" s="6" t="str">
        <v>594918</v>
      </c>
      <c r="B327" s="6" t="str">
        <v>United States</v>
      </c>
      <c r="C327" s="6" t="str">
        <v>Microsoft Corp</v>
      </c>
      <c r="D327" s="6" t="str">
        <v>Microsoft Corp</v>
      </c>
      <c r="E327" s="6" t="str">
        <v>Microsoft Corp</v>
      </c>
      <c r="F327" s="6" t="str">
        <v>United States</v>
      </c>
      <c r="G327" s="6" t="str">
        <v>Microsoft Corp</v>
      </c>
      <c r="H327" s="6" t="str">
        <v>Prepackaged Software</v>
      </c>
      <c r="I327" s="6" t="str">
        <v>594918</v>
      </c>
      <c r="J327" s="6" t="str">
        <v>Microsoft Corp</v>
      </c>
      <c r="K327" s="6" t="str">
        <v>Microsoft Corp</v>
      </c>
      <c r="L327" s="7">
        <f>=DATE(2006,7,20)</f>
        <v>38917.99949074074</v>
      </c>
      <c r="M327" s="7">
        <f>=DATE(2008,9,22)</f>
        <v>39712.99949074074</v>
      </c>
      <c r="N327" s="8">
        <v>36200</v>
      </c>
      <c r="O327" s="8">
        <v>36200</v>
      </c>
      <c r="Q327" s="8" t="str">
        <v>3.82</v>
      </c>
      <c r="R327" s="8">
        <v>12599</v>
      </c>
      <c r="S327" s="8">
        <v>44282</v>
      </c>
      <c r="T327" s="8">
        <v>-20562</v>
      </c>
      <c r="U327" s="8">
        <v>8003</v>
      </c>
      <c r="V327" s="8">
        <v>14404</v>
      </c>
      <c r="W327" s="6" t="str">
        <v>Internet Services &amp; Software;Monitors/Terminals;Operating Systems;Computer Consulting Services;Applications Software(Business;Other Peripherals</v>
      </c>
      <c r="X327" s="6" t="str">
        <v>Computer Consulting Services;Monitors/Terminals;Internet Services &amp; Software;Other Peripherals;Applications Software(Business;Operating Systems</v>
      </c>
      <c r="Y327" s="6" t="str">
        <v>Operating Systems;Internet Services &amp; Software;Applications Software(Business;Monitors/Terminals;Computer Consulting Services;Other Peripherals</v>
      </c>
      <c r="Z327" s="6" t="str">
        <v>Computer Consulting Services;Operating Systems;Monitors/Terminals;Internet Services &amp; Software;Applications Software(Business;Other Peripherals</v>
      </c>
      <c r="AA327" s="6" t="str">
        <v>Internet Services &amp; Software;Monitors/Terminals;Computer Consulting Services;Operating Systems;Other Peripherals;Applications Software(Business</v>
      </c>
      <c r="AB327" s="6" t="str">
        <v>Applications Software(Business;Computer Consulting Services;Other Peripherals;Operating Systems;Monitors/Terminals;Internet Services &amp; Software</v>
      </c>
      <c r="AC327" s="8">
        <v>36200</v>
      </c>
      <c r="AD327" s="7">
        <f>=DATE(2006,8,18)</f>
        <v>38946.99949074074</v>
      </c>
      <c r="AH327" s="6" t="str">
        <v>True</v>
      </c>
      <c r="AI327" s="6" t="str">
        <v>2008</v>
      </c>
      <c r="AJ327" s="6" t="str">
        <v>Completed</v>
      </c>
      <c r="AM327" s="6" t="str">
        <v>Open Market Purchase;Repurchase;Privately Negotiated Purchase</v>
      </c>
      <c r="AN327" s="8">
        <v>4405</v>
      </c>
      <c r="AO327" s="6" t="str">
        <v>US - In September 2008, the board of Microsoft Corp (MS), a developer and wholesaler of software, completed the repurchase of up to $36.2 bil of the company's common stock outstanding, in open market and privately negotiated transactions. Previously, in July 2006, MS authorized the repurchase of up to an amended $36.2 bil. Originally, MS' board authorized the repurchase of up to $20 bil of the company's common stock outstanding. Concurrently, MS completed its Dutch auction self-tender offer for up to 808 mil common shares, or about 7.92% of its common stock outstanding.</v>
      </c>
    </row>
    <row r="328">
      <c r="A328" s="6" t="str">
        <v>594918</v>
      </c>
      <c r="B328" s="6" t="str">
        <v>United States</v>
      </c>
      <c r="C328" s="6" t="str">
        <v>Microsoft Corp</v>
      </c>
      <c r="D328" s="6" t="str">
        <v>Microsoft Corp</v>
      </c>
      <c r="F328" s="6" t="str">
        <v>United States</v>
      </c>
      <c r="G328" s="6" t="str">
        <v>Azyxxi Software</v>
      </c>
      <c r="H328" s="6" t="str">
        <v>Business Services</v>
      </c>
      <c r="I328" s="6" t="str">
        <v>01148Z</v>
      </c>
      <c r="J328" s="6" t="str">
        <v>Azyxxi Software</v>
      </c>
      <c r="K328" s="6" t="str">
        <v>Azyxxi Software</v>
      </c>
      <c r="L328" s="7">
        <f>=DATE(2006,7,26)</f>
        <v>38923.99949074074</v>
      </c>
      <c r="W328" s="6" t="str">
        <v>Monitors/Terminals;Other Peripherals;Applications Software(Business;Operating Systems;Internet Services &amp; Software;Computer Consulting Services</v>
      </c>
      <c r="X328" s="6" t="str">
        <v>Other Computer Related Svcs;Programming Services;Computer Consulting Services</v>
      </c>
      <c r="Y328" s="6" t="str">
        <v>Programming Services;Other Computer Related Svcs;Computer Consulting Services</v>
      </c>
      <c r="Z328" s="6" t="str">
        <v>Other Computer Related Svcs;Programming Services;Computer Consulting Services</v>
      </c>
      <c r="AA328" s="6" t="str">
        <v>Internet Services &amp; Software;Other Peripherals;Applications Software(Business;Computer Consulting Services;Monitors/Terminals;Operating Systems</v>
      </c>
      <c r="AB328" s="6" t="str">
        <v>Applications Software(Business;Operating Systems;Internet Services &amp; Software;Computer Consulting Services;Monitors/Terminals;Other Peripherals</v>
      </c>
      <c r="AH328" s="6" t="str">
        <v>False</v>
      </c>
      <c r="AJ328" s="6" t="str">
        <v>Pending</v>
      </c>
      <c r="AM328" s="6" t="str">
        <v>Not Applicable</v>
      </c>
      <c r="AO328" s="6" t="str">
        <v>US - Microsoft Corp agreed to acquire Azyxxi Software, a developer of health-care software technology. Terms were not disclosed.</v>
      </c>
    </row>
    <row r="329">
      <c r="A329" s="6" t="str">
        <v>38259P</v>
      </c>
      <c r="B329" s="6" t="str">
        <v>United States</v>
      </c>
      <c r="C329" s="6" t="str">
        <v>Google Inc</v>
      </c>
      <c r="D329" s="6" t="str">
        <v>Alphabet Inc</v>
      </c>
      <c r="F329" s="6" t="str">
        <v>United States</v>
      </c>
      <c r="G329" s="6" t="str">
        <v>Neven Vision Inc</v>
      </c>
      <c r="H329" s="6" t="str">
        <v>Prepackaged Software</v>
      </c>
      <c r="I329" s="6" t="str">
        <v>64183K</v>
      </c>
      <c r="J329" s="6" t="str">
        <v>Neven Vision Inc</v>
      </c>
      <c r="K329" s="6" t="str">
        <v>Neven Vision Inc</v>
      </c>
      <c r="L329" s="7">
        <f>=DATE(2006,8,15)</f>
        <v>38943.99949074074</v>
      </c>
      <c r="M329" s="7">
        <f>=DATE(2006,8,15)</f>
        <v>38943.99949074074</v>
      </c>
      <c r="W329" s="6" t="str">
        <v>Programming Services;Internet Services &amp; Software</v>
      </c>
      <c r="X329" s="6" t="str">
        <v>Internet Services &amp; Software;Other Software (inq. Games);Applications Software(Business</v>
      </c>
      <c r="Y329" s="6" t="str">
        <v>Internet Services &amp; Software;Other Software (inq. Games);Applications Software(Business</v>
      </c>
      <c r="Z329" s="6" t="str">
        <v>Other Software (inq. Games);Applications Software(Business;Internet Services &amp; Software</v>
      </c>
      <c r="AA329" s="6" t="str">
        <v>Primary Business not Hi-Tech;Internet Services &amp; Software;Programming Services;Telecommunications Equipment;Computer Consulting Services</v>
      </c>
      <c r="AB329" s="6" t="str">
        <v>Telecommunications Equipment;Computer Consulting Services;Primary Business not Hi-Tech;Internet Services &amp; Software;Programming Services</v>
      </c>
      <c r="AH329" s="6" t="str">
        <v>False</v>
      </c>
      <c r="AI329" s="6" t="str">
        <v>2006</v>
      </c>
      <c r="AJ329" s="6" t="str">
        <v>Completed</v>
      </c>
      <c r="AM329" s="6" t="str">
        <v>Not Applicable</v>
      </c>
      <c r="AO329" s="6" t="str">
        <v>US - Google Inc acquired Neven Vision Inc, a developer of image analysis software. Terms were not disclosed.</v>
      </c>
    </row>
    <row r="330">
      <c r="A330" s="6" t="str">
        <v>00453N</v>
      </c>
      <c r="B330" s="6" t="str">
        <v>United States</v>
      </c>
      <c r="C330" s="6" t="str">
        <v>Accipiter Solutions Inc</v>
      </c>
      <c r="D330" s="6" t="str">
        <v>Accipiter Solutions Inc</v>
      </c>
      <c r="F330" s="6" t="str">
        <v>United States</v>
      </c>
      <c r="G330" s="6" t="str">
        <v>BidClix Inc</v>
      </c>
      <c r="H330" s="6" t="str">
        <v>Business Services</v>
      </c>
      <c r="I330" s="6" t="str">
        <v>08897C</v>
      </c>
      <c r="J330" s="6" t="str">
        <v>BidClix Inc</v>
      </c>
      <c r="K330" s="6" t="str">
        <v>BidClix Inc</v>
      </c>
      <c r="L330" s="7">
        <f>=DATE(2006,9,5)</f>
        <v>38964.99949074074</v>
      </c>
      <c r="M330" s="7">
        <f>=DATE(2006,9,5)</f>
        <v>38964.99949074074</v>
      </c>
      <c r="W330" s="6" t="str">
        <v>Internet Services &amp; Software</v>
      </c>
      <c r="X330" s="6" t="str">
        <v>Computer Consulting Services</v>
      </c>
      <c r="Y330" s="6" t="str">
        <v>Computer Consulting Services</v>
      </c>
      <c r="Z330" s="6" t="str">
        <v>Computer Consulting Services</v>
      </c>
      <c r="AA330" s="6" t="str">
        <v>Internet Services &amp; Software</v>
      </c>
      <c r="AB330" s="6" t="str">
        <v>Internet Services &amp; Software</v>
      </c>
      <c r="AH330" s="6" t="str">
        <v>False</v>
      </c>
      <c r="AI330" s="6" t="str">
        <v>2006</v>
      </c>
      <c r="AJ330" s="6" t="str">
        <v>Completed</v>
      </c>
      <c r="AM330" s="6" t="str">
        <v>Not Applicable</v>
      </c>
      <c r="AO330" s="6" t="str">
        <v>US - Accipiter Solutions Inc acquired BidClix Inc, a provider of online advertising consulting services.</v>
      </c>
    </row>
    <row r="331">
      <c r="A331" s="6" t="str">
        <v>594918</v>
      </c>
      <c r="B331" s="6" t="str">
        <v>United States</v>
      </c>
      <c r="C331" s="6" t="str">
        <v>Microsoft Corp</v>
      </c>
      <c r="D331" s="6" t="str">
        <v>Microsoft Corp</v>
      </c>
      <c r="F331" s="6" t="str">
        <v>Israel</v>
      </c>
      <c r="G331" s="6" t="str">
        <v>Gteko Ltd</v>
      </c>
      <c r="H331" s="6" t="str">
        <v>Business Services</v>
      </c>
      <c r="I331" s="6" t="str">
        <v>36406X</v>
      </c>
      <c r="J331" s="6" t="str">
        <v>Gteko Ltd</v>
      </c>
      <c r="K331" s="6" t="str">
        <v>Gteko Ltd</v>
      </c>
      <c r="L331" s="7">
        <f>=DATE(2006,9,26)</f>
        <v>38985.99949074074</v>
      </c>
      <c r="M331" s="7">
        <f>=DATE(2006,9,26)</f>
        <v>38985.99949074074</v>
      </c>
      <c r="W331" s="6" t="str">
        <v>Internet Services &amp; Software;Monitors/Terminals;Applications Software(Business;Computer Consulting Services;Other Peripherals;Operating Systems</v>
      </c>
      <c r="X331" s="6" t="str">
        <v>Programming Services;Other Computer Related Svcs;Computer Consulting Services</v>
      </c>
      <c r="Y331" s="6" t="str">
        <v>Computer Consulting Services;Other Computer Related Svcs;Programming Services</v>
      </c>
      <c r="Z331" s="6" t="str">
        <v>Computer Consulting Services;Programming Services;Other Computer Related Svcs</v>
      </c>
      <c r="AA331" s="6" t="str">
        <v>Monitors/Terminals;Operating Systems;Computer Consulting Services;Other Peripherals;Applications Software(Business;Internet Services &amp; Software</v>
      </c>
      <c r="AB331" s="6" t="str">
        <v>Applications Software(Business;Operating Systems;Monitors/Terminals;Internet Services &amp; Software;Other Peripherals;Computer Consulting Services</v>
      </c>
      <c r="AH331" s="6" t="str">
        <v>False</v>
      </c>
      <c r="AI331" s="6" t="str">
        <v>2006</v>
      </c>
      <c r="AJ331" s="6" t="str">
        <v>Completed</v>
      </c>
      <c r="AM331" s="6" t="str">
        <v>Not Applicable</v>
      </c>
      <c r="AO331" s="6" t="str">
        <v>ISRAEL - Microsoft Corp acquired Gteko Ltd, an Application Services Provider {ASP}.</v>
      </c>
    </row>
    <row r="332">
      <c r="A332" s="6" t="str">
        <v>594918</v>
      </c>
      <c r="B332" s="6" t="str">
        <v>United States</v>
      </c>
      <c r="C332" s="6" t="str">
        <v>Microsoft Corp</v>
      </c>
      <c r="D332" s="6" t="str">
        <v>Microsoft Corp</v>
      </c>
      <c r="F332" s="6" t="str">
        <v>United States</v>
      </c>
      <c r="G332" s="6" t="str">
        <v>DesktopStandard Corp</v>
      </c>
      <c r="H332" s="6" t="str">
        <v>Business Services</v>
      </c>
      <c r="I332" s="6" t="str">
        <v>25076A</v>
      </c>
      <c r="J332" s="6" t="str">
        <v>DesktopStandard Corp</v>
      </c>
      <c r="K332" s="6" t="str">
        <v>DesktopStandard Corp</v>
      </c>
      <c r="L332" s="7">
        <f>=DATE(2006,10,2)</f>
        <v>38991.99949074074</v>
      </c>
      <c r="M332" s="7">
        <f>=DATE(2006,10,2)</f>
        <v>38991.99949074074</v>
      </c>
      <c r="W332" s="6" t="str">
        <v>Operating Systems;Other Peripherals;Monitors/Terminals;Internet Services &amp; Software;Applications Software(Business;Computer Consulting Services</v>
      </c>
      <c r="X332" s="6" t="str">
        <v>Other Computer Related Svcs;Computer Consulting Services;Programming Services</v>
      </c>
      <c r="Y332" s="6" t="str">
        <v>Computer Consulting Services;Programming Services;Other Computer Related Svcs</v>
      </c>
      <c r="Z332" s="6" t="str">
        <v>Other Computer Related Svcs;Programming Services;Computer Consulting Services</v>
      </c>
      <c r="AA332" s="6" t="str">
        <v>Internet Services &amp; Software;Operating Systems;Monitors/Terminals;Computer Consulting Services;Other Peripherals;Applications Software(Business</v>
      </c>
      <c r="AB332" s="6" t="str">
        <v>Other Peripherals;Computer Consulting Services;Operating Systems;Monitors/Terminals;Internet Services &amp; Software;Applications Software(Business</v>
      </c>
      <c r="AH332" s="6" t="str">
        <v>False</v>
      </c>
      <c r="AI332" s="6" t="str">
        <v>2006</v>
      </c>
      <c r="AJ332" s="6" t="str">
        <v>Completed</v>
      </c>
      <c r="AM332" s="6" t="str">
        <v>Not Applicable</v>
      </c>
      <c r="AO332" s="6" t="str">
        <v>US - Microsoft Corp acquired DesktopStandard Corp, an Application Services Provider {ASP} specializing in developing Group Policy-based enterprise desktop management products.</v>
      </c>
    </row>
    <row r="333">
      <c r="A333" s="6" t="str">
        <v>38259P</v>
      </c>
      <c r="B333" s="6" t="str">
        <v>United States</v>
      </c>
      <c r="C333" s="6" t="str">
        <v>Google Inc</v>
      </c>
      <c r="D333" s="6" t="str">
        <v>Alphabet Inc</v>
      </c>
      <c r="F333" s="6" t="str">
        <v>United States</v>
      </c>
      <c r="G333" s="6" t="str">
        <v>YouTube Inc</v>
      </c>
      <c r="H333" s="6" t="str">
        <v>Business Services</v>
      </c>
      <c r="I333" s="6" t="str">
        <v>98787H</v>
      </c>
      <c r="J333" s="6" t="str">
        <v>YouTube Inc</v>
      </c>
      <c r="K333" s="6" t="str">
        <v>YouTube Inc</v>
      </c>
      <c r="L333" s="7">
        <f>=DATE(2006,10,9)</f>
        <v>38998.99949074074</v>
      </c>
      <c r="M333" s="7">
        <f>=DATE(2006,10,19)</f>
        <v>39008.99949074074</v>
      </c>
      <c r="N333" s="8">
        <v>1650</v>
      </c>
      <c r="O333" s="8">
        <v>1650</v>
      </c>
      <c r="W333" s="6" t="str">
        <v>Internet Services &amp; Software;Programming Services</v>
      </c>
      <c r="X333" s="6" t="str">
        <v>Internet Services &amp; Software</v>
      </c>
      <c r="Y333" s="6" t="str">
        <v>Internet Services &amp; Software</v>
      </c>
      <c r="Z333" s="6" t="str">
        <v>Internet Services &amp; Software</v>
      </c>
      <c r="AA333" s="6" t="str">
        <v>Computer Consulting Services;Primary Business not Hi-Tech;Programming Services;Internet Services &amp; Software;Telecommunications Equipment</v>
      </c>
      <c r="AB333" s="6" t="str">
        <v>Internet Services &amp; Software;Primary Business not Hi-Tech;Telecommunications Equipment;Computer Consulting Services;Programming Services</v>
      </c>
      <c r="AC333" s="8">
        <v>1650</v>
      </c>
      <c r="AD333" s="7">
        <f>=DATE(2006,10,9)</f>
        <v>38998.99949074074</v>
      </c>
      <c r="AF333" s="8" t="str">
        <v>1,650.00</v>
      </c>
      <c r="AH333" s="6" t="str">
        <v>False</v>
      </c>
      <c r="AI333" s="6" t="str">
        <v>2006</v>
      </c>
      <c r="AJ333" s="6" t="str">
        <v>Completed</v>
      </c>
      <c r="AM333" s="6" t="str">
        <v>Stock Swap</v>
      </c>
      <c r="AO333" s="6" t="str">
        <v>US - Google Inc acquired YouTube Inc (YTI), a provider of online video hosting services, from Sequoia Capital, in exchange for $1.65 bil in common stock. Originally, in September 2006, YTI announced that it was seeking a buyer for the company. Google, Viacom, Disney, AOL, eBay, and News Corp were named as potential bidders.</v>
      </c>
    </row>
    <row r="334">
      <c r="A334" s="6" t="str">
        <v>594918</v>
      </c>
      <c r="B334" s="6" t="str">
        <v>United States</v>
      </c>
      <c r="C334" s="6" t="str">
        <v>Microsoft Corp</v>
      </c>
      <c r="D334" s="6" t="str">
        <v>Microsoft Corp</v>
      </c>
      <c r="F334" s="6" t="str">
        <v>United States</v>
      </c>
      <c r="G334" s="6" t="str">
        <v>Colloquis Inc</v>
      </c>
      <c r="H334" s="6" t="str">
        <v>Prepackaged Software</v>
      </c>
      <c r="I334" s="6" t="str">
        <v>19426T</v>
      </c>
      <c r="J334" s="6" t="str">
        <v>Colloquis Inc</v>
      </c>
      <c r="K334" s="6" t="str">
        <v>Colloquis Inc</v>
      </c>
      <c r="L334" s="7">
        <f>=DATE(2006,10,12)</f>
        <v>39001.99949074074</v>
      </c>
      <c r="M334" s="7">
        <f>=DATE(2006,10,12)</f>
        <v>39001.99949074074</v>
      </c>
      <c r="W334" s="6" t="str">
        <v>Internet Services &amp; Software;Applications Software(Business;Operating Systems;Other Peripherals;Computer Consulting Services;Monitors/Terminals</v>
      </c>
      <c r="X334" s="6" t="str">
        <v>Other Software (inq. Games)</v>
      </c>
      <c r="Y334" s="6" t="str">
        <v>Other Software (inq. Games)</v>
      </c>
      <c r="Z334" s="6" t="str">
        <v>Other Software (inq. Games)</v>
      </c>
      <c r="AA334" s="6" t="str">
        <v>Other Peripherals;Computer Consulting Services;Applications Software(Business;Internet Services &amp; Software;Monitors/Terminals;Operating Systems</v>
      </c>
      <c r="AB334" s="6" t="str">
        <v>Computer Consulting Services;Other Peripherals;Applications Software(Business;Internet Services &amp; Software;Monitors/Terminals;Operating Systems</v>
      </c>
      <c r="AH334" s="6" t="str">
        <v>False</v>
      </c>
      <c r="AI334" s="6" t="str">
        <v>2006</v>
      </c>
      <c r="AJ334" s="6" t="str">
        <v>Completed</v>
      </c>
      <c r="AM334" s="6" t="str">
        <v>Not Applicable</v>
      </c>
      <c r="AO334" s="6" t="str">
        <v>US - Microsoft Corp acquired Colloquis Inc, a developer of natural language software.</v>
      </c>
    </row>
    <row r="335">
      <c r="A335" s="6" t="str">
        <v>037833</v>
      </c>
      <c r="B335" s="6" t="str">
        <v>United States</v>
      </c>
      <c r="C335" s="6" t="str">
        <v>Apple Computer Inc</v>
      </c>
      <c r="D335" s="6" t="str">
        <v>Apple Computer Inc</v>
      </c>
      <c r="F335" s="6" t="str">
        <v>United States</v>
      </c>
      <c r="G335" s="6" t="str">
        <v>Silicon Color Inc</v>
      </c>
      <c r="H335" s="6" t="str">
        <v>Prepackaged Software</v>
      </c>
      <c r="I335" s="6" t="str">
        <v>82414A</v>
      </c>
      <c r="J335" s="6" t="str">
        <v>Silicon Color Inc</v>
      </c>
      <c r="K335" s="6" t="str">
        <v>Silicon Color Inc</v>
      </c>
      <c r="L335" s="7">
        <f>=DATE(2006,10,16)</f>
        <v>39005.99949074074</v>
      </c>
      <c r="M335" s="7">
        <f>=DATE(2006,10,16)</f>
        <v>39005.99949074074</v>
      </c>
      <c r="W335" s="6" t="str">
        <v>Other Peripherals;Other Software (inq. Games);Portable Computers;Mainframes &amp; Super Computers;Micro-Computers (PCs);Monitors/Terminals;Disk Drives;Printers</v>
      </c>
      <c r="X335" s="6" t="str">
        <v>Other Software (inq. Games)</v>
      </c>
      <c r="Y335" s="6" t="str">
        <v>Other Software (inq. Games)</v>
      </c>
      <c r="Z335" s="6" t="str">
        <v>Other Software (inq. Games)</v>
      </c>
      <c r="AA335" s="6" t="str">
        <v>Micro-Computers (PCs);Monitors/Terminals;Printers;Portable Computers;Other Peripherals;Mainframes &amp; Super Computers;Disk Drives;Other Software (inq. Games)</v>
      </c>
      <c r="AB335" s="6" t="str">
        <v>Mainframes &amp; Super Computers;Other Software (inq. Games);Micro-Computers (PCs);Other Peripherals;Disk Drives;Printers;Portable Computers;Monitors/Terminals</v>
      </c>
      <c r="AH335" s="6" t="str">
        <v>False</v>
      </c>
      <c r="AI335" s="6" t="str">
        <v>2006</v>
      </c>
      <c r="AJ335" s="6" t="str">
        <v>Completed</v>
      </c>
      <c r="AM335" s="6" t="str">
        <v>Not Applicable</v>
      </c>
      <c r="AO335" s="6" t="str">
        <v>US - Apple Computer Inc acquired Silicon Color Inc, a developer of color correction software. Terms were not disclosed.</v>
      </c>
    </row>
    <row r="336">
      <c r="A336" s="6" t="str">
        <v>38259P</v>
      </c>
      <c r="B336" s="6" t="str">
        <v>United States</v>
      </c>
      <c r="C336" s="6" t="str">
        <v>Google Inc</v>
      </c>
      <c r="D336" s="6" t="str">
        <v>Alphabet Inc</v>
      </c>
      <c r="F336" s="6" t="str">
        <v>United States</v>
      </c>
      <c r="G336" s="6" t="str">
        <v>JotSpot Inc</v>
      </c>
      <c r="H336" s="6" t="str">
        <v>Prepackaged Software</v>
      </c>
      <c r="I336" s="6" t="str">
        <v>46732L</v>
      </c>
      <c r="J336" s="6" t="str">
        <v>JotSpot Inc</v>
      </c>
      <c r="K336" s="6" t="str">
        <v>JotSpot Inc</v>
      </c>
      <c r="L336" s="7">
        <f>=DATE(2006,10,30)</f>
        <v>39019.99949074074</v>
      </c>
      <c r="M336" s="7">
        <f>=DATE(2006,10,30)</f>
        <v>39019.99949074074</v>
      </c>
      <c r="W336" s="6" t="str">
        <v>Internet Services &amp; Software;Programming Services</v>
      </c>
      <c r="X336" s="6" t="str">
        <v>Communication/Network Software;Internet Services &amp; Software</v>
      </c>
      <c r="Y336" s="6" t="str">
        <v>Internet Services &amp; Software;Communication/Network Software</v>
      </c>
      <c r="Z336" s="6" t="str">
        <v>Communication/Network Software;Internet Services &amp; Software</v>
      </c>
      <c r="AA336" s="6" t="str">
        <v>Computer Consulting Services;Programming Services;Internet Services &amp; Software;Telecommunications Equipment;Primary Business not Hi-Tech</v>
      </c>
      <c r="AB336" s="6" t="str">
        <v>Telecommunications Equipment;Computer Consulting Services;Internet Services &amp; Software;Programming Services;Primary Business not Hi-Tech</v>
      </c>
      <c r="AH336" s="6" t="str">
        <v>False</v>
      </c>
      <c r="AI336" s="6" t="str">
        <v>2006</v>
      </c>
      <c r="AJ336" s="6" t="str">
        <v>Completed</v>
      </c>
      <c r="AM336" s="6" t="str">
        <v>Not Applicable</v>
      </c>
      <c r="AO336" s="6" t="str">
        <v>US - Google Inc acquired JotSpot Inc, a developer of online collaboration software. Terms were not disclosed.</v>
      </c>
    </row>
    <row r="337">
      <c r="A337" s="6" t="str">
        <v>594918</v>
      </c>
      <c r="B337" s="6" t="str">
        <v>United States</v>
      </c>
      <c r="C337" s="6" t="str">
        <v>Microsoft Corp</v>
      </c>
      <c r="D337" s="6" t="str">
        <v>Microsoft Corp</v>
      </c>
      <c r="F337" s="6" t="str">
        <v>China (Mainland)</v>
      </c>
      <c r="G337" s="6" t="str">
        <v>Tata Information Technology (Shanghai)Co Ltd</v>
      </c>
      <c r="H337" s="6" t="str">
        <v>Business Services</v>
      </c>
      <c r="I337" s="6" t="str">
        <v>87733E</v>
      </c>
      <c r="J337" s="6" t="str">
        <v>Tata Sons Pvt Ltd</v>
      </c>
      <c r="K337" s="6" t="str">
        <v>Tata Consultancy Services Ltd</v>
      </c>
      <c r="L337" s="7">
        <f>=DATE(2006,11,23)</f>
        <v>39043.99949074074</v>
      </c>
      <c r="W337" s="6" t="str">
        <v>Internet Services &amp; Software;Applications Software(Business;Computer Consulting Services;Operating Systems;Other Peripherals;Monitors/Terminals</v>
      </c>
      <c r="X337" s="6" t="str">
        <v>Other Software (inq. Games);Computer Consulting Services;Data Processing Services;Other Computer Related Svcs</v>
      </c>
      <c r="Y337" s="6" t="str">
        <v>Internet Services &amp; Software;Turnkey Systems;Programming Services;Applications Software(Business;Database Software/Programming;Other Computer Systems;Operating Systems</v>
      </c>
      <c r="Z337" s="6" t="str">
        <v>Internet Services &amp; Software;Process Control Systems;Data Commun(Exclude networking;Messaging Systems;CAD/CAM/CAE/Graphics Systems;Operating Systems;Communication/Network Software;Primary Business not Hi-Tech;Other Telecommunications Equip;Networking Systems (LAN,WAN);Other Computer Systems</v>
      </c>
      <c r="AA337" s="6" t="str">
        <v>Internet Services &amp; Software;Operating Systems;Computer Consulting Services;Other Peripherals;Applications Software(Business;Monitors/Terminals</v>
      </c>
      <c r="AB337" s="6" t="str">
        <v>Other Peripherals;Monitors/Terminals;Operating Systems;Computer Consulting Services;Applications Software(Business;Internet Services &amp; Software</v>
      </c>
      <c r="AH337" s="6" t="str">
        <v>False</v>
      </c>
      <c r="AJ337" s="6" t="str">
        <v>Pending</v>
      </c>
      <c r="AM337" s="6" t="str">
        <v>Not Applicable</v>
      </c>
      <c r="AO337" s="6" t="str">
        <v>CHINA - Microsoft Corp (MC) agreed to acquire a 10% stake in Tata Information Technology (Shanghai) Co Ltd (TI), an information technology services provider, from Tata Consultancy Services Ltd (TC) (7.22%) and undisclosed joint venture partners (JV) (2.78%). Upon completion, TI was to be a 65:25:10 owned joint venture among TC, JV, and MC.</v>
      </c>
    </row>
    <row r="338">
      <c r="A338" s="6" t="str">
        <v>67020Y</v>
      </c>
      <c r="B338" s="6" t="str">
        <v>United States</v>
      </c>
      <c r="C338" s="6" t="str">
        <v>Nuance Communications Inc</v>
      </c>
      <c r="D338" s="6" t="str">
        <v>Nuance Communications Inc</v>
      </c>
      <c r="F338" s="6" t="str">
        <v>United States</v>
      </c>
      <c r="G338" s="6" t="str">
        <v>MobileVoiceControl Inc</v>
      </c>
      <c r="H338" s="6" t="str">
        <v>Prepackaged Software</v>
      </c>
      <c r="I338" s="6" t="str">
        <v>60809Y</v>
      </c>
      <c r="J338" s="6" t="str">
        <v>MobileVoiceControl Inc</v>
      </c>
      <c r="K338" s="6" t="str">
        <v>MobileVoiceControl Inc</v>
      </c>
      <c r="L338" s="7">
        <f>=DATE(2006,12,7)</f>
        <v>39057.99949074074</v>
      </c>
      <c r="M338" s="7">
        <f>=DATE(2007,1,3)</f>
        <v>39084.99949074074</v>
      </c>
      <c r="W338" s="6" t="str">
        <v>Utilities/File Mgmt Software;Applications Software(Home);Other Computer Related Svcs;Internet Services &amp; Software;Primary Business not Hi-Tech;Other Software (inq. Games);Communication/Network Software;Applications Software(Business;Database Software/Programming;Programming Services;Networking Systems (LAN,WAN);Computer Consulting Services;Desktop Publishing</v>
      </c>
      <c r="X338" s="6" t="str">
        <v>Other Software (inq. Games);Communication/Network Software;Applications Software(Business</v>
      </c>
      <c r="Y338" s="6" t="str">
        <v>Communication/Network Software;Other Software (inq. Games);Applications Software(Business</v>
      </c>
      <c r="Z338" s="6" t="str">
        <v>Applications Software(Business;Communication/Network Software;Other Software (inq. Games)</v>
      </c>
      <c r="AA338" s="6" t="str">
        <v>Database Software/Programming;Other Software (inq. Games);Programming Services;Networking Systems (LAN,WAN);Other Computer Related Svcs;Utilities/File Mgmt Software;Computer Consulting Services;Applications Software(Home);Desktop Publishing;Primary Business not Hi-Tech;Applications Software(Business;Communication/Network Software;Internet Services &amp; Software</v>
      </c>
      <c r="AB338" s="6" t="str">
        <v>Computer Consulting Services;Utilities/File Mgmt Software;Desktop Publishing;Internet Services &amp; Software;Networking Systems (LAN,WAN);Communication/Network Software;Other Software (inq. Games);Database Software/Programming;Primary Business not Hi-Tech;Applications Software(Business;Applications Software(Home);Programming Services;Other Computer Related Svcs</v>
      </c>
      <c r="AH338" s="6" t="str">
        <v>False</v>
      </c>
      <c r="AI338" s="6" t="str">
        <v>2007</v>
      </c>
      <c r="AJ338" s="6" t="str">
        <v>Completed</v>
      </c>
      <c r="AM338" s="6" t="str">
        <v>Financial Acquiror</v>
      </c>
      <c r="AO338" s="6" t="str">
        <v>US - Nuance Communications Inc acquired MobileVoiceControl Inc, a developer of mobile software.</v>
      </c>
    </row>
    <row r="339">
      <c r="A339" s="6" t="str">
        <v>04943Q</v>
      </c>
      <c r="B339" s="6" t="str">
        <v>United States</v>
      </c>
      <c r="C339" s="6" t="str">
        <v>Atlas Advertiser Suite</v>
      </c>
      <c r="D339" s="6" t="str">
        <v>aQuantive Inc</v>
      </c>
      <c r="F339" s="6" t="str">
        <v>United States</v>
      </c>
      <c r="G339" s="6" t="str">
        <v>Accipiter Solutions Inc</v>
      </c>
      <c r="H339" s="6" t="str">
        <v>Business Services</v>
      </c>
      <c r="I339" s="6" t="str">
        <v>00453N</v>
      </c>
      <c r="J339" s="6" t="str">
        <v>Accipiter Solutions Inc</v>
      </c>
      <c r="K339" s="6" t="str">
        <v>Accipiter Solutions Inc</v>
      </c>
      <c r="L339" s="7">
        <f>=DATE(2006,12,11)</f>
        <v>39061.99949074074</v>
      </c>
      <c r="M339" s="7">
        <f>=DATE(2006,12,11)</f>
        <v>39061.99949074074</v>
      </c>
      <c r="N339" s="8">
        <v>30.3</v>
      </c>
      <c r="O339" s="8">
        <v>30.3</v>
      </c>
      <c r="W339" s="6" t="str">
        <v>Internet Services &amp; Software</v>
      </c>
      <c r="X339" s="6" t="str">
        <v>Internet Services &amp; Software</v>
      </c>
      <c r="Y339" s="6" t="str">
        <v>Internet Services &amp; Software</v>
      </c>
      <c r="Z339" s="6" t="str">
        <v>Internet Services &amp; Software</v>
      </c>
      <c r="AA339" s="6" t="str">
        <v>Internet Services &amp; Software</v>
      </c>
      <c r="AB339" s="6" t="str">
        <v>Internet Services &amp; Software</v>
      </c>
      <c r="AC339" s="8">
        <v>30.3</v>
      </c>
      <c r="AD339" s="7">
        <f>=DATE(2006,12,11)</f>
        <v>39061.99949074074</v>
      </c>
      <c r="AH339" s="6" t="str">
        <v>False</v>
      </c>
      <c r="AI339" s="6" t="str">
        <v>2006</v>
      </c>
      <c r="AJ339" s="6" t="str">
        <v>Completed</v>
      </c>
      <c r="AM339" s="6" t="str">
        <v>Not Applicable</v>
      </c>
      <c r="AO339" s="6" t="str">
        <v>US - Atlas, a unit of aQuantive Inc, acquired Accipiter Solutions Inc, a provider of online advertising consulting services, for $30.3 mil in cash.</v>
      </c>
    </row>
    <row r="340">
      <c r="A340" s="6" t="str">
        <v>38259P</v>
      </c>
      <c r="B340" s="6" t="str">
        <v>United States</v>
      </c>
      <c r="C340" s="6" t="str">
        <v>Google Inc</v>
      </c>
      <c r="D340" s="6" t="str">
        <v>Alphabet Inc</v>
      </c>
      <c r="F340" s="6" t="str">
        <v>Switzerland</v>
      </c>
      <c r="G340" s="6" t="str">
        <v>Endoxon AG-European Mapping Business</v>
      </c>
      <c r="H340" s="6" t="str">
        <v>Business Services</v>
      </c>
      <c r="I340" s="6" t="str">
        <v>29577T</v>
      </c>
      <c r="J340" s="6" t="str">
        <v>Endoxon AG</v>
      </c>
      <c r="K340" s="6" t="str">
        <v>Endoxon AG</v>
      </c>
      <c r="L340" s="7">
        <f>=DATE(2006,12,18)</f>
        <v>39068.99949074074</v>
      </c>
      <c r="M340" s="7">
        <f>=DATE(2006,12,18)</f>
        <v>39068.99949074074</v>
      </c>
      <c r="W340" s="6" t="str">
        <v>Programming Services;Internet Services &amp; Software</v>
      </c>
      <c r="X340" s="6" t="str">
        <v>Internet Services &amp; Software</v>
      </c>
      <c r="Y340" s="6" t="str">
        <v>Internet Services &amp; Software</v>
      </c>
      <c r="Z340" s="6" t="str">
        <v>Internet Services &amp; Software</v>
      </c>
      <c r="AA340" s="6" t="str">
        <v>Telecommunications Equipment;Primary Business not Hi-Tech;Computer Consulting Services;Internet Services &amp; Software;Programming Services</v>
      </c>
      <c r="AB340" s="6" t="str">
        <v>Internet Services &amp; Software;Computer Consulting Services;Primary Business not Hi-Tech;Programming Services;Telecommunications Equipment</v>
      </c>
      <c r="AH340" s="6" t="str">
        <v>False</v>
      </c>
      <c r="AI340" s="6" t="str">
        <v>2006</v>
      </c>
      <c r="AJ340" s="6" t="str">
        <v>Completed</v>
      </c>
      <c r="AM340" s="6" t="str">
        <v>Divestiture</v>
      </c>
      <c r="AO340" s="6" t="str">
        <v>SWITZERLAND - Google Inc of the US acquired the European mapping business of Endoxon AG, a Lucerne-based provider of internet mapping services. Terms were not disclosed.</v>
      </c>
    </row>
    <row r="341">
      <c r="A341" s="6" t="str">
        <v>38259P</v>
      </c>
      <c r="B341" s="6" t="str">
        <v>United States</v>
      </c>
      <c r="C341" s="6" t="str">
        <v>Google Inc</v>
      </c>
      <c r="D341" s="6" t="str">
        <v>Alphabet Inc</v>
      </c>
      <c r="F341" s="6" t="str">
        <v>China (Mainland)</v>
      </c>
      <c r="G341" s="6" t="str">
        <v>Shenzhen Xunlei Network Technology Co Ltd</v>
      </c>
      <c r="H341" s="6" t="str">
        <v>Business Services</v>
      </c>
      <c r="I341" s="6" t="str">
        <v>82373H</v>
      </c>
      <c r="J341" s="6" t="str">
        <v>Shenzhen Xunlei Network Technology Co Ltd</v>
      </c>
      <c r="K341" s="6" t="str">
        <v>Shenzhen Xunlei Network Technology Co Ltd</v>
      </c>
      <c r="L341" s="7">
        <f>=DATE(2007,1,4)</f>
        <v>39085.99949074074</v>
      </c>
      <c r="W341" s="6" t="str">
        <v>Internet Services &amp; Software;Programming Services</v>
      </c>
      <c r="X341" s="6" t="str">
        <v>Internet Services &amp; Software</v>
      </c>
      <c r="Y341" s="6" t="str">
        <v>Internet Services &amp; Software</v>
      </c>
      <c r="Z341" s="6" t="str">
        <v>Internet Services &amp; Software</v>
      </c>
      <c r="AA341" s="6" t="str">
        <v>Telecommunications Equipment;Programming Services;Primary Business not Hi-Tech;Internet Services &amp; Software;Computer Consulting Services</v>
      </c>
      <c r="AB341" s="6" t="str">
        <v>Programming Services;Computer Consulting Services;Primary Business not Hi-Tech;Internet Services &amp; Software;Telecommunications Equipment</v>
      </c>
      <c r="AH341" s="6" t="str">
        <v>False</v>
      </c>
      <c r="AJ341" s="6" t="str">
        <v>Pending</v>
      </c>
      <c r="AM341" s="6" t="str">
        <v>Not Applicable</v>
      </c>
      <c r="AO341" s="6" t="str">
        <v>CHINA - Google Inc planned to acquire an undisclosed minority stake in Shenzhen Xunlei Networking Technology Co Ltd, an online video hosting services provider.</v>
      </c>
    </row>
    <row r="342">
      <c r="A342" s="6" t="str">
        <v>594918</v>
      </c>
      <c r="B342" s="6" t="str">
        <v>United States</v>
      </c>
      <c r="C342" s="6" t="str">
        <v>Microsoft Corp</v>
      </c>
      <c r="D342" s="6" t="str">
        <v>Microsoft Corp</v>
      </c>
      <c r="F342" s="6" t="str">
        <v>Israel</v>
      </c>
      <c r="G342" s="6" t="str">
        <v>Secured Dimensions</v>
      </c>
      <c r="H342" s="6" t="str">
        <v>Prepackaged Software</v>
      </c>
      <c r="I342" s="6" t="str">
        <v>81357X</v>
      </c>
      <c r="J342" s="6" t="str">
        <v>Microsoft Corp</v>
      </c>
      <c r="K342" s="6" t="str">
        <v>Microsoft Corp</v>
      </c>
      <c r="L342" s="7">
        <f>=DATE(2007,1,5)</f>
        <v>39086.99949074074</v>
      </c>
      <c r="M342" s="7">
        <f>=DATE(2007,1,5)</f>
        <v>39086.99949074074</v>
      </c>
      <c r="W342" s="6" t="str">
        <v>Other Peripherals;Monitors/Terminals;Internet Services &amp; Software;Operating Systems;Computer Consulting Services;Applications Software(Business</v>
      </c>
      <c r="X342" s="6" t="str">
        <v>Applications Software(Home)</v>
      </c>
      <c r="Y342" s="6" t="str">
        <v>Operating Systems;Internet Services &amp; Software;Other Peripherals;Applications Software(Business;Computer Consulting Services;Monitors/Terminals</v>
      </c>
      <c r="Z342" s="6" t="str">
        <v>Internet Services &amp; Software;Monitors/Terminals;Operating Systems;Applications Software(Business;Other Peripherals;Computer Consulting Services</v>
      </c>
      <c r="AA342" s="6" t="str">
        <v>Monitors/Terminals;Other Peripherals;Operating Systems;Internet Services &amp; Software;Applications Software(Business;Computer Consulting Services</v>
      </c>
      <c r="AB342" s="6" t="str">
        <v>Applications Software(Business;Monitors/Terminals;Internet Services &amp; Software;Operating Systems;Other Peripherals;Computer Consulting Services</v>
      </c>
      <c r="AH342" s="6" t="str">
        <v>False</v>
      </c>
      <c r="AI342" s="6" t="str">
        <v>2007</v>
      </c>
      <c r="AJ342" s="6" t="str">
        <v>Completed</v>
      </c>
      <c r="AM342" s="6" t="str">
        <v>Not Applicable</v>
      </c>
      <c r="AO342" s="6" t="str">
        <v>"ISRAEL-Microsoft Corp has acquired Israeli start-up Secured Dimensions for a few million dollars. Secured Dimensions has developed a technology for the protection of applications based on Microsoft's .NET platform. This is the latest move in Microsoft's expansion of its technological activity in the Israeli market, after the announcement of its new R&amp;D center, and the acquisition of two other companies Whale Communications, and Gteko. Secured Dimensions was co-founded in 2005 by CEO Avi Shilo, VP sales &amp; business development Eli Keren, and CTO Boris Asipov. The company chose to focus on providing solutions for Microsoft-based work environments, and it has developed a code partitioning technology for the running of applications based on Microsoft's .NET platform."</v>
      </c>
    </row>
    <row r="343">
      <c r="A343" s="6" t="str">
        <v>05896Z</v>
      </c>
      <c r="B343" s="6" t="str">
        <v>United States</v>
      </c>
      <c r="C343" s="6" t="str">
        <v>Avenue A Razorfish</v>
      </c>
      <c r="D343" s="6" t="str">
        <v>aQuantive Inc</v>
      </c>
      <c r="F343" s="6" t="str">
        <v>Japan</v>
      </c>
      <c r="G343" s="6" t="str">
        <v>Digital Palette Inc</v>
      </c>
      <c r="H343" s="6" t="str">
        <v>Business Services</v>
      </c>
      <c r="I343" s="6" t="str">
        <v>25425W</v>
      </c>
      <c r="J343" s="6" t="str">
        <v>Dentsu Inc</v>
      </c>
      <c r="K343" s="6" t="str">
        <v>Dentsu Tec Inc</v>
      </c>
      <c r="L343" s="7">
        <f>=DATE(2007,1,16)</f>
        <v>39097.99949074074</v>
      </c>
      <c r="W343" s="6" t="str">
        <v>Primary Business not Hi-Tech</v>
      </c>
      <c r="X343" s="6" t="str">
        <v>Computer Consulting Services</v>
      </c>
      <c r="Y343" s="6" t="str">
        <v>Primary Business not Hi-Tech</v>
      </c>
      <c r="Z343" s="6" t="str">
        <v>Turnkey Systems;Data Commun(Exclude networking;Primary Business not Hi-Tech;Internet Services &amp; Software;Other Computer Systems</v>
      </c>
      <c r="AA343" s="6" t="str">
        <v>Internet Services &amp; Software</v>
      </c>
      <c r="AB343" s="6" t="str">
        <v>Internet Services &amp; Software</v>
      </c>
      <c r="AH343" s="6" t="str">
        <v>False</v>
      </c>
      <c r="AJ343" s="6" t="str">
        <v>Intended</v>
      </c>
      <c r="AM343" s="6" t="str">
        <v>Not Applicable</v>
      </c>
      <c r="AO343" s="6" t="str">
        <v>"JAPAN-Dentsu Inc said on 16 Jan 2007 that its subsidiary, Digital Palette Inc, a digital contents developer, should form a capital/business alliance with Avenue A Razorfish (USA), as well as changing its firm name to 'KK Dentsu Avenue A Razorfish' as of 1 Feb 2007. As for the capital involvement scheme between the two companies, Digital Palette will make a private placement to aQuantive International Holdings, a wholly owned subsidiary of aQuantive Inc, the parent company of Avenue A Razorfish. Digital Palette has sought for the chance to expand into interactive advertising market, while Avenue A Razorfish who has the highest volume of sales in the interactive advertising sector in the USA has looked for a partner to expand its business in Japan."</v>
      </c>
    </row>
    <row r="344">
      <c r="A344" s="6" t="str">
        <v>38259P</v>
      </c>
      <c r="B344" s="6" t="str">
        <v>United States</v>
      </c>
      <c r="C344" s="6" t="str">
        <v>Google Inc</v>
      </c>
      <c r="D344" s="6" t="str">
        <v>Alphabet Inc</v>
      </c>
      <c r="F344" s="6" t="str">
        <v>United States</v>
      </c>
      <c r="G344" s="6" t="str">
        <v>Adscape Media Inc</v>
      </c>
      <c r="H344" s="6" t="str">
        <v>Prepackaged Software</v>
      </c>
      <c r="I344" s="6" t="str">
        <v>38126L</v>
      </c>
      <c r="J344" s="6" t="str">
        <v>Adscape Media Inc</v>
      </c>
      <c r="K344" s="6" t="str">
        <v>Adscape Media Inc</v>
      </c>
      <c r="L344" s="7">
        <f>=DATE(2007,1,20)</f>
        <v>39101.99949074074</v>
      </c>
      <c r="M344" s="7">
        <f>=DATE(2007,3,19)</f>
        <v>39159.99949074074</v>
      </c>
      <c r="W344" s="6" t="str">
        <v>Internet Services &amp; Software;Programming Services</v>
      </c>
      <c r="X344" s="6" t="str">
        <v>Other Software (inq. Games)</v>
      </c>
      <c r="Y344" s="6" t="str">
        <v>Other Software (inq. Games)</v>
      </c>
      <c r="Z344" s="6" t="str">
        <v>Other Software (inq. Games)</v>
      </c>
      <c r="AA344" s="6" t="str">
        <v>Internet Services &amp; Software;Programming Services;Primary Business not Hi-Tech;Computer Consulting Services;Telecommunications Equipment</v>
      </c>
      <c r="AB344" s="6" t="str">
        <v>Primary Business not Hi-Tech;Computer Consulting Services;Telecommunications Equipment;Internet Services &amp; Software;Programming Services</v>
      </c>
      <c r="AH344" s="6" t="str">
        <v>False</v>
      </c>
      <c r="AI344" s="6" t="str">
        <v>2007</v>
      </c>
      <c r="AJ344" s="6" t="str">
        <v>Completed</v>
      </c>
      <c r="AM344" s="6" t="str">
        <v>Not Applicable</v>
      </c>
      <c r="AO344" s="6" t="str">
        <v>US - Google Inc (GI) acquired Adscape Media Inc (AM), a developer of in-game advertising software. Terms were not disclosed. Originally, in January 2007, GI was rumored to be planning to acquire AM.</v>
      </c>
    </row>
    <row r="345">
      <c r="A345" s="6" t="str">
        <v>38259P</v>
      </c>
      <c r="B345" s="6" t="str">
        <v>United States</v>
      </c>
      <c r="C345" s="6" t="str">
        <v>Google Inc</v>
      </c>
      <c r="D345" s="6" t="str">
        <v>Alphabet Inc</v>
      </c>
      <c r="F345" s="6" t="str">
        <v>China (Mainland)</v>
      </c>
      <c r="G345" s="6" t="str">
        <v>Maxthon International Ltd</v>
      </c>
      <c r="H345" s="6" t="str">
        <v>Prepackaged Software</v>
      </c>
      <c r="I345" s="6" t="str">
        <v>57817A</v>
      </c>
      <c r="J345" s="6" t="str">
        <v>Maxthon International Ltd</v>
      </c>
      <c r="K345" s="6" t="str">
        <v>Maxthon International Ltd</v>
      </c>
      <c r="L345" s="7">
        <f>=DATE(2007,2,1)</f>
        <v>39113.99949074074</v>
      </c>
      <c r="W345" s="6" t="str">
        <v>Programming Services;Internet Services &amp; Software</v>
      </c>
      <c r="X345" s="6" t="str">
        <v>Communication/Network Software;Internet Services &amp; Software</v>
      </c>
      <c r="Y345" s="6" t="str">
        <v>Communication/Network Software;Internet Services &amp; Software</v>
      </c>
      <c r="Z345" s="6" t="str">
        <v>Communication/Network Software;Internet Services &amp; Software</v>
      </c>
      <c r="AA345" s="6" t="str">
        <v>Primary Business not Hi-Tech;Telecommunications Equipment;Computer Consulting Services;Programming Services;Internet Services &amp; Software</v>
      </c>
      <c r="AB345" s="6" t="str">
        <v>Computer Consulting Services;Primary Business not Hi-Tech;Internet Services &amp; Software;Telecommunications Equipment;Programming Services</v>
      </c>
      <c r="AH345" s="6" t="str">
        <v>False</v>
      </c>
      <c r="AJ345" s="6" t="str">
        <v>Dismissed Rumor</v>
      </c>
      <c r="AM345" s="6" t="str">
        <v>Rumored Deal</v>
      </c>
      <c r="AO345" s="6" t="str">
        <v>CHINA - Google Inc was rumored to be planning to acquire an undisclosed minority stake in Maxthon International Ltd, an Internet software developer. The Current status of this deal is unknown.</v>
      </c>
    </row>
    <row r="346">
      <c r="A346" s="6" t="str">
        <v>67020Y</v>
      </c>
      <c r="B346" s="6" t="str">
        <v>United States</v>
      </c>
      <c r="C346" s="6" t="str">
        <v>Nuance Communications Inc</v>
      </c>
      <c r="D346" s="6" t="str">
        <v>Nuance Communications Inc</v>
      </c>
      <c r="F346" s="6" t="str">
        <v>United States</v>
      </c>
      <c r="G346" s="6" t="str">
        <v>BeVocal Inc</v>
      </c>
      <c r="H346" s="6" t="str">
        <v>Prepackaged Software</v>
      </c>
      <c r="I346" s="6" t="str">
        <v>06133V</v>
      </c>
      <c r="J346" s="6" t="str">
        <v>BeVocal Inc</v>
      </c>
      <c r="K346" s="6" t="str">
        <v>BeVocal Inc</v>
      </c>
      <c r="L346" s="7">
        <f>=DATE(2007,2,22)</f>
        <v>39134.99949074074</v>
      </c>
      <c r="M346" s="7">
        <f>=DATE(2007,4,25)</f>
        <v>39196.99949074074</v>
      </c>
      <c r="N346" s="8">
        <v>208.547</v>
      </c>
      <c r="O346" s="8">
        <v>199.334</v>
      </c>
      <c r="W346" s="6" t="str">
        <v>Internet Services &amp; Software;Other Computer Related Svcs;Database Software/Programming;Networking Systems (LAN,WAN);Computer Consulting Services;Primary Business not Hi-Tech;Utilities/File Mgmt Software;Communication/Network Software;Applications Software(Home);Programming Services;Desktop Publishing;Applications Software(Business;Other Software (inq. Games)</v>
      </c>
      <c r="X346" s="6" t="str">
        <v>Internet Services &amp; Software;Communication/Network Software</v>
      </c>
      <c r="Y346" s="6" t="str">
        <v>Internet Services &amp; Software;Communication/Network Software</v>
      </c>
      <c r="Z346" s="6" t="str">
        <v>Communication/Network Software;Internet Services &amp; Software</v>
      </c>
      <c r="AA346" s="6" t="str">
        <v>Other Software (inq. Games);Database Software/Programming;Applications Software(Business;Applications Software(Home);Networking Systems (LAN,WAN);Internet Services &amp; Software;Computer Consulting Services;Utilities/File Mgmt Software;Communication/Network Software;Programming Services;Primary Business not Hi-Tech;Desktop Publishing;Other Computer Related Svcs</v>
      </c>
      <c r="AB346" s="6" t="str">
        <v>Internet Services &amp; Software;Networking Systems (LAN,WAN);Applications Software(Home);Programming Services;Applications Software(Business;Communication/Network Software;Utilities/File Mgmt Software;Primary Business not Hi-Tech;Computer Consulting Services;Database Software/Programming;Other Computer Related Svcs;Desktop Publishing;Other Software (inq. Games)</v>
      </c>
      <c r="AC346" s="8">
        <v>199.334</v>
      </c>
      <c r="AD346" s="7">
        <f>=DATE(2007,2,22)</f>
        <v>39134.99949074074</v>
      </c>
      <c r="AH346" s="6" t="str">
        <v>False</v>
      </c>
      <c r="AI346" s="6" t="str">
        <v>2007</v>
      </c>
      <c r="AJ346" s="6" t="str">
        <v>Completed</v>
      </c>
      <c r="AM346" s="6" t="str">
        <v>Financial Acquiror</v>
      </c>
      <c r="AO346" s="6" t="str">
        <v>US - Nuance Communications Inc (NC) acquired BeVocal Inc, a developer of self-service software, for an estimated $199.334 mil. The consideration consisted of an estimated $15 mil in cash, up to $60 mil in profit related payments, and 8.3 mil NC common shares valued at $124.334 mil. The shares were valued based on NC's closing stock price of $14.98 on February 21, the last full trading day prior to the announcement. The transaction had been subject to customary closing conditions and regulatory approval.</v>
      </c>
    </row>
    <row r="347">
      <c r="A347" s="6" t="str">
        <v>594918</v>
      </c>
      <c r="B347" s="6" t="str">
        <v>United States</v>
      </c>
      <c r="C347" s="6" t="str">
        <v>Microsoft Corp</v>
      </c>
      <c r="D347" s="6" t="str">
        <v>Microsoft Corp</v>
      </c>
      <c r="F347" s="6" t="str">
        <v>United States</v>
      </c>
      <c r="G347" s="6" t="str">
        <v>Medstory Inc</v>
      </c>
      <c r="H347" s="6" t="str">
        <v>Business Services</v>
      </c>
      <c r="I347" s="6" t="str">
        <v>58637V</v>
      </c>
      <c r="J347" s="6" t="str">
        <v>Medstory Inc</v>
      </c>
      <c r="K347" s="6" t="str">
        <v>Medstory Inc</v>
      </c>
      <c r="L347" s="7">
        <f>=DATE(2007,2,23)</f>
        <v>39135.99949074074</v>
      </c>
      <c r="M347" s="7">
        <f>=DATE(2007,3,9)</f>
        <v>39149.99949074074</v>
      </c>
      <c r="W347" s="6" t="str">
        <v>Operating Systems;Internet Services &amp; Software;Monitors/Terminals;Applications Software(Business;Other Peripherals;Computer Consulting Services</v>
      </c>
      <c r="X347" s="6" t="str">
        <v>Internet Services &amp; Software</v>
      </c>
      <c r="Y347" s="6" t="str">
        <v>Internet Services &amp; Software</v>
      </c>
      <c r="Z347" s="6" t="str">
        <v>Internet Services &amp; Software</v>
      </c>
      <c r="AA347" s="6" t="str">
        <v>Operating Systems;Applications Software(Business;Other Peripherals;Internet Services &amp; Software;Computer Consulting Services;Monitors/Terminals</v>
      </c>
      <c r="AB347" s="6" t="str">
        <v>Operating Systems;Applications Software(Business;Internet Services &amp; Software;Computer Consulting Services;Other Peripherals;Monitors/Terminals</v>
      </c>
      <c r="AH347" s="6" t="str">
        <v>False</v>
      </c>
      <c r="AI347" s="6" t="str">
        <v>2007</v>
      </c>
      <c r="AJ347" s="6" t="str">
        <v>Completed</v>
      </c>
      <c r="AM347" s="6" t="str">
        <v>Not Applicable</v>
      </c>
      <c r="AO347" s="6" t="str">
        <v>US - Microsoft Corp acquired Medstory Inc, a provider of Internet search engine services.</v>
      </c>
    </row>
    <row r="348">
      <c r="A348" s="6" t="str">
        <v>05896Z</v>
      </c>
      <c r="B348" s="6" t="str">
        <v>United States</v>
      </c>
      <c r="C348" s="6" t="str">
        <v>Avenue A Razorfish</v>
      </c>
      <c r="D348" s="6" t="str">
        <v>aQuantive Inc</v>
      </c>
      <c r="F348" s="6" t="str">
        <v>France</v>
      </c>
      <c r="G348" s="6" t="str">
        <v>Duke SA</v>
      </c>
      <c r="H348" s="6" t="str">
        <v>Business Services</v>
      </c>
      <c r="I348" s="6" t="str">
        <v>26426C</v>
      </c>
      <c r="J348" s="6" t="str">
        <v>Duke SA</v>
      </c>
      <c r="K348" s="6" t="str">
        <v>Duke SA</v>
      </c>
      <c r="L348" s="7">
        <f>=DATE(2007,3,6)</f>
        <v>39146.99949074074</v>
      </c>
      <c r="M348" s="7">
        <f>=DATE(2007,3,6)</f>
        <v>39146.99949074074</v>
      </c>
      <c r="N348" s="8">
        <v>7.87504921905762</v>
      </c>
      <c r="O348" s="8">
        <v>7.87504921905762</v>
      </c>
      <c r="W348" s="6" t="str">
        <v>Primary Business not Hi-Tech</v>
      </c>
      <c r="X348" s="6" t="str">
        <v>Data Processing Services;Primary Business not Hi-Tech;Programming Services</v>
      </c>
      <c r="Y348" s="6" t="str">
        <v>Data Processing Services;Programming Services;Primary Business not Hi-Tech</v>
      </c>
      <c r="Z348" s="6" t="str">
        <v>Primary Business not Hi-Tech;Data Processing Services;Programming Services</v>
      </c>
      <c r="AA348" s="6" t="str">
        <v>Internet Services &amp; Software</v>
      </c>
      <c r="AB348" s="6" t="str">
        <v>Internet Services &amp; Software</v>
      </c>
      <c r="AC348" s="8">
        <v>7.87504921905762</v>
      </c>
      <c r="AD348" s="7">
        <f>=DATE(2007,3,6)</f>
        <v>39146.99949074074</v>
      </c>
      <c r="AH348" s="6" t="str">
        <v>False</v>
      </c>
      <c r="AI348" s="6" t="str">
        <v>2007</v>
      </c>
      <c r="AJ348" s="6" t="str">
        <v>Completed</v>
      </c>
      <c r="AM348" s="6" t="str">
        <v>Not Applicable</v>
      </c>
      <c r="AO348" s="6" t="str">
        <v>FRANCE - Avenue A Razorfish of the US, a unit of Aquantive Inc, acquired Duke SA, a Paris-based provider of Internet marketing services, for 6 mil euros ($7.876 mil US) in cash, and an undisclosed amount in profit-related payments.</v>
      </c>
    </row>
    <row r="349">
      <c r="A349" s="6" t="str">
        <v>594918</v>
      </c>
      <c r="B349" s="6" t="str">
        <v>United States</v>
      </c>
      <c r="C349" s="6" t="str">
        <v>Microsoft Corp</v>
      </c>
      <c r="D349" s="6" t="str">
        <v>Microsoft Corp</v>
      </c>
      <c r="F349" s="6" t="str">
        <v>United States</v>
      </c>
      <c r="G349" s="6" t="str">
        <v>Tellme Networks Inc</v>
      </c>
      <c r="H349" s="6" t="str">
        <v>Prepackaged Software</v>
      </c>
      <c r="I349" s="6" t="str">
        <v>87914H</v>
      </c>
      <c r="J349" s="6" t="str">
        <v>Tellme Networks Inc</v>
      </c>
      <c r="K349" s="6" t="str">
        <v>Tellme Networks Inc</v>
      </c>
      <c r="L349" s="7">
        <f>=DATE(2007,3,14)</f>
        <v>39154.99949074074</v>
      </c>
      <c r="M349" s="7">
        <f>=DATE(2007,5,3)</f>
        <v>39204.99949074074</v>
      </c>
      <c r="W349" s="6" t="str">
        <v>Internet Services &amp; Software;Computer Consulting Services;Operating Systems;Other Peripherals;Monitors/Terminals;Applications Software(Business</v>
      </c>
      <c r="X349" s="6" t="str">
        <v>Applications Software(Business;Other Software (inq. Games);Communication/Network Software;Internet Services &amp; Software</v>
      </c>
      <c r="Y349" s="6" t="str">
        <v>Other Software (inq. Games);Communication/Network Software;Internet Services &amp; Software;Applications Software(Business</v>
      </c>
      <c r="Z349" s="6" t="str">
        <v>Other Software (inq. Games);Communication/Network Software;Applications Software(Business;Internet Services &amp; Software</v>
      </c>
      <c r="AA349" s="6" t="str">
        <v>Monitors/Terminals;Operating Systems;Internet Services &amp; Software;Computer Consulting Services;Applications Software(Business;Other Peripherals</v>
      </c>
      <c r="AB349" s="6" t="str">
        <v>Operating Systems;Monitors/Terminals;Computer Consulting Services;Applications Software(Business;Other Peripherals;Internet Services &amp; Software</v>
      </c>
      <c r="AH349" s="6" t="str">
        <v>False</v>
      </c>
      <c r="AI349" s="6" t="str">
        <v>2007</v>
      </c>
      <c r="AJ349" s="6" t="str">
        <v>Completed</v>
      </c>
      <c r="AM349" s="6" t="str">
        <v>Rumored Deal</v>
      </c>
      <c r="AO349" s="6" t="str">
        <v>US - Microsoft Corp (MC) acquired Tellme Networks Inc (TN), a developer of mobile phone software. Terms were not disclosed. Originally, MC was rumored to be planning to acquire TN.</v>
      </c>
    </row>
    <row r="350">
      <c r="A350" s="6" t="str">
        <v>67020Y</v>
      </c>
      <c r="B350" s="6" t="str">
        <v>United States</v>
      </c>
      <c r="C350" s="6" t="str">
        <v>Nuance Communications Inc</v>
      </c>
      <c r="D350" s="6" t="str">
        <v>Nuance Communications Inc</v>
      </c>
      <c r="F350" s="6" t="str">
        <v>United States</v>
      </c>
      <c r="G350" s="6" t="str">
        <v>Focus Informatics Inc</v>
      </c>
      <c r="H350" s="6" t="str">
        <v>Business Services</v>
      </c>
      <c r="I350" s="6" t="str">
        <v>34428P</v>
      </c>
      <c r="J350" s="6" t="str">
        <v>Focus Informatics Inc</v>
      </c>
      <c r="K350" s="6" t="str">
        <v>Focus Informatics Inc</v>
      </c>
      <c r="L350" s="7">
        <f>=DATE(2007,3,15)</f>
        <v>39155.99949074074</v>
      </c>
      <c r="M350" s="7">
        <f>=DATE(2007,3,28)</f>
        <v>39168.99949074074</v>
      </c>
      <c r="N350" s="8">
        <v>58</v>
      </c>
      <c r="O350" s="8">
        <v>58</v>
      </c>
      <c r="W350" s="6" t="str">
        <v>Applications Software(Business;Computer Consulting Services;Networking Systems (LAN,WAN);Utilities/File Mgmt Software;Applications Software(Home);Database Software/Programming;Other Computer Related Svcs;Desktop Publishing;Primary Business not Hi-Tech;Internet Services &amp; Software;Communication/Network Software;Programming Services;Other Software (inq. Games)</v>
      </c>
      <c r="X350" s="6" t="str">
        <v>Other Computer Related Svcs;Computer Consulting Services;Programming Services</v>
      </c>
      <c r="Y350" s="6" t="str">
        <v>Computer Consulting Services;Programming Services;Other Computer Related Svcs</v>
      </c>
      <c r="Z350" s="6" t="str">
        <v>Computer Consulting Services;Programming Services;Other Computer Related Svcs</v>
      </c>
      <c r="AA350" s="6" t="str">
        <v>Other Computer Related Svcs;Programming Services;Applications Software(Home);Applications Software(Business;Database Software/Programming;Other Software (inq. Games);Utilities/File Mgmt Software;Communication/Network Software;Primary Business not Hi-Tech;Desktop Publishing;Networking Systems (LAN,WAN);Computer Consulting Services;Internet Services &amp; Software</v>
      </c>
      <c r="AB350" s="6" t="str">
        <v>Programming Services;Desktop Publishing;Applications Software(Home);Database Software/Programming;Communication/Network Software;Internet Services &amp; Software;Applications Software(Business;Networking Systems (LAN,WAN);Utilities/File Mgmt Software;Other Computer Related Svcs;Computer Consulting Services;Other Software (inq. Games);Primary Business not Hi-Tech</v>
      </c>
      <c r="AC350" s="8">
        <v>58</v>
      </c>
      <c r="AD350" s="7">
        <f>=DATE(2007,3,15)</f>
        <v>39155.99949074074</v>
      </c>
      <c r="AH350" s="6" t="str">
        <v>False</v>
      </c>
      <c r="AI350" s="6" t="str">
        <v>2007</v>
      </c>
      <c r="AJ350" s="6" t="str">
        <v>Completed</v>
      </c>
      <c r="AM350" s="6" t="str">
        <v>Financial Acquiror</v>
      </c>
      <c r="AO350" s="6" t="str">
        <v>US - Nuance Communications Inc acquired Focus Informatics Inc, a provider of healthcare transcription solutions services, for an estimated $58 mil in cash. The transaction had been subject to customary closing conditions.</v>
      </c>
    </row>
    <row r="351">
      <c r="A351" s="6" t="str">
        <v>594918</v>
      </c>
      <c r="B351" s="6" t="str">
        <v>United States</v>
      </c>
      <c r="C351" s="6" t="str">
        <v>Microsoft Corp</v>
      </c>
      <c r="D351" s="6" t="str">
        <v>Microsoft Corp</v>
      </c>
      <c r="F351" s="6" t="str">
        <v>United States</v>
      </c>
      <c r="G351" s="6" t="str">
        <v>devBiz Business Solutions LLC</v>
      </c>
      <c r="H351" s="6" t="str">
        <v>Prepackaged Software</v>
      </c>
      <c r="I351" s="6" t="str">
        <v>36015F</v>
      </c>
      <c r="J351" s="6" t="str">
        <v>devBiz Business Solutions LLC</v>
      </c>
      <c r="K351" s="6" t="str">
        <v>devBiz Business Solutions LLC</v>
      </c>
      <c r="L351" s="7">
        <f>=DATE(2007,3,26)</f>
        <v>39166.99949074074</v>
      </c>
      <c r="M351" s="7">
        <f>=DATE(2007,3,26)</f>
        <v>39166.99949074074</v>
      </c>
      <c r="W351" s="6" t="str">
        <v>Other Peripherals;Internet Services &amp; Software;Monitors/Terminals;Computer Consulting Services;Applications Software(Business;Operating Systems</v>
      </c>
      <c r="X351" s="6" t="str">
        <v>Applications Software(Business</v>
      </c>
      <c r="Y351" s="6" t="str">
        <v>Applications Software(Business</v>
      </c>
      <c r="Z351" s="6" t="str">
        <v>Applications Software(Business</v>
      </c>
      <c r="AA351" s="6" t="str">
        <v>Applications Software(Business;Monitors/Terminals;Internet Services &amp; Software;Other Peripherals;Operating Systems;Computer Consulting Services</v>
      </c>
      <c r="AB351" s="6" t="str">
        <v>Other Peripherals;Monitors/Terminals;Applications Software(Business;Internet Services &amp; Software;Computer Consulting Services;Operating Systems</v>
      </c>
      <c r="AH351" s="6" t="str">
        <v>False</v>
      </c>
      <c r="AI351" s="6" t="str">
        <v>2007</v>
      </c>
      <c r="AJ351" s="6" t="str">
        <v>Completed</v>
      </c>
      <c r="AM351" s="6" t="str">
        <v>Not Applicable</v>
      </c>
      <c r="AO351" s="6" t="str">
        <v>US - Microsoft Corp acquired devBiz Business Solutions LLC, a developer of software development tools.</v>
      </c>
    </row>
    <row r="352">
      <c r="A352" s="6" t="str">
        <v>38259P</v>
      </c>
      <c r="B352" s="6" t="str">
        <v>United States</v>
      </c>
      <c r="C352" s="6" t="str">
        <v>Google Inc</v>
      </c>
      <c r="D352" s="6" t="str">
        <v>Alphabet Inc</v>
      </c>
      <c r="F352" s="6" t="str">
        <v>United States</v>
      </c>
      <c r="G352" s="6" t="str">
        <v>DoubleClick Inc</v>
      </c>
      <c r="H352" s="6" t="str">
        <v>Business Services</v>
      </c>
      <c r="I352" s="6" t="str">
        <v>258609</v>
      </c>
      <c r="J352" s="6" t="str">
        <v>Hellman &amp; Friedman LLC</v>
      </c>
      <c r="K352" s="6" t="str">
        <v>Hellman &amp; Friedman LLC</v>
      </c>
      <c r="L352" s="7">
        <f>=DATE(2007,4,13)</f>
        <v>39184.99949074074</v>
      </c>
      <c r="M352" s="7">
        <f>=DATE(2008,3,11)</f>
        <v>39517.99949074074</v>
      </c>
      <c r="N352" s="8">
        <v>3100</v>
      </c>
      <c r="O352" s="8">
        <v>3100</v>
      </c>
      <c r="R352" s="8">
        <v>28.9</v>
      </c>
      <c r="S352" s="8">
        <v>309.922</v>
      </c>
      <c r="T352" s="8">
        <v>-78.771</v>
      </c>
      <c r="U352" s="8">
        <v>7.141</v>
      </c>
      <c r="V352" s="8">
        <v>69.154</v>
      </c>
      <c r="W352" s="6" t="str">
        <v>Internet Services &amp; Software;Programming Services</v>
      </c>
      <c r="X352" s="6" t="str">
        <v>Internet Services &amp; Software</v>
      </c>
      <c r="Y352" s="6" t="str">
        <v>Primary Business not Hi-Tech</v>
      </c>
      <c r="Z352" s="6" t="str">
        <v>Primary Business not Hi-Tech</v>
      </c>
      <c r="AA352" s="6" t="str">
        <v>Internet Services &amp; Software;Telecommunications Equipment;Programming Services;Primary Business not Hi-Tech;Computer Consulting Services</v>
      </c>
      <c r="AB352" s="6" t="str">
        <v>Internet Services &amp; Software;Primary Business not Hi-Tech;Computer Consulting Services;Programming Services;Telecommunications Equipment</v>
      </c>
      <c r="AC352" s="8">
        <v>3100</v>
      </c>
      <c r="AD352" s="7">
        <f>=DATE(2007,4,13)</f>
        <v>39184.99949074074</v>
      </c>
      <c r="AH352" s="6" t="str">
        <v>True</v>
      </c>
      <c r="AI352" s="6" t="str">
        <v>2008</v>
      </c>
      <c r="AJ352" s="6" t="str">
        <v>Completed</v>
      </c>
      <c r="AM352" s="6" t="str">
        <v>Divestiture</v>
      </c>
      <c r="AN352" s="8">
        <v>19.513</v>
      </c>
      <c r="AO352" s="6" t="str">
        <v>US - Google Inc acquired DoubleClick Inc (DC), a provider of Internet advertising consulting services, from Hellman &amp; Friedman LLC and JMI Equity Inc, for $3.1 bil in cash. The transaction was subjected to customary closing conditions and regulatory approvals. Originally, in March 2007, DC announced that it was seeking a buyer for the company. Microsoft Corp was named as potential bidder.</v>
      </c>
    </row>
    <row r="353">
      <c r="A353" s="6" t="str">
        <v>38259P</v>
      </c>
      <c r="B353" s="6" t="str">
        <v>United States</v>
      </c>
      <c r="C353" s="6" t="str">
        <v>Google Inc</v>
      </c>
      <c r="D353" s="6" t="str">
        <v>Alphabet Inc</v>
      </c>
      <c r="F353" s="6" t="str">
        <v>United States</v>
      </c>
      <c r="G353" s="6" t="str">
        <v>Tonic Systems Inc</v>
      </c>
      <c r="H353" s="6" t="str">
        <v>Business Services</v>
      </c>
      <c r="I353" s="6" t="str">
        <v>89037P</v>
      </c>
      <c r="J353" s="6" t="str">
        <v>Tonic Systems Inc</v>
      </c>
      <c r="K353" s="6" t="str">
        <v>Tonic Systems Inc</v>
      </c>
      <c r="L353" s="7">
        <f>=DATE(2007,4,18)</f>
        <v>39189.99949074074</v>
      </c>
      <c r="M353" s="7">
        <f>=DATE(2007,4,18)</f>
        <v>39189.99949074074</v>
      </c>
      <c r="W353" s="6" t="str">
        <v>Programming Services;Internet Services &amp; Software</v>
      </c>
      <c r="X353" s="6" t="str">
        <v>Data Processing Services;Programming Services</v>
      </c>
      <c r="Y353" s="6" t="str">
        <v>Data Processing Services;Programming Services</v>
      </c>
      <c r="Z353" s="6" t="str">
        <v>Data Processing Services;Programming Services</v>
      </c>
      <c r="AA353" s="6" t="str">
        <v>Internet Services &amp; Software;Programming Services;Primary Business not Hi-Tech;Telecommunications Equipment;Computer Consulting Services</v>
      </c>
      <c r="AB353" s="6" t="str">
        <v>Telecommunications Equipment;Computer Consulting Services;Programming Services;Internet Services &amp; Software;Primary Business not Hi-Tech</v>
      </c>
      <c r="AH353" s="6" t="str">
        <v>False</v>
      </c>
      <c r="AI353" s="6" t="str">
        <v>2007</v>
      </c>
      <c r="AJ353" s="6" t="str">
        <v>Completed</v>
      </c>
      <c r="AM353" s="6" t="str">
        <v>Not Applicable</v>
      </c>
      <c r="AO353" s="6" t="str">
        <v>US - Google Inc acquired Tonic Systems Inc, a provider of Java presentation creation and document conversion services. Terms were not disclosed.</v>
      </c>
    </row>
    <row r="354">
      <c r="A354" s="6" t="str">
        <v>594918</v>
      </c>
      <c r="B354" s="6" t="str">
        <v>United States</v>
      </c>
      <c r="C354" s="6" t="str">
        <v>Microsoft Corp</v>
      </c>
      <c r="D354" s="6" t="str">
        <v>Microsoft Corp</v>
      </c>
      <c r="F354" s="6" t="str">
        <v>France</v>
      </c>
      <c r="G354" s="6" t="str">
        <v>ScreenTonic SA</v>
      </c>
      <c r="H354" s="6" t="str">
        <v>Advertising Services</v>
      </c>
      <c r="I354" s="6" t="str">
        <v>81094H</v>
      </c>
      <c r="J354" s="6" t="str">
        <v>ScreenTonic SA</v>
      </c>
      <c r="K354" s="6" t="str">
        <v>ScreenTonic SA</v>
      </c>
      <c r="L354" s="7">
        <f>=DATE(2007,5,3)</f>
        <v>39204.99949074074</v>
      </c>
      <c r="M354" s="7">
        <f>=DATE(2007,5,3)</f>
        <v>39204.99949074074</v>
      </c>
      <c r="R354" s="8">
        <v>0.073809667856495</v>
      </c>
      <c r="S354" s="8">
        <v>3.55496400266199</v>
      </c>
      <c r="W354" s="6" t="str">
        <v>Computer Consulting Services;Internet Services &amp; Software;Monitors/Terminals;Applications Software(Business;Operating Systems;Other Peripherals</v>
      </c>
      <c r="X354" s="6" t="str">
        <v>Communication/Network Software;Primary Business not Hi-Tech</v>
      </c>
      <c r="Y354" s="6" t="str">
        <v>Communication/Network Software;Primary Business not Hi-Tech</v>
      </c>
      <c r="Z354" s="6" t="str">
        <v>Communication/Network Software;Primary Business not Hi-Tech</v>
      </c>
      <c r="AA354" s="6" t="str">
        <v>Other Peripherals;Operating Systems;Computer Consulting Services;Applications Software(Business;Internet Services &amp; Software;Monitors/Terminals</v>
      </c>
      <c r="AB354" s="6" t="str">
        <v>Other Peripherals;Internet Services &amp; Software;Applications Software(Business;Monitors/Terminals;Operating Systems;Computer Consulting Services</v>
      </c>
      <c r="AH354" s="6" t="str">
        <v>True</v>
      </c>
      <c r="AI354" s="6" t="str">
        <v>2007</v>
      </c>
      <c r="AJ354" s="6" t="str">
        <v>Completed</v>
      </c>
      <c r="AM354" s="6" t="str">
        <v>Not Applicable</v>
      </c>
      <c r="AN354" s="8">
        <v>0.007259967330147</v>
      </c>
      <c r="AO354" s="6" t="str">
        <v>FRANCE - Microsoft Corp of the US acquired ScreenTonic SA, a Paris-based provider of advertising and marketing services for mobile devices. Terms were not disclosed.</v>
      </c>
    </row>
    <row r="355">
      <c r="A355" s="6" t="str">
        <v>594918</v>
      </c>
      <c r="B355" s="6" t="str">
        <v>United States</v>
      </c>
      <c r="C355" s="6" t="str">
        <v>Microsoft Corp</v>
      </c>
      <c r="D355" s="6" t="str">
        <v>Microsoft Corp</v>
      </c>
      <c r="F355" s="6" t="str">
        <v>United States</v>
      </c>
      <c r="G355" s="6" t="str">
        <v>Yahoo! Inc</v>
      </c>
      <c r="H355" s="6" t="str">
        <v>Business Services</v>
      </c>
      <c r="I355" s="6" t="str">
        <v>984332</v>
      </c>
      <c r="J355" s="6" t="str">
        <v>Yahoo! Inc</v>
      </c>
      <c r="K355" s="6" t="str">
        <v>Yahoo! Inc</v>
      </c>
      <c r="L355" s="7">
        <f>=DATE(2007,5,4)</f>
        <v>39205.99949074074</v>
      </c>
      <c r="R355" s="8">
        <v>733.956</v>
      </c>
      <c r="S355" s="8">
        <v>6530.474</v>
      </c>
      <c r="T355" s="8">
        <v>-1386.367</v>
      </c>
      <c r="U355" s="8">
        <v>-136.785</v>
      </c>
      <c r="V355" s="8">
        <v>1421.395</v>
      </c>
      <c r="W355" s="6" t="str">
        <v>Applications Software(Business;Monitors/Terminals;Other Peripherals;Internet Services &amp; Software;Computer Consulting Services;Operating Systems</v>
      </c>
      <c r="X355" s="6" t="str">
        <v>Internet Services &amp; Software</v>
      </c>
      <c r="Y355" s="6" t="str">
        <v>Internet Services &amp; Software</v>
      </c>
      <c r="Z355" s="6" t="str">
        <v>Internet Services &amp; Software</v>
      </c>
      <c r="AA355" s="6" t="str">
        <v>Other Peripherals;Computer Consulting Services;Internet Services &amp; Software;Monitors/Terminals;Applications Software(Business;Operating Systems</v>
      </c>
      <c r="AB355" s="6" t="str">
        <v>Internet Services &amp; Software;Other Peripherals;Computer Consulting Services;Operating Systems;Applications Software(Business;Monitors/Terminals</v>
      </c>
      <c r="AH355" s="6" t="str">
        <v>True</v>
      </c>
      <c r="AJ355" s="6" t="str">
        <v>Dismissed Rumor</v>
      </c>
      <c r="AL355" s="8">
        <v>1360.218273</v>
      </c>
      <c r="AM355" s="6" t="str">
        <v>Rumored Deal</v>
      </c>
      <c r="AN355" s="8">
        <v>3388.898</v>
      </c>
      <c r="AO355" s="6" t="str">
        <v>US - Microsoft Corp discontinued rumors to be planning to acquire all the outstanding common stock of Yahoo! Inc, a provider of Internet search engine services.</v>
      </c>
    </row>
    <row r="356">
      <c r="A356" s="6" t="str">
        <v>023135</v>
      </c>
      <c r="B356" s="6" t="str">
        <v>United States</v>
      </c>
      <c r="C356" s="6" t="str">
        <v>Amazon.com Inc</v>
      </c>
      <c r="D356" s="6" t="str">
        <v>Amazon.com Inc</v>
      </c>
      <c r="F356" s="6" t="str">
        <v>United Kingdom</v>
      </c>
      <c r="G356" s="6" t="str">
        <v>Dpreview.com</v>
      </c>
      <c r="H356" s="6" t="str">
        <v>Business Services</v>
      </c>
      <c r="I356" s="6" t="str">
        <v>23679C</v>
      </c>
      <c r="J356" s="6" t="str">
        <v>Askey.Net Consulting Ltd</v>
      </c>
      <c r="K356" s="6" t="str">
        <v>Askey.Net Consulting Ltd</v>
      </c>
      <c r="L356" s="7">
        <f>=DATE(2007,5,14)</f>
        <v>39215.99949074074</v>
      </c>
      <c r="M356" s="7">
        <f>=DATE(2007,5,14)</f>
        <v>39215.99949074074</v>
      </c>
      <c r="W356" s="6" t="str">
        <v>Primary Business not Hi-Tech</v>
      </c>
      <c r="X356" s="6" t="str">
        <v>Networking Systems (LAN,WAN);Internet Services &amp; Software</v>
      </c>
      <c r="Y356" s="6" t="str">
        <v>Primary Business not Hi-Tech</v>
      </c>
      <c r="Z356" s="6" t="str">
        <v>Primary Business not Hi-Tech</v>
      </c>
      <c r="AA356" s="6" t="str">
        <v>Primary Business not Hi-Tech</v>
      </c>
      <c r="AB356" s="6" t="str">
        <v>Primary Business not Hi-Tech</v>
      </c>
      <c r="AH356" s="6" t="str">
        <v>True</v>
      </c>
      <c r="AI356" s="6" t="str">
        <v>2007</v>
      </c>
      <c r="AJ356" s="6" t="str">
        <v>Completed</v>
      </c>
      <c r="AM356" s="6" t="str">
        <v>Divestiture</v>
      </c>
      <c r="AO356" s="6" t="str">
        <v>UK - Amazon.com Inc of the US acquired Dpreview.com, a London-based provider of information retrieval services, from Askey.Net Consulting Ltd.</v>
      </c>
    </row>
    <row r="357">
      <c r="A357" s="6" t="str">
        <v>67020Y</v>
      </c>
      <c r="B357" s="6" t="str">
        <v>United States</v>
      </c>
      <c r="C357" s="6" t="str">
        <v>Nuance Communications Inc</v>
      </c>
      <c r="D357" s="6" t="str">
        <v>Nuance Communications Inc</v>
      </c>
      <c r="F357" s="6" t="str">
        <v>United States</v>
      </c>
      <c r="G357" s="6" t="str">
        <v>VoiceSignal Technologies Inc</v>
      </c>
      <c r="H357" s="6" t="str">
        <v>Prepackaged Software</v>
      </c>
      <c r="I357" s="6" t="str">
        <v>92771R</v>
      </c>
      <c r="J357" s="6" t="str">
        <v>VoiceSignal Technologies Inc</v>
      </c>
      <c r="K357" s="6" t="str">
        <v>VoiceSignal Technologies Inc</v>
      </c>
      <c r="L357" s="7">
        <f>=DATE(2007,5,15)</f>
        <v>39216.99949074074</v>
      </c>
      <c r="M357" s="7">
        <f>=DATE(2007,8,27)</f>
        <v>39320.99949074074</v>
      </c>
      <c r="N357" s="8">
        <v>316.81</v>
      </c>
      <c r="O357" s="8">
        <v>292.624</v>
      </c>
      <c r="W357" s="6" t="str">
        <v>Desktop Publishing;Other Computer Related Svcs;Applications Software(Home);Programming Services;Database Software/Programming;Primary Business not Hi-Tech;Applications Software(Business;Communication/Network Software;Internet Services &amp; Software;Computer Consulting Services;Networking Systems (LAN,WAN);Other Software (inq. Games);Utilities/File Mgmt Software</v>
      </c>
      <c r="X357" s="6" t="str">
        <v>Cellular Communications;Communication/Network Software</v>
      </c>
      <c r="Y357" s="6" t="str">
        <v>Cellular Communications;Communication/Network Software</v>
      </c>
      <c r="Z357" s="6" t="str">
        <v>Communication/Network Software;Cellular Communications</v>
      </c>
      <c r="AA357" s="6" t="str">
        <v>Desktop Publishing;Programming Services;Computer Consulting Services;Database Software/Programming;Applications Software(Business;Internet Services &amp; Software;Other Software (inq. Games);Communication/Network Software;Other Computer Related Svcs;Primary Business not Hi-Tech;Applications Software(Home);Networking Systems (LAN,WAN);Utilities/File Mgmt Software</v>
      </c>
      <c r="AB357" s="6" t="str">
        <v>Networking Systems (LAN,WAN);Internet Services &amp; Software;Applications Software(Business;Communication/Network Software;Other Computer Related Svcs;Utilities/File Mgmt Software;Desktop Publishing;Computer Consulting Services;Other Software (inq. Games);Applications Software(Home);Programming Services;Database Software/Programming;Primary Business not Hi-Tech</v>
      </c>
      <c r="AC357" s="8">
        <v>292.624</v>
      </c>
      <c r="AD357" s="7">
        <f>=DATE(2007,5,15)</f>
        <v>39216.99949074074</v>
      </c>
      <c r="AH357" s="6" t="str">
        <v>False</v>
      </c>
      <c r="AI357" s="6" t="str">
        <v>2007</v>
      </c>
      <c r="AJ357" s="6" t="str">
        <v>Completed</v>
      </c>
      <c r="AM357" s="6" t="str">
        <v>Financial Acquiror</v>
      </c>
      <c r="AO357" s="6" t="str">
        <v>US - Nuance Communications Inc (NC) acquired VoiceSignal Technologies Inc, a developer of wireless communication software, for $292.624 mil. The consideration was to consist of $204 mil in cash and 5.8 mil NC common shares valued at $88.624 mil. The shares were valued based on NC's closing stock price of $15.28 on May 14, the last full trading day prior to the announcement. The transaction was subjected to customary closing conditions and regulatory approvals.</v>
      </c>
    </row>
    <row r="358">
      <c r="A358" s="6" t="str">
        <v>594918</v>
      </c>
      <c r="B358" s="6" t="str">
        <v>United States</v>
      </c>
      <c r="C358" s="6" t="str">
        <v>Microsoft Corp</v>
      </c>
      <c r="D358" s="6" t="str">
        <v>Microsoft Corp</v>
      </c>
      <c r="F358" s="6" t="str">
        <v>United States</v>
      </c>
      <c r="G358" s="6" t="str">
        <v>aQuantive Inc</v>
      </c>
      <c r="H358" s="6" t="str">
        <v>Advertising Services</v>
      </c>
      <c r="I358" s="6" t="str">
        <v>03839G</v>
      </c>
      <c r="J358" s="6" t="str">
        <v>aQuantive Inc</v>
      </c>
      <c r="K358" s="6" t="str">
        <v>aQuantive Inc</v>
      </c>
      <c r="L358" s="7">
        <f>=DATE(2007,5,18)</f>
        <v>39219.99949074074</v>
      </c>
      <c r="M358" s="7">
        <f>=DATE(2007,8,13)</f>
        <v>39306.99949074074</v>
      </c>
      <c r="N358" s="8">
        <v>6333.117</v>
      </c>
      <c r="O358" s="8">
        <v>6333.117</v>
      </c>
      <c r="P358" s="8" t="str">
        <v>6,099.43</v>
      </c>
      <c r="R358" s="8">
        <v>60.581</v>
      </c>
      <c r="S358" s="8">
        <v>492.647</v>
      </c>
      <c r="T358" s="8">
        <v>56.689</v>
      </c>
      <c r="U358" s="8">
        <v>-284.788</v>
      </c>
      <c r="V358" s="8">
        <v>123.634</v>
      </c>
      <c r="W358" s="6" t="str">
        <v>Monitors/Terminals;Internet Services &amp; Software;Computer Consulting Services;Applications Software(Business;Other Peripherals;Operating Systems</v>
      </c>
      <c r="X358" s="6" t="str">
        <v>Internet Services &amp; Software</v>
      </c>
      <c r="Y358" s="6" t="str">
        <v>Internet Services &amp; Software</v>
      </c>
      <c r="Z358" s="6" t="str">
        <v>Internet Services &amp; Software</v>
      </c>
      <c r="AA358" s="6" t="str">
        <v>Internet Services &amp; Software;Other Peripherals;Applications Software(Business;Computer Consulting Services;Monitors/Terminals;Operating Systems</v>
      </c>
      <c r="AB358" s="6" t="str">
        <v>Computer Consulting Services;Operating Systems;Applications Software(Business;Monitors/Terminals;Internet Services &amp; Software;Other Peripherals</v>
      </c>
      <c r="AC358" s="8">
        <v>6333.117</v>
      </c>
      <c r="AD358" s="7">
        <f>=DATE(2007,5,18)</f>
        <v>39219.99949074074</v>
      </c>
      <c r="AE358" s="8">
        <v>5249.664812</v>
      </c>
      <c r="AF358" s="8" t="str">
        <v>6,116.41</v>
      </c>
      <c r="AG358" s="8" t="str">
        <v>6,099.43</v>
      </c>
      <c r="AH358" s="6" t="str">
        <v>True</v>
      </c>
      <c r="AI358" s="6" t="str">
        <v>2007</v>
      </c>
      <c r="AJ358" s="6" t="str">
        <v>Completed</v>
      </c>
      <c r="AK358" s="8">
        <v>5249.664812</v>
      </c>
      <c r="AL358" s="8">
        <v>78.942328</v>
      </c>
      <c r="AM358" s="6" t="str">
        <v>Not Applicable</v>
      </c>
      <c r="AN358" s="8">
        <v>323.676</v>
      </c>
      <c r="AO358" s="6" t="str">
        <v>US - Microsoft Corp acquired all the outstanding common stock of aQuantive Inc, a provider of digital marketing services, for $66.5 in cash per share, or a total value of $6.333 bil. The transaction had been subject to customary closing conditions, shareholders and regulatory approvals.</v>
      </c>
    </row>
    <row r="359">
      <c r="A359" s="6" t="str">
        <v>38259P</v>
      </c>
      <c r="B359" s="6" t="str">
        <v>United States</v>
      </c>
      <c r="C359" s="6" t="str">
        <v>Google Inc</v>
      </c>
      <c r="D359" s="6" t="str">
        <v>Alphabet Inc</v>
      </c>
      <c r="F359" s="6" t="str">
        <v>United States</v>
      </c>
      <c r="G359" s="6" t="str">
        <v>GreenBorder Technologies Inc</v>
      </c>
      <c r="H359" s="6" t="str">
        <v>Business Services</v>
      </c>
      <c r="I359" s="6" t="str">
        <v>39364Z</v>
      </c>
      <c r="J359" s="6" t="str">
        <v>GreenBorder Technologies Inc</v>
      </c>
      <c r="K359" s="6" t="str">
        <v>GreenBorder Technologies Inc</v>
      </c>
      <c r="L359" s="7">
        <f>=DATE(2007,5,30)</f>
        <v>39231.99949074074</v>
      </c>
      <c r="M359" s="7">
        <f>=DATE(2007,5,30)</f>
        <v>39231.99949074074</v>
      </c>
      <c r="W359" s="6" t="str">
        <v>Internet Services &amp; Software;Programming Services</v>
      </c>
      <c r="X359" s="6" t="str">
        <v>Other Software (inq. Games);Data Processing Services;Computer Consulting Services;Other Computer Related Svcs</v>
      </c>
      <c r="Y359" s="6" t="str">
        <v>Other Computer Related Svcs;Other Software (inq. Games);Computer Consulting Services;Data Processing Services</v>
      </c>
      <c r="Z359" s="6" t="str">
        <v>Data Processing Services;Computer Consulting Services;Other Software (inq. Games);Other Computer Related Svcs</v>
      </c>
      <c r="AA359" s="6" t="str">
        <v>Computer Consulting Services;Programming Services;Primary Business not Hi-Tech;Telecommunications Equipment;Internet Services &amp; Software</v>
      </c>
      <c r="AB359" s="6" t="str">
        <v>Computer Consulting Services;Internet Services &amp; Software;Telecommunications Equipment;Primary Business not Hi-Tech;Programming Services</v>
      </c>
      <c r="AH359" s="6" t="str">
        <v>False</v>
      </c>
      <c r="AI359" s="6" t="str">
        <v>2007</v>
      </c>
      <c r="AJ359" s="6" t="str">
        <v>Completed</v>
      </c>
      <c r="AM359" s="6" t="str">
        <v>Not Applicable</v>
      </c>
      <c r="AO359" s="6" t="str">
        <v>US - Google Inc acquired GreenBorder Technologies Inc, a provider of information technology services for email protection.</v>
      </c>
    </row>
    <row r="360">
      <c r="A360" s="6" t="str">
        <v>38259P</v>
      </c>
      <c r="B360" s="6" t="str">
        <v>United States</v>
      </c>
      <c r="C360" s="6" t="str">
        <v>Google Inc</v>
      </c>
      <c r="D360" s="6" t="str">
        <v>Alphabet Inc</v>
      </c>
      <c r="F360" s="6" t="str">
        <v>Spain</v>
      </c>
      <c r="G360" s="6" t="str">
        <v>Panoramio</v>
      </c>
      <c r="H360" s="6" t="str">
        <v>Business Services</v>
      </c>
      <c r="I360" s="6" t="str">
        <v>69969K</v>
      </c>
      <c r="J360" s="6" t="str">
        <v>Panoramio</v>
      </c>
      <c r="K360" s="6" t="str">
        <v>Panoramio</v>
      </c>
      <c r="L360" s="7">
        <f>=DATE(2007,6,1)</f>
        <v>39233.99949074074</v>
      </c>
      <c r="N360" s="8">
        <v>6.99801465051003</v>
      </c>
      <c r="O360" s="8">
        <v>6.99801465051003</v>
      </c>
      <c r="W360" s="6" t="str">
        <v>Internet Services &amp; Software;Programming Services</v>
      </c>
      <c r="X360" s="6" t="str">
        <v>Internet Services &amp; Software;Communication/Network Software</v>
      </c>
      <c r="Y360" s="6" t="str">
        <v>Communication/Network Software;Internet Services &amp; Software</v>
      </c>
      <c r="Z360" s="6" t="str">
        <v>Communication/Network Software;Internet Services &amp; Software</v>
      </c>
      <c r="AA360" s="6" t="str">
        <v>Primary Business not Hi-Tech;Computer Consulting Services;Telecommunications Equipment;Programming Services;Internet Services &amp; Software</v>
      </c>
      <c r="AB360" s="6" t="str">
        <v>Telecommunications Equipment;Internet Services &amp; Software;Programming Services;Computer Consulting Services;Primary Business not Hi-Tech</v>
      </c>
      <c r="AC360" s="8">
        <v>6.99801465051003</v>
      </c>
      <c r="AD360" s="7">
        <f>=DATE(2007,7,30)</f>
        <v>39292.99949074074</v>
      </c>
      <c r="AH360" s="6" t="str">
        <v>False</v>
      </c>
      <c r="AJ360" s="6" t="str">
        <v>Pending</v>
      </c>
      <c r="AM360" s="6" t="str">
        <v>Not Applicable</v>
      </c>
      <c r="AO360" s="6" t="str">
        <v>SPAIN - Google Inc of the US planned to acquire Panoramio, an Alicante-based developer of internet software, for 5.111 mil euros ($7 mil US).</v>
      </c>
    </row>
    <row r="361">
      <c r="A361" s="6" t="str">
        <v>38259P</v>
      </c>
      <c r="B361" s="6" t="str">
        <v>United States</v>
      </c>
      <c r="C361" s="6" t="str">
        <v>Google Inc</v>
      </c>
      <c r="D361" s="6" t="str">
        <v>Alphabet Inc</v>
      </c>
      <c r="F361" s="6" t="str">
        <v>United States</v>
      </c>
      <c r="G361" s="6" t="str">
        <v>FeedBurner Inc</v>
      </c>
      <c r="H361" s="6" t="str">
        <v>Business Services</v>
      </c>
      <c r="I361" s="6" t="str">
        <v>31455P</v>
      </c>
      <c r="J361" s="6" t="str">
        <v>FeedBurner Inc</v>
      </c>
      <c r="K361" s="6" t="str">
        <v>FeedBurner Inc</v>
      </c>
      <c r="L361" s="7">
        <f>=DATE(2007,6,2)</f>
        <v>39234.99949074074</v>
      </c>
      <c r="M361" s="7">
        <f>=DATE(2007,6,2)</f>
        <v>39234.99949074074</v>
      </c>
      <c r="W361" s="6" t="str">
        <v>Internet Services &amp; Software;Programming Services</v>
      </c>
      <c r="X361" s="6" t="str">
        <v>Other Software (inq. Games);Data Processing Services;Computer Consulting Services;Other Computer Related Svcs</v>
      </c>
      <c r="Y361" s="6" t="str">
        <v>Data Processing Services;Computer Consulting Services;Other Computer Related Svcs;Other Software (inq. Games)</v>
      </c>
      <c r="Z361" s="6" t="str">
        <v>Data Processing Services;Computer Consulting Services;Other Computer Related Svcs;Other Software (inq. Games)</v>
      </c>
      <c r="AA361" s="6" t="str">
        <v>Telecommunications Equipment;Programming Services;Computer Consulting Services;Primary Business not Hi-Tech;Internet Services &amp; Software</v>
      </c>
      <c r="AB361" s="6" t="str">
        <v>Computer Consulting Services;Internet Services &amp; Software;Programming Services;Primary Business not Hi-Tech;Telecommunications Equipment</v>
      </c>
      <c r="AH361" s="6" t="str">
        <v>False</v>
      </c>
      <c r="AI361" s="6" t="str">
        <v>2007</v>
      </c>
      <c r="AJ361" s="6" t="str">
        <v>Completed</v>
      </c>
      <c r="AM361" s="6" t="str">
        <v>Rumored Deal</v>
      </c>
      <c r="AO361" s="6" t="str">
        <v>US - Google Inc (GI) was acquired FeedBurner Inc(FI), a provider of feed management services. Terms were not disclosed. Originally, GI was rumored to planning to acquire FI.</v>
      </c>
    </row>
    <row r="362">
      <c r="A362" s="6" t="str">
        <v>594918</v>
      </c>
      <c r="B362" s="6" t="str">
        <v>United States</v>
      </c>
      <c r="C362" s="6" t="str">
        <v>Microsoft Corp</v>
      </c>
      <c r="D362" s="6" t="str">
        <v>Microsoft Corp</v>
      </c>
      <c r="F362" s="6" t="str">
        <v>United States</v>
      </c>
      <c r="G362" s="6" t="str">
        <v>Engyro Corp</v>
      </c>
      <c r="H362" s="6" t="str">
        <v>Business Services</v>
      </c>
      <c r="I362" s="6" t="str">
        <v>27071T</v>
      </c>
      <c r="J362" s="6" t="str">
        <v>Engyro Corp</v>
      </c>
      <c r="K362" s="6" t="str">
        <v>Engyro Corp</v>
      </c>
      <c r="L362" s="7">
        <f>=DATE(2007,6,4)</f>
        <v>39236.99949074074</v>
      </c>
      <c r="M362" s="7">
        <f>=DATE(2007,6,4)</f>
        <v>39236.99949074074</v>
      </c>
      <c r="W362" s="6" t="str">
        <v>Computer Consulting Services;Applications Software(Business;Monitors/Terminals;Operating Systems;Internet Services &amp; Software;Other Peripherals</v>
      </c>
      <c r="X362" s="6" t="str">
        <v>Other Computer Related Svcs;Data Processing Services;Other Software (inq. Games);Computer Consulting Services</v>
      </c>
      <c r="Y362" s="6" t="str">
        <v>Other Software (inq. Games);Data Processing Services;Other Computer Related Svcs;Computer Consulting Services</v>
      </c>
      <c r="Z362" s="6" t="str">
        <v>Other Software (inq. Games);Other Computer Related Svcs;Data Processing Services;Computer Consulting Services</v>
      </c>
      <c r="AA362" s="6" t="str">
        <v>Internet Services &amp; Software;Other Peripherals;Monitors/Terminals;Applications Software(Business;Operating Systems;Computer Consulting Services</v>
      </c>
      <c r="AB362" s="6" t="str">
        <v>Operating Systems;Applications Software(Business;Computer Consulting Services;Monitors/Terminals;Other Peripherals;Internet Services &amp; Software</v>
      </c>
      <c r="AH362" s="6" t="str">
        <v>False</v>
      </c>
      <c r="AI362" s="6" t="str">
        <v>2007</v>
      </c>
      <c r="AJ362" s="6" t="str">
        <v>Completed</v>
      </c>
      <c r="AM362" s="6" t="str">
        <v>Not Applicable</v>
      </c>
      <c r="AO362" s="6" t="str">
        <v>US - Microsoft Corp acquired Engyro Corp, a provider of information technology services.</v>
      </c>
    </row>
    <row r="363">
      <c r="A363" s="6" t="str">
        <v>38259P</v>
      </c>
      <c r="B363" s="6" t="str">
        <v>United States</v>
      </c>
      <c r="C363" s="6" t="str">
        <v>Google Inc</v>
      </c>
      <c r="D363" s="6" t="str">
        <v>Alphabet Inc</v>
      </c>
      <c r="F363" s="6" t="str">
        <v>United States</v>
      </c>
      <c r="G363" s="6" t="str">
        <v>PeakStream</v>
      </c>
      <c r="H363" s="6" t="str">
        <v>Prepackaged Software</v>
      </c>
      <c r="I363" s="6" t="str">
        <v>70492N</v>
      </c>
      <c r="J363" s="6" t="str">
        <v>PeakStream</v>
      </c>
      <c r="K363" s="6" t="str">
        <v>PeakStream</v>
      </c>
      <c r="L363" s="7">
        <f>=DATE(2007,6,6)</f>
        <v>39238.99949074074</v>
      </c>
      <c r="M363" s="7">
        <f>=DATE(2007,6,6)</f>
        <v>39238.99949074074</v>
      </c>
      <c r="W363" s="6" t="str">
        <v>Programming Services;Internet Services &amp; Software</v>
      </c>
      <c r="X363" s="6" t="str">
        <v>Other Software (inq. Games)</v>
      </c>
      <c r="Y363" s="6" t="str">
        <v>Other Software (inq. Games)</v>
      </c>
      <c r="Z363" s="6" t="str">
        <v>Other Software (inq. Games)</v>
      </c>
      <c r="AA363" s="6" t="str">
        <v>Computer Consulting Services;Primary Business not Hi-Tech;Programming Services;Internet Services &amp; Software;Telecommunications Equipment</v>
      </c>
      <c r="AB363" s="6" t="str">
        <v>Primary Business not Hi-Tech;Computer Consulting Services;Programming Services;Telecommunications Equipment;Internet Services &amp; Software</v>
      </c>
      <c r="AH363" s="6" t="str">
        <v>False</v>
      </c>
      <c r="AI363" s="6" t="str">
        <v>2007</v>
      </c>
      <c r="AJ363" s="6" t="str">
        <v>Completed</v>
      </c>
      <c r="AM363" s="6" t="str">
        <v>Not Applicable</v>
      </c>
      <c r="AO363" s="6" t="str">
        <v>US - Google Inc acquired PeakStream, a developer of software. Terms were not disclosed.</v>
      </c>
    </row>
    <row r="364">
      <c r="A364" s="6" t="str">
        <v>594918</v>
      </c>
      <c r="B364" s="6" t="str">
        <v>United States</v>
      </c>
      <c r="C364" s="6" t="str">
        <v>Microsoft Corp</v>
      </c>
      <c r="D364" s="6" t="str">
        <v>Microsoft Corp</v>
      </c>
      <c r="F364" s="6" t="str">
        <v>United States</v>
      </c>
      <c r="G364" s="6" t="str">
        <v>Stratature Inc</v>
      </c>
      <c r="H364" s="6" t="str">
        <v>Business Services</v>
      </c>
      <c r="I364" s="6" t="str">
        <v>86269W</v>
      </c>
      <c r="J364" s="6" t="str">
        <v>Stratature Inc</v>
      </c>
      <c r="K364" s="6" t="str">
        <v>Stratature Inc</v>
      </c>
      <c r="L364" s="7">
        <f>=DATE(2007,6,7)</f>
        <v>39239.99949074074</v>
      </c>
      <c r="M364" s="7">
        <f>=DATE(2007,6,7)</f>
        <v>39239.99949074074</v>
      </c>
      <c r="W364" s="6" t="str">
        <v>Other Peripherals;Monitors/Terminals;Operating Systems;Computer Consulting Services;Applications Software(Business;Internet Services &amp; Software</v>
      </c>
      <c r="X364" s="6" t="str">
        <v>Computer Consulting Services;Applications Software(Business;Programming Services;Other Computer Related Svcs</v>
      </c>
      <c r="Y364" s="6" t="str">
        <v>Applications Software(Business;Computer Consulting Services;Other Computer Related Svcs;Programming Services</v>
      </c>
      <c r="Z364" s="6" t="str">
        <v>Computer Consulting Services;Applications Software(Business;Programming Services;Other Computer Related Svcs</v>
      </c>
      <c r="AA364" s="6" t="str">
        <v>Applications Software(Business;Computer Consulting Services;Operating Systems;Monitors/Terminals;Other Peripherals;Internet Services &amp; Software</v>
      </c>
      <c r="AB364" s="6" t="str">
        <v>Applications Software(Business;Other Peripherals;Internet Services &amp; Software;Computer Consulting Services;Monitors/Terminals;Operating Systems</v>
      </c>
      <c r="AH364" s="6" t="str">
        <v>False</v>
      </c>
      <c r="AI364" s="6" t="str">
        <v>2007</v>
      </c>
      <c r="AJ364" s="6" t="str">
        <v>Completed</v>
      </c>
      <c r="AM364" s="6" t="str">
        <v>Not Applicable</v>
      </c>
      <c r="AO364" s="6" t="str">
        <v>US - Microsoft Corp acquired Stratature Inc, a provider of application management and support services.</v>
      </c>
    </row>
    <row r="365">
      <c r="A365" s="6" t="str">
        <v>38259P</v>
      </c>
      <c r="B365" s="6" t="str">
        <v>United States</v>
      </c>
      <c r="C365" s="6" t="str">
        <v>Google Inc</v>
      </c>
      <c r="D365" s="6" t="str">
        <v>Alphabet Inc</v>
      </c>
      <c r="F365" s="6" t="str">
        <v>United States</v>
      </c>
      <c r="G365" s="6" t="str">
        <v>Zenter</v>
      </c>
      <c r="H365" s="6" t="str">
        <v>Prepackaged Software</v>
      </c>
      <c r="I365" s="6" t="str">
        <v>99135J</v>
      </c>
      <c r="J365" s="6" t="str">
        <v>Zenter</v>
      </c>
      <c r="K365" s="6" t="str">
        <v>Zenter</v>
      </c>
      <c r="L365" s="7">
        <f>=DATE(2007,6,19)</f>
        <v>39251.99949074074</v>
      </c>
      <c r="M365" s="7">
        <f>=DATE(2007,6,19)</f>
        <v>39251.99949074074</v>
      </c>
      <c r="W365" s="6" t="str">
        <v>Programming Services;Internet Services &amp; Software</v>
      </c>
      <c r="X365" s="6" t="str">
        <v>Internet Services &amp; Software;Communication/Network Software</v>
      </c>
      <c r="Y365" s="6" t="str">
        <v>Internet Services &amp; Software;Communication/Network Software</v>
      </c>
      <c r="Z365" s="6" t="str">
        <v>Internet Services &amp; Software;Communication/Network Software</v>
      </c>
      <c r="AA365" s="6" t="str">
        <v>Computer Consulting Services;Internet Services &amp; Software;Telecommunications Equipment;Programming Services;Primary Business not Hi-Tech</v>
      </c>
      <c r="AB365" s="6" t="str">
        <v>Internet Services &amp; Software;Computer Consulting Services;Primary Business not Hi-Tech;Telecommunications Equipment;Programming Services</v>
      </c>
      <c r="AH365" s="6" t="str">
        <v>False</v>
      </c>
      <c r="AI365" s="6" t="str">
        <v>2007</v>
      </c>
      <c r="AJ365" s="6" t="str">
        <v>Completed</v>
      </c>
      <c r="AM365" s="6" t="str">
        <v>Not Applicable</v>
      </c>
      <c r="AO365" s="6" t="str">
        <v>US - Google Inc acquired Zenter, a developer of Internet slide presentation software. Terms were not disclosed.</v>
      </c>
    </row>
    <row r="366">
      <c r="A366" s="6" t="str">
        <v>67020Y</v>
      </c>
      <c r="B366" s="6" t="str">
        <v>United States</v>
      </c>
      <c r="C366" s="6" t="str">
        <v>Nuance Communications Inc</v>
      </c>
      <c r="D366" s="6" t="str">
        <v>Nuance Communications Inc</v>
      </c>
      <c r="F366" s="6" t="str">
        <v>United States</v>
      </c>
      <c r="G366" s="6" t="str">
        <v>Tegic Communications Inc</v>
      </c>
      <c r="H366" s="6" t="str">
        <v>Prepackaged Software</v>
      </c>
      <c r="I366" s="6" t="str">
        <v>87893W</v>
      </c>
      <c r="J366" s="6" t="str">
        <v>Time Warner Inc</v>
      </c>
      <c r="K366" s="6" t="str">
        <v>Time Warner Inc</v>
      </c>
      <c r="L366" s="7">
        <f>=DATE(2007,6,21)</f>
        <v>39253.99949074074</v>
      </c>
      <c r="M366" s="7">
        <f>=DATE(2007,8,24)</f>
        <v>39317.99949074074</v>
      </c>
      <c r="N366" s="8">
        <v>265</v>
      </c>
      <c r="O366" s="8">
        <v>265</v>
      </c>
      <c r="W366" s="6" t="str">
        <v>Internet Services &amp; Software;Desktop Publishing;Networking Systems (LAN,WAN);Other Computer Related Svcs;Applications Software(Home);Database Software/Programming;Communication/Network Software;Utilities/File Mgmt Software;Other Software (inq. Games);Programming Services;Applications Software(Business;Computer Consulting Services;Primary Business not Hi-Tech</v>
      </c>
      <c r="X366" s="6" t="str">
        <v>Microwave Communications;Other Telecommunications Equip;Satellite Communications;Communication/Network Software;Cellular Communications;Other Software (inq. Games);Data Commun(Exclude networking</v>
      </c>
      <c r="Y366" s="6" t="str">
        <v>Communication/Network Software;Internet Services &amp; Software;Satellite Communications</v>
      </c>
      <c r="Z366" s="6" t="str">
        <v>Internet Services &amp; Software;Satellite Communications;Communication/Network Software</v>
      </c>
      <c r="AA366" s="6" t="str">
        <v>Utilities/File Mgmt Software;Networking Systems (LAN,WAN);Internet Services &amp; Software;Computer Consulting Services;Other Software (inq. Games);Desktop Publishing;Other Computer Related Svcs;Database Software/Programming;Primary Business not Hi-Tech;Applications Software(Home);Programming Services;Applications Software(Business;Communication/Network Software</v>
      </c>
      <c r="AB366" s="6" t="str">
        <v>Desktop Publishing;Applications Software(Business;Other Software (inq. Games);Applications Software(Home);Programming Services;Database Software/Programming;Computer Consulting Services;Other Computer Related Svcs;Utilities/File Mgmt Software;Internet Services &amp; Software;Communication/Network Software;Networking Systems (LAN,WAN);Primary Business not Hi-Tech</v>
      </c>
      <c r="AC366" s="8">
        <v>265</v>
      </c>
      <c r="AD366" s="7">
        <f>=DATE(2007,6,21)</f>
        <v>39253.99949074074</v>
      </c>
      <c r="AH366" s="6" t="str">
        <v>False</v>
      </c>
      <c r="AI366" s="6" t="str">
        <v>2007</v>
      </c>
      <c r="AJ366" s="6" t="str">
        <v>Completed</v>
      </c>
      <c r="AM366" s="6" t="str">
        <v>Financial Acquiror;Divestiture</v>
      </c>
      <c r="AO366" s="6" t="str">
        <v>US - Nuance Communications Inc acquired Tegic Communications Inc, a developer of embedded communications software, from Time Warner Inc, for $265 mil in cash. The transaction had been subject to customary closing conditions and regulatory approvals.</v>
      </c>
    </row>
    <row r="367">
      <c r="A367" s="6" t="str">
        <v>594918</v>
      </c>
      <c r="B367" s="6" t="str">
        <v>United States</v>
      </c>
      <c r="C367" s="6" t="str">
        <v>Microsoft Corp</v>
      </c>
      <c r="D367" s="6" t="str">
        <v>Microsoft Corp</v>
      </c>
      <c r="F367" s="6" t="str">
        <v>United States</v>
      </c>
      <c r="G367" s="6" t="str">
        <v>Savvis Inc-Data Centers(2), Santa Clara,California</v>
      </c>
      <c r="H367" s="6" t="str">
        <v>Business Services</v>
      </c>
      <c r="I367" s="6" t="str">
        <v>80542F</v>
      </c>
      <c r="J367" s="6" t="str">
        <v>SAVVIS Inc</v>
      </c>
      <c r="K367" s="6" t="str">
        <v>SAVVIS Inc</v>
      </c>
      <c r="L367" s="7">
        <f>=DATE(2007,6,29)</f>
        <v>39261.99949074074</v>
      </c>
      <c r="M367" s="7">
        <f>=DATE(2007,6,29)</f>
        <v>39261.99949074074</v>
      </c>
      <c r="N367" s="8">
        <v>200</v>
      </c>
      <c r="O367" s="8">
        <v>200</v>
      </c>
      <c r="W367" s="6" t="str">
        <v>Operating Systems;Computer Consulting Services;Applications Software(Business;Monitors/Terminals;Other Peripherals;Internet Services &amp; Software</v>
      </c>
      <c r="X367" s="6" t="str">
        <v>Communication/Network Software;Internet Services &amp; Software</v>
      </c>
      <c r="Y367" s="6" t="str">
        <v>Other Software (inq. Games);Computer Consulting Services;Data Processing Services;Other Computer Related Svcs</v>
      </c>
      <c r="Z367" s="6" t="str">
        <v>Data Processing Services;Other Computer Related Svcs;Computer Consulting Services;Other Software (inq. Games)</v>
      </c>
      <c r="AA367" s="6" t="str">
        <v>Computer Consulting Services;Applications Software(Business;Other Peripherals;Monitors/Terminals;Operating Systems;Internet Services &amp; Software</v>
      </c>
      <c r="AB367" s="6" t="str">
        <v>Internet Services &amp; Software;Monitors/Terminals;Applications Software(Business;Operating Systems;Other Peripherals;Computer Consulting Services</v>
      </c>
      <c r="AC367" s="8">
        <v>200</v>
      </c>
      <c r="AD367" s="7">
        <f>=DATE(2007,6,29)</f>
        <v>39261.99949074074</v>
      </c>
      <c r="AH367" s="6" t="str">
        <v>False</v>
      </c>
      <c r="AI367" s="6" t="str">
        <v>2007</v>
      </c>
      <c r="AJ367" s="6" t="str">
        <v>Completed</v>
      </c>
      <c r="AM367" s="6" t="str">
        <v>Divestiture</v>
      </c>
      <c r="AO367" s="6" t="str">
        <v>US - Microsoft Corp acquired two data centers, located in Santa Clara, California, from Savvis Inc, a provider of networking services, and a unit of Welsh Carson Anderson &amp; Stowe Co, for $200 mil. The consideration consisted of $190 mil in cash and up to $10 mil in profit-related payments.</v>
      </c>
    </row>
    <row r="368">
      <c r="A368" s="6" t="str">
        <v>38259P</v>
      </c>
      <c r="B368" s="6" t="str">
        <v>United States</v>
      </c>
      <c r="C368" s="6" t="str">
        <v>Google Inc</v>
      </c>
      <c r="D368" s="6" t="str">
        <v>Alphabet Inc</v>
      </c>
      <c r="F368" s="6" t="str">
        <v>United States</v>
      </c>
      <c r="G368" s="6" t="str">
        <v>GrandCentral Communications</v>
      </c>
      <c r="H368" s="6" t="str">
        <v>Prepackaged Software</v>
      </c>
      <c r="I368" s="6" t="str">
        <v>38516Y</v>
      </c>
      <c r="J368" s="6" t="str">
        <v>GrandCentral Communications</v>
      </c>
      <c r="K368" s="6" t="str">
        <v>GrandCentral Communications</v>
      </c>
      <c r="L368" s="7">
        <f>=DATE(2007,7,2)</f>
        <v>39264.99949074074</v>
      </c>
      <c r="M368" s="7">
        <f>=DATE(2007,7,2)</f>
        <v>39264.99949074074</v>
      </c>
      <c r="W368" s="6" t="str">
        <v>Internet Services &amp; Software;Programming Services</v>
      </c>
      <c r="X368" s="6" t="str">
        <v>Internet Services &amp; Software;Communication/Network Software</v>
      </c>
      <c r="Y368" s="6" t="str">
        <v>Communication/Network Software;Internet Services &amp; Software</v>
      </c>
      <c r="Z368" s="6" t="str">
        <v>Internet Services &amp; Software;Communication/Network Software</v>
      </c>
      <c r="AA368" s="6" t="str">
        <v>Telecommunications Equipment;Programming Services;Computer Consulting Services;Internet Services &amp; Software;Primary Business not Hi-Tech</v>
      </c>
      <c r="AB368" s="6" t="str">
        <v>Primary Business not Hi-Tech;Computer Consulting Services;Internet Services &amp; Software;Telecommunications Equipment;Programming Services</v>
      </c>
      <c r="AH368" s="6" t="str">
        <v>False</v>
      </c>
      <c r="AI368" s="6" t="str">
        <v>2007</v>
      </c>
      <c r="AJ368" s="6" t="str">
        <v>Completed</v>
      </c>
      <c r="AM368" s="6" t="str">
        <v>Rumored Deal</v>
      </c>
      <c r="AO368" s="6" t="str">
        <v>US - Google Inc (GI) acquired GrandCentral Communications (GC), a developer of web-based voice communication software. Terms were not disclosed. Originally, GI was rumored to be planning to acquire GC.</v>
      </c>
    </row>
    <row r="369">
      <c r="A369" s="6" t="str">
        <v>38259P</v>
      </c>
      <c r="B369" s="6" t="str">
        <v>United States</v>
      </c>
      <c r="C369" s="6" t="str">
        <v>Google Inc</v>
      </c>
      <c r="D369" s="6" t="str">
        <v>Alphabet Inc</v>
      </c>
      <c r="F369" s="6" t="str">
        <v>United States</v>
      </c>
      <c r="G369" s="6" t="str">
        <v>Postini Inc</v>
      </c>
      <c r="H369" s="6" t="str">
        <v>Prepackaged Software</v>
      </c>
      <c r="I369" s="6" t="str">
        <v>69518L</v>
      </c>
      <c r="J369" s="6" t="str">
        <v>Postini Inc</v>
      </c>
      <c r="K369" s="6" t="str">
        <v>Postini Inc</v>
      </c>
      <c r="L369" s="7">
        <f>=DATE(2007,7,9)</f>
        <v>39271.99949074074</v>
      </c>
      <c r="M369" s="7">
        <f>=DATE(2007,9,13)</f>
        <v>39337.99949074074</v>
      </c>
      <c r="N369" s="8">
        <v>625</v>
      </c>
      <c r="O369" s="8">
        <v>625</v>
      </c>
      <c r="W369" s="6" t="str">
        <v>Internet Services &amp; Software;Programming Services</v>
      </c>
      <c r="X369" s="6" t="str">
        <v>Internet Services &amp; Software</v>
      </c>
      <c r="Y369" s="6" t="str">
        <v>Internet Services &amp; Software</v>
      </c>
      <c r="Z369" s="6" t="str">
        <v>Internet Services &amp; Software</v>
      </c>
      <c r="AA369" s="6" t="str">
        <v>Computer Consulting Services;Primary Business not Hi-Tech;Telecommunications Equipment;Internet Services &amp; Software;Programming Services</v>
      </c>
      <c r="AB369" s="6" t="str">
        <v>Internet Services &amp; Software;Primary Business not Hi-Tech;Telecommunications Equipment;Computer Consulting Services;Programming Services</v>
      </c>
      <c r="AC369" s="8">
        <v>625</v>
      </c>
      <c r="AD369" s="7">
        <f>=DATE(2007,7,9)</f>
        <v>39271.99949074074</v>
      </c>
      <c r="AH369" s="6" t="str">
        <v>False</v>
      </c>
      <c r="AI369" s="6" t="str">
        <v>2007</v>
      </c>
      <c r="AJ369" s="6" t="str">
        <v>Completed</v>
      </c>
      <c r="AM369" s="6" t="str">
        <v>Not Applicable</v>
      </c>
      <c r="AO369" s="6" t="str">
        <v>US - Google Inc acquired Postini Inc, a developer of on-demand security software, for $625 mil in cash. The transaction had been subject to customary closing conditions.</v>
      </c>
    </row>
    <row r="370">
      <c r="A370" s="6" t="str">
        <v>99101J</v>
      </c>
      <c r="B370" s="6" t="str">
        <v>United States</v>
      </c>
      <c r="C370" s="6" t="str">
        <v>Zappos.com Inc</v>
      </c>
      <c r="D370" s="6" t="str">
        <v>Zappos.com Inc</v>
      </c>
      <c r="F370" s="6" t="str">
        <v>United States</v>
      </c>
      <c r="G370" s="6" t="str">
        <v>6pm.com</v>
      </c>
      <c r="H370" s="6" t="str">
        <v>Retail Trade-General Merchandise and Apparel</v>
      </c>
      <c r="I370" s="6" t="str">
        <v>82851L</v>
      </c>
      <c r="J370" s="6" t="str">
        <v>eBags Inc</v>
      </c>
      <c r="K370" s="6" t="str">
        <v>eBags Inc</v>
      </c>
      <c r="L370" s="7">
        <f>=DATE(2007,7,9)</f>
        <v>39271.99949074074</v>
      </c>
      <c r="M370" s="7">
        <f>=DATE(2007,10,9)</f>
        <v>39363.99949074074</v>
      </c>
      <c r="W370" s="6" t="str">
        <v>Internet Services &amp; Software</v>
      </c>
      <c r="X370" s="6" t="str">
        <v>Internet Services &amp; Software</v>
      </c>
      <c r="Y370" s="6" t="str">
        <v>Primary Business not Hi-Tech</v>
      </c>
      <c r="Z370" s="6" t="str">
        <v>Primary Business not Hi-Tech</v>
      </c>
      <c r="AA370" s="6" t="str">
        <v>Internet Services &amp; Software</v>
      </c>
      <c r="AB370" s="6" t="str">
        <v>Internet Services &amp; Software</v>
      </c>
      <c r="AH370" s="6" t="str">
        <v>False</v>
      </c>
      <c r="AI370" s="6" t="str">
        <v>2007</v>
      </c>
      <c r="AJ370" s="6" t="str">
        <v>Completed</v>
      </c>
      <c r="AM370" s="6" t="str">
        <v>Divestiture</v>
      </c>
      <c r="AO370" s="6" t="str">
        <v>US - Zappos.com Inc definitively agreed to acquire 6pm.com, a provider of online footwear retail services, from eBags.com. Terms were not disclosed.</v>
      </c>
    </row>
    <row r="371">
      <c r="A371" s="6" t="str">
        <v>30303M</v>
      </c>
      <c r="B371" s="6" t="str">
        <v>United States</v>
      </c>
      <c r="C371" s="6" t="str">
        <v>Facebook Inc</v>
      </c>
      <c r="D371" s="6" t="str">
        <v>Facebook Inc</v>
      </c>
      <c r="F371" s="6" t="str">
        <v>United States</v>
      </c>
      <c r="G371" s="6" t="str">
        <v>Parakey Inc</v>
      </c>
      <c r="H371" s="6" t="str">
        <v>Prepackaged Software</v>
      </c>
      <c r="I371" s="6" t="str">
        <v>70090K</v>
      </c>
      <c r="J371" s="6" t="str">
        <v>Parakey Inc</v>
      </c>
      <c r="K371" s="6" t="str">
        <v>Parakey Inc</v>
      </c>
      <c r="L371" s="7">
        <f>=DATE(2007,7,19)</f>
        <v>39281.99949074074</v>
      </c>
      <c r="M371" s="7">
        <f>=DATE(2007,7,19)</f>
        <v>39281.99949074074</v>
      </c>
      <c r="W371" s="6" t="str">
        <v>Internet Services &amp; Software</v>
      </c>
      <c r="X371" s="6" t="str">
        <v>Internet Services &amp; Software;Communication/Network Software</v>
      </c>
      <c r="Y371" s="6" t="str">
        <v>Communication/Network Software;Internet Services &amp; Software</v>
      </c>
      <c r="Z371" s="6" t="str">
        <v>Communication/Network Software;Internet Services &amp; Software</v>
      </c>
      <c r="AA371" s="6" t="str">
        <v>Internet Services &amp; Software</v>
      </c>
      <c r="AB371" s="6" t="str">
        <v>Internet Services &amp; Software</v>
      </c>
      <c r="AH371" s="6" t="str">
        <v>False</v>
      </c>
      <c r="AI371" s="6" t="str">
        <v>2007</v>
      </c>
      <c r="AJ371" s="6" t="str">
        <v>Completed</v>
      </c>
      <c r="AM371" s="6" t="str">
        <v>Financial Acquiror</v>
      </c>
      <c r="AO371" s="6" t="str">
        <v>US - Facebook acquired Parakey Inc, a developer of Internet software. Terms were not disclosed.</v>
      </c>
    </row>
    <row r="372">
      <c r="A372" s="6" t="str">
        <v>38259P</v>
      </c>
      <c r="B372" s="6" t="str">
        <v>United States</v>
      </c>
      <c r="C372" s="6" t="str">
        <v>Google Inc</v>
      </c>
      <c r="D372" s="6" t="str">
        <v>Alphabet Inc</v>
      </c>
      <c r="F372" s="6" t="str">
        <v>China (Mainland)</v>
      </c>
      <c r="G372" s="6" t="str">
        <v>Baidu.com Inc</v>
      </c>
      <c r="H372" s="6" t="str">
        <v>Business Services</v>
      </c>
      <c r="I372" s="6" t="str">
        <v>056752</v>
      </c>
      <c r="J372" s="6" t="str">
        <v>Baidu.com Inc</v>
      </c>
      <c r="K372" s="6" t="str">
        <v>Baidu.com Inc</v>
      </c>
      <c r="L372" s="7">
        <f>=DATE(2007,8,21)</f>
        <v>39314.99949074074</v>
      </c>
      <c r="R372" s="8">
        <v>45.244</v>
      </c>
      <c r="S372" s="8">
        <v>124.599</v>
      </c>
      <c r="W372" s="6" t="str">
        <v>Programming Services;Internet Services &amp; Software</v>
      </c>
      <c r="X372" s="6" t="str">
        <v>Internet Services &amp; Software</v>
      </c>
      <c r="Y372" s="6" t="str">
        <v>Internet Services &amp; Software</v>
      </c>
      <c r="Z372" s="6" t="str">
        <v>Internet Services &amp; Software</v>
      </c>
      <c r="AA372" s="6" t="str">
        <v>Computer Consulting Services;Primary Business not Hi-Tech;Telecommunications Equipment;Internet Services &amp; Software;Programming Services</v>
      </c>
      <c r="AB372" s="6" t="str">
        <v>Telecommunications Equipment;Computer Consulting Services;Programming Services;Primary Business not Hi-Tech;Internet Services &amp; Software</v>
      </c>
      <c r="AH372" s="6" t="str">
        <v>True</v>
      </c>
      <c r="AJ372" s="6" t="str">
        <v>Dismissed Rumor</v>
      </c>
      <c r="AL372" s="8">
        <v>23.118</v>
      </c>
      <c r="AM372" s="6" t="str">
        <v>Rumored Deal</v>
      </c>
      <c r="AN372" s="8">
        <v>11.582</v>
      </c>
      <c r="AO372" s="6" t="str">
        <v>CHINA - Google Inc was rumored to be planning to acquire the entire share capital of Baidu.com, an Internet search engine services provider. The Current status of this deal is unknown.</v>
      </c>
    </row>
    <row r="373">
      <c r="A373" s="6" t="str">
        <v>38259P</v>
      </c>
      <c r="B373" s="6" t="str">
        <v>United States</v>
      </c>
      <c r="C373" s="6" t="str">
        <v>Google Inc</v>
      </c>
      <c r="D373" s="6" t="str">
        <v>Alphabet Inc</v>
      </c>
      <c r="F373" s="6" t="str">
        <v>China (Mainland)</v>
      </c>
      <c r="G373" s="6" t="str">
        <v>Tianya.cn</v>
      </c>
      <c r="H373" s="6" t="str">
        <v>Business Services</v>
      </c>
      <c r="I373" s="6" t="str">
        <v>88704R</v>
      </c>
      <c r="J373" s="6" t="str">
        <v>Tianya.cn</v>
      </c>
      <c r="K373" s="6" t="str">
        <v>Tianya.cn</v>
      </c>
      <c r="L373" s="7">
        <f>=DATE(2007,8,21)</f>
        <v>39314.99949074074</v>
      </c>
      <c r="M373" s="7">
        <f>=DATE(2007,8,21)</f>
        <v>39314.99949074074</v>
      </c>
      <c r="W373" s="6" t="str">
        <v>Programming Services;Internet Services &amp; Software</v>
      </c>
      <c r="X373" s="6" t="str">
        <v>Internet Services &amp; Software</v>
      </c>
      <c r="Y373" s="6" t="str">
        <v>Internet Services &amp; Software</v>
      </c>
      <c r="Z373" s="6" t="str">
        <v>Internet Services &amp; Software</v>
      </c>
      <c r="AA373" s="6" t="str">
        <v>Internet Services &amp; Software;Telecommunications Equipment;Primary Business not Hi-Tech;Computer Consulting Services;Programming Services</v>
      </c>
      <c r="AB373" s="6" t="str">
        <v>Primary Business not Hi-Tech;Internet Services &amp; Software;Computer Consulting Services;Telecommunications Equipment;Programming Services</v>
      </c>
      <c r="AH373" s="6" t="str">
        <v>False</v>
      </c>
      <c r="AI373" s="6" t="str">
        <v>2007</v>
      </c>
      <c r="AJ373" s="6" t="str">
        <v>Completed</v>
      </c>
      <c r="AM373" s="6" t="str">
        <v>Not Applicable</v>
      </c>
      <c r="AO373" s="6" t="str">
        <v>CHINA - Google Inc acquired an undisclosed minority stake in Tianya.cn, an Internet network services provider. Terms were not disclosed.</v>
      </c>
    </row>
    <row r="374">
      <c r="A374" s="6" t="str">
        <v>594918</v>
      </c>
      <c r="B374" s="6" t="str">
        <v>United States</v>
      </c>
      <c r="C374" s="6" t="str">
        <v>Microsoft Corp</v>
      </c>
      <c r="D374" s="6" t="str">
        <v>Microsoft Corp</v>
      </c>
      <c r="F374" s="6" t="str">
        <v>United States</v>
      </c>
      <c r="G374" s="6" t="str">
        <v>Parlano Inc</v>
      </c>
      <c r="H374" s="6" t="str">
        <v>Prepackaged Software</v>
      </c>
      <c r="I374" s="6" t="str">
        <v>70162F</v>
      </c>
      <c r="J374" s="6" t="str">
        <v>Parlano Inc</v>
      </c>
      <c r="K374" s="6" t="str">
        <v>Parlano Inc</v>
      </c>
      <c r="L374" s="7">
        <f>=DATE(2007,8,29)</f>
        <v>39322.99949074074</v>
      </c>
      <c r="M374" s="7">
        <f>=DATE(2007,10,5)</f>
        <v>39359.99949074074</v>
      </c>
      <c r="W374" s="6" t="str">
        <v>Applications Software(Business;Operating Systems;Monitors/Terminals;Other Peripherals;Computer Consulting Services;Internet Services &amp; Software</v>
      </c>
      <c r="X374" s="6" t="str">
        <v>Communication/Network Software</v>
      </c>
      <c r="Y374" s="6" t="str">
        <v>Communication/Network Software</v>
      </c>
      <c r="Z374" s="6" t="str">
        <v>Communication/Network Software</v>
      </c>
      <c r="AA374" s="6" t="str">
        <v>Computer Consulting Services;Internet Services &amp; Software;Operating Systems;Other Peripherals;Monitors/Terminals;Applications Software(Business</v>
      </c>
      <c r="AB374" s="6" t="str">
        <v>Other Peripherals;Applications Software(Business;Computer Consulting Services;Internet Services &amp; Software;Operating Systems;Monitors/Terminals</v>
      </c>
      <c r="AH374" s="6" t="str">
        <v>False</v>
      </c>
      <c r="AI374" s="6" t="str">
        <v>2007</v>
      </c>
      <c r="AJ374" s="6" t="str">
        <v>Completed</v>
      </c>
      <c r="AM374" s="6" t="str">
        <v>Not Applicable</v>
      </c>
      <c r="AO374" s="6" t="str">
        <v>US - Microsoft Corp acquired Parlano Inc, a developer of enterprise messaging software. Terms were not disclosed.</v>
      </c>
    </row>
    <row r="375">
      <c r="A375" s="6" t="str">
        <v>31708V</v>
      </c>
      <c r="B375" s="6" t="str">
        <v>United States</v>
      </c>
      <c r="C375" s="6" t="str">
        <v>TheFind Inc</v>
      </c>
      <c r="D375" s="6" t="str">
        <v>TheFind Inc</v>
      </c>
      <c r="F375" s="6" t="str">
        <v>United States</v>
      </c>
      <c r="G375" s="6" t="str">
        <v>Glimpse.com</v>
      </c>
      <c r="H375" s="6" t="str">
        <v>Business Services</v>
      </c>
      <c r="I375" s="6" t="str">
        <v>38158V</v>
      </c>
      <c r="J375" s="6" t="str">
        <v>Glimpse.com</v>
      </c>
      <c r="K375" s="6" t="str">
        <v>Glimpse.com</v>
      </c>
      <c r="L375" s="7">
        <f>=DATE(2007,8,30)</f>
        <v>39323.99949074074</v>
      </c>
      <c r="M375" s="7">
        <f>=DATE(2007,8,30)</f>
        <v>39323.99949074074</v>
      </c>
      <c r="W375" s="6" t="str">
        <v>Internet Services &amp; Software</v>
      </c>
      <c r="X375" s="6" t="str">
        <v>Internet Services &amp; Software</v>
      </c>
      <c r="Y375" s="6" t="str">
        <v>Internet Services &amp; Software</v>
      </c>
      <c r="Z375" s="6" t="str">
        <v>Internet Services &amp; Software</v>
      </c>
      <c r="AA375" s="6" t="str">
        <v>Internet Services &amp; Software</v>
      </c>
      <c r="AB375" s="6" t="str">
        <v>Internet Services &amp; Software</v>
      </c>
      <c r="AH375" s="6" t="str">
        <v>False</v>
      </c>
      <c r="AI375" s="6" t="str">
        <v>2007</v>
      </c>
      <c r="AJ375" s="6" t="str">
        <v>Completed</v>
      </c>
      <c r="AM375" s="6" t="str">
        <v>Not Applicable</v>
      </c>
      <c r="AO375" s="6" t="str">
        <v>US - TheFind Inc acquired Glimpse.com, a provider of Internet shopping search engine services. Terms were not disclosed.</v>
      </c>
    </row>
    <row r="376">
      <c r="A376" s="6" t="str">
        <v>594918</v>
      </c>
      <c r="B376" s="6" t="str">
        <v>United States</v>
      </c>
      <c r="C376" s="6" t="str">
        <v>Microsoft Corp</v>
      </c>
      <c r="D376" s="6" t="str">
        <v>Microsoft Corp</v>
      </c>
      <c r="F376" s="6" t="str">
        <v>United States</v>
      </c>
      <c r="G376" s="6" t="str">
        <v>Facebook Inc</v>
      </c>
      <c r="H376" s="6" t="str">
        <v>Business Services</v>
      </c>
      <c r="I376" s="6" t="str">
        <v>30303M</v>
      </c>
      <c r="J376" s="6" t="str">
        <v>Facebook Inc</v>
      </c>
      <c r="K376" s="6" t="str">
        <v>Facebook Inc</v>
      </c>
      <c r="L376" s="7">
        <f>=DATE(2007,9,25)</f>
        <v>39349.99949074074</v>
      </c>
      <c r="W376" s="6" t="str">
        <v>Monitors/Terminals;Computer Consulting Services;Applications Software(Business;Internet Services &amp; Software;Other Peripherals;Operating Systems</v>
      </c>
      <c r="X376" s="6" t="str">
        <v>Internet Services &amp; Software</v>
      </c>
      <c r="Y376" s="6" t="str">
        <v>Internet Services &amp; Software</v>
      </c>
      <c r="Z376" s="6" t="str">
        <v>Internet Services &amp; Software</v>
      </c>
      <c r="AA376" s="6" t="str">
        <v>Other Peripherals;Operating Systems;Computer Consulting Services;Internet Services &amp; Software;Applications Software(Business;Monitors/Terminals</v>
      </c>
      <c r="AB376" s="6" t="str">
        <v>Other Peripherals;Monitors/Terminals;Operating Systems;Applications Software(Business;Computer Consulting Services;Internet Services &amp; Software</v>
      </c>
      <c r="AH376" s="6" t="str">
        <v>False</v>
      </c>
      <c r="AJ376" s="6" t="str">
        <v>Dismissed Rumor</v>
      </c>
      <c r="AM376" s="6" t="str">
        <v>Rumored Deal</v>
      </c>
      <c r="AO376" s="6" t="str">
        <v>US - Microsoft Corp discontinued rumors that it was planning to acquire a 5% stake in Facebook, a provider of online networking services.</v>
      </c>
    </row>
    <row r="377">
      <c r="A377" s="6" t="str">
        <v>38259P</v>
      </c>
      <c r="B377" s="6" t="str">
        <v>United States</v>
      </c>
      <c r="C377" s="6" t="str">
        <v>Google Inc</v>
      </c>
      <c r="D377" s="6" t="str">
        <v>Alphabet Inc</v>
      </c>
      <c r="F377" s="6" t="str">
        <v>United States</v>
      </c>
      <c r="G377" s="6" t="str">
        <v>Zingku-Certain Assets</v>
      </c>
      <c r="H377" s="6" t="str">
        <v>Business Services</v>
      </c>
      <c r="I377" s="6" t="str">
        <v>99146M</v>
      </c>
      <c r="J377" s="6" t="str">
        <v>Zingku</v>
      </c>
      <c r="K377" s="6" t="str">
        <v>Zingku</v>
      </c>
      <c r="L377" s="7">
        <f>=DATE(2007,9,27)</f>
        <v>39351.99949074074</v>
      </c>
      <c r="W377" s="6" t="str">
        <v>Programming Services;Internet Services &amp; Software</v>
      </c>
      <c r="X377" s="6" t="str">
        <v>Internet Services &amp; Software</v>
      </c>
      <c r="Y377" s="6" t="str">
        <v>Internet Services &amp; Software</v>
      </c>
      <c r="Z377" s="6" t="str">
        <v>Internet Services &amp; Software</v>
      </c>
      <c r="AA377" s="6" t="str">
        <v>Internet Services &amp; Software;Telecommunications Equipment;Computer Consulting Services;Programming Services;Primary Business not Hi-Tech</v>
      </c>
      <c r="AB377" s="6" t="str">
        <v>Telecommunications Equipment;Primary Business not Hi-Tech;Computer Consulting Services;Internet Services &amp; Software;Programming Services</v>
      </c>
      <c r="AH377" s="6" t="str">
        <v>False</v>
      </c>
      <c r="AJ377" s="6" t="str">
        <v>Pending</v>
      </c>
      <c r="AM377" s="6" t="str">
        <v>Divestiture</v>
      </c>
      <c r="AO377" s="6" t="str">
        <v>US - Google Inc agreed to acquire certain assets form Zingku, a provider of information retrieval services.</v>
      </c>
    </row>
    <row r="378">
      <c r="A378" s="6" t="str">
        <v>594918</v>
      </c>
      <c r="B378" s="6" t="str">
        <v>United States</v>
      </c>
      <c r="C378" s="6" t="str">
        <v>Microsoft Corp</v>
      </c>
      <c r="D378" s="6" t="str">
        <v>Microsoft Corp</v>
      </c>
      <c r="F378" s="6" t="str">
        <v>United States</v>
      </c>
      <c r="G378" s="6" t="str">
        <v>Jellyfish.com Inc</v>
      </c>
      <c r="H378" s="6" t="str">
        <v>Miscellaneous Retail Trade</v>
      </c>
      <c r="I378" s="6" t="str">
        <v>47584V</v>
      </c>
      <c r="J378" s="6" t="str">
        <v>Jellyfish.com Inc</v>
      </c>
      <c r="K378" s="6" t="str">
        <v>Jellyfish.com Inc</v>
      </c>
      <c r="L378" s="7">
        <f>=DATE(2007,10,2)</f>
        <v>39356.99949074074</v>
      </c>
      <c r="M378" s="7">
        <f>=DATE(2007,10,2)</f>
        <v>39356.99949074074</v>
      </c>
      <c r="W378" s="6" t="str">
        <v>Internet Services &amp; Software;Operating Systems;Monitors/Terminals;Computer Consulting Services;Other Peripherals;Applications Software(Business</v>
      </c>
      <c r="X378" s="6" t="str">
        <v>Internet Services &amp; Software</v>
      </c>
      <c r="Y378" s="6" t="str">
        <v>Internet Services &amp; Software</v>
      </c>
      <c r="Z378" s="6" t="str">
        <v>Internet Services &amp; Software</v>
      </c>
      <c r="AA378" s="6" t="str">
        <v>Monitors/Terminals;Internet Services &amp; Software;Other Peripherals;Applications Software(Business;Computer Consulting Services;Operating Systems</v>
      </c>
      <c r="AB378" s="6" t="str">
        <v>Other Peripherals;Monitors/Terminals;Internet Services &amp; Software;Computer Consulting Services;Operating Systems;Applications Software(Business</v>
      </c>
      <c r="AH378" s="6" t="str">
        <v>False</v>
      </c>
      <c r="AI378" s="6" t="str">
        <v>2007</v>
      </c>
      <c r="AJ378" s="6" t="str">
        <v>Completed</v>
      </c>
      <c r="AM378" s="6" t="str">
        <v>Not Applicable</v>
      </c>
      <c r="AO378" s="6" t="str">
        <v>US - Microsoft Corp acquired Jellyfish.com Inc, a provider of retail search engine services. Terms were not disclosed.</v>
      </c>
    </row>
    <row r="379">
      <c r="A379" s="6" t="str">
        <v>55383E</v>
      </c>
      <c r="B379" s="6" t="str">
        <v>United States</v>
      </c>
      <c r="C379" s="6" t="str">
        <v>MSNBC</v>
      </c>
      <c r="D379" s="6" t="str">
        <v>General Electric Co</v>
      </c>
      <c r="F379" s="6" t="str">
        <v>United States</v>
      </c>
      <c r="G379" s="6" t="str">
        <v>Newsvine Inc</v>
      </c>
      <c r="H379" s="6" t="str">
        <v>Business Services</v>
      </c>
      <c r="I379" s="6" t="str">
        <v>65263Z</v>
      </c>
      <c r="J379" s="6" t="str">
        <v>Newsvine Inc</v>
      </c>
      <c r="K379" s="6" t="str">
        <v>Newsvine Inc</v>
      </c>
      <c r="L379" s="7">
        <f>=DATE(2007,10,5)</f>
        <v>39359.99949074074</v>
      </c>
      <c r="M379" s="7">
        <f>=DATE(2007,10,5)</f>
        <v>39359.99949074074</v>
      </c>
      <c r="W379" s="6" t="str">
        <v>Internet Services &amp; Software</v>
      </c>
      <c r="X379" s="6" t="str">
        <v>Internet Services &amp; Software</v>
      </c>
      <c r="Y379" s="6" t="str">
        <v>Internet Services &amp; Software</v>
      </c>
      <c r="Z379" s="6" t="str">
        <v>Internet Services &amp; Software</v>
      </c>
      <c r="AA379" s="6" t="str">
        <v>Primary Business not Hi-Tech</v>
      </c>
      <c r="AB379" s="6" t="str">
        <v>Other Electronics;Other High Technology Industry</v>
      </c>
      <c r="AH379" s="6" t="str">
        <v>False</v>
      </c>
      <c r="AI379" s="6" t="str">
        <v>2007</v>
      </c>
      <c r="AJ379" s="6" t="str">
        <v>Completed</v>
      </c>
      <c r="AM379" s="6" t="str">
        <v>Not Applicable</v>
      </c>
      <c r="AO379" s="6" t="str">
        <v>US - MSNBC, a joint venture between NBC Universal Inc, an 80% owned unit of General Electric Co {GE}, and Microsoft Corp, acquired Newsvine Inc, a provider of interactive news services.</v>
      </c>
    </row>
    <row r="380">
      <c r="A380" s="6" t="str">
        <v>38259P</v>
      </c>
      <c r="B380" s="6" t="str">
        <v>United States</v>
      </c>
      <c r="C380" s="6" t="str">
        <v>Google Inc</v>
      </c>
      <c r="D380" s="6" t="str">
        <v>Alphabet Inc</v>
      </c>
      <c r="F380" s="6" t="str">
        <v>Finland</v>
      </c>
      <c r="G380" s="6" t="str">
        <v>Jaiku Ltd</v>
      </c>
      <c r="H380" s="6" t="str">
        <v>Business Services</v>
      </c>
      <c r="I380" s="6" t="str">
        <v>47040H</v>
      </c>
      <c r="J380" s="6" t="str">
        <v>Jaiku Ltd</v>
      </c>
      <c r="K380" s="6" t="str">
        <v>Jaiku Ltd</v>
      </c>
      <c r="L380" s="7">
        <f>=DATE(2007,10,10)</f>
        <v>39364.99949074074</v>
      </c>
      <c r="M380" s="7">
        <f>=DATE(2007,10,10)</f>
        <v>39364.99949074074</v>
      </c>
      <c r="W380" s="6" t="str">
        <v>Programming Services;Internet Services &amp; Software</v>
      </c>
      <c r="X380" s="6" t="str">
        <v>Internet Services &amp; Software</v>
      </c>
      <c r="Y380" s="6" t="str">
        <v>Internet Services &amp; Software</v>
      </c>
      <c r="Z380" s="6" t="str">
        <v>Internet Services &amp; Software</v>
      </c>
      <c r="AA380" s="6" t="str">
        <v>Telecommunications Equipment;Internet Services &amp; Software;Computer Consulting Services;Programming Services;Primary Business not Hi-Tech</v>
      </c>
      <c r="AB380" s="6" t="str">
        <v>Telecommunications Equipment;Computer Consulting Services;Internet Services &amp; Software;Programming Services;Primary Business not Hi-Tech</v>
      </c>
      <c r="AH380" s="6" t="str">
        <v>False</v>
      </c>
      <c r="AI380" s="6" t="str">
        <v>2007</v>
      </c>
      <c r="AJ380" s="6" t="str">
        <v>Completed</v>
      </c>
      <c r="AM380" s="6" t="str">
        <v>Not Applicable</v>
      </c>
      <c r="AO380" s="6" t="str">
        <v>FINLAND - Google Inc of the US acquired Jaiku Ltd, a Helsinki-based provider of online services. Terms were not disclosed.</v>
      </c>
    </row>
    <row r="381">
      <c r="A381" s="6" t="str">
        <v>67020Y</v>
      </c>
      <c r="B381" s="6" t="str">
        <v>United States</v>
      </c>
      <c r="C381" s="6" t="str">
        <v>Nuance Communications Inc</v>
      </c>
      <c r="D381" s="6" t="str">
        <v>Nuance Communications Inc</v>
      </c>
      <c r="F381" s="6" t="str">
        <v>United States</v>
      </c>
      <c r="G381" s="6" t="str">
        <v>Vocada Inc</v>
      </c>
      <c r="H381" s="6" t="str">
        <v>Prepackaged Software</v>
      </c>
      <c r="I381" s="6" t="str">
        <v>93206R</v>
      </c>
      <c r="J381" s="6" t="str">
        <v>Vocada Inc</v>
      </c>
      <c r="K381" s="6" t="str">
        <v>Vocada Inc</v>
      </c>
      <c r="L381" s="7">
        <f>=DATE(2007,10,18)</f>
        <v>39372.99949074074</v>
      </c>
      <c r="M381" s="7">
        <f>=DATE(2007,11,5)</f>
        <v>39390.99949074074</v>
      </c>
      <c r="N381" s="8">
        <v>45</v>
      </c>
      <c r="O381" s="8">
        <v>45</v>
      </c>
      <c r="W381" s="6" t="str">
        <v>Applications Software(Business;Internet Services &amp; Software;Networking Systems (LAN,WAN);Programming Services;Desktop Publishing;Computer Consulting Services;Database Software/Programming;Utilities/File Mgmt Software;Primary Business not Hi-Tech;Communication/Network Software;Applications Software(Home);Other Computer Related Svcs;Other Software (inq. Games)</v>
      </c>
      <c r="X381" s="6" t="str">
        <v>Other Software (inq. Games)</v>
      </c>
      <c r="Y381" s="6" t="str">
        <v>Other Software (inq. Games)</v>
      </c>
      <c r="Z381" s="6" t="str">
        <v>Other Software (inq. Games)</v>
      </c>
      <c r="AA381" s="6" t="str">
        <v>Networking Systems (LAN,WAN);Applications Software(Home);Applications Software(Business;Communication/Network Software;Internet Services &amp; Software;Other Software (inq. Games);Primary Business not Hi-Tech;Programming Services;Other Computer Related Svcs;Desktop Publishing;Computer Consulting Services;Database Software/Programming;Utilities/File Mgmt Software</v>
      </c>
      <c r="AB381" s="6" t="str">
        <v>Primary Business not Hi-Tech;Other Software (inq. Games);Database Software/Programming;Internet Services &amp; Software;Utilities/File Mgmt Software;Communication/Network Software;Computer Consulting Services;Applications Software(Business;Desktop Publishing;Other Computer Related Svcs;Applications Software(Home);Programming Services;Networking Systems (LAN,WAN)</v>
      </c>
      <c r="AC381" s="8">
        <v>45</v>
      </c>
      <c r="AD381" s="7">
        <f>=DATE(2007,10,18)</f>
        <v>39372.99949074074</v>
      </c>
      <c r="AF381" s="8" t="str">
        <v>45.00</v>
      </c>
      <c r="AG381" s="8" t="str">
        <v>21.00</v>
      </c>
      <c r="AH381" s="6" t="str">
        <v>False</v>
      </c>
      <c r="AI381" s="6" t="str">
        <v>2007</v>
      </c>
      <c r="AJ381" s="6" t="str">
        <v>Completed</v>
      </c>
      <c r="AM381" s="6" t="str">
        <v>Financial Acquiror</v>
      </c>
      <c r="AO381" s="6" t="str">
        <v>US - Nuance Communications Inc (NC) acquired all the outstanding stock of Vocada Inc, a developer of test result management software for $45 mil. The consideration consisted of $24 mil NC common shares and up to $21 mil in profit related payments. The transaction had been subject to regulatory approval.</v>
      </c>
    </row>
    <row r="382">
      <c r="A382" s="6" t="str">
        <v>67020Y</v>
      </c>
      <c r="B382" s="6" t="str">
        <v>United States</v>
      </c>
      <c r="C382" s="6" t="str">
        <v>Nuance Communications Inc</v>
      </c>
      <c r="D382" s="6" t="str">
        <v>Nuance Communications Inc</v>
      </c>
      <c r="F382" s="6" t="str">
        <v>United States</v>
      </c>
      <c r="G382" s="6" t="str">
        <v>Viecore Inc</v>
      </c>
      <c r="H382" s="6" t="str">
        <v>Business Services</v>
      </c>
      <c r="I382" s="6" t="str">
        <v>92696Q</v>
      </c>
      <c r="J382" s="6" t="str">
        <v>Viecore Inc</v>
      </c>
      <c r="K382" s="6" t="str">
        <v>Viecore Inc</v>
      </c>
      <c r="L382" s="7">
        <f>=DATE(2007,10,22)</f>
        <v>39376.99949074074</v>
      </c>
      <c r="M382" s="7">
        <f>=DATE(2007,11,30)</f>
        <v>39415.99949074074</v>
      </c>
      <c r="W382" s="6" t="str">
        <v>Computer Consulting Services;Applications Software(Business;Applications Software(Home);Primary Business not Hi-Tech;Networking Systems (LAN,WAN);Internet Services &amp; Software;Database Software/Programming;Communication/Network Software;Programming Services;Other Software (inq. Games);Other Computer Related Svcs;Desktop Publishing;Utilities/File Mgmt Software</v>
      </c>
      <c r="X382" s="6" t="str">
        <v>Database Software/Programming</v>
      </c>
      <c r="Y382" s="6" t="str">
        <v>Database Software/Programming</v>
      </c>
      <c r="Z382" s="6" t="str">
        <v>Database Software/Programming</v>
      </c>
      <c r="AA382" s="6" t="str">
        <v>Applications Software(Business;Internet Services &amp; Software;Primary Business not Hi-Tech;Other Software (inq. Games);Desktop Publishing;Other Computer Related Svcs;Networking Systems (LAN,WAN);Utilities/File Mgmt Software;Computer Consulting Services;Communication/Network Software;Programming Services;Database Software/Programming;Applications Software(Home)</v>
      </c>
      <c r="AB382" s="6" t="str">
        <v>Desktop Publishing;Networking Systems (LAN,WAN);Programming Services;Applications Software(Business;Primary Business not Hi-Tech;Internet Services &amp; Software;Database Software/Programming;Applications Software(Home);Other Software (inq. Games);Other Computer Related Svcs;Communication/Network Software;Computer Consulting Services;Utilities/File Mgmt Software</v>
      </c>
      <c r="AH382" s="6" t="str">
        <v>False</v>
      </c>
      <c r="AI382" s="6" t="str">
        <v>2007</v>
      </c>
      <c r="AJ382" s="6" t="str">
        <v>Completed</v>
      </c>
      <c r="AM382" s="6" t="str">
        <v>Financial Acquiror</v>
      </c>
      <c r="AO382" s="6" t="str">
        <v>US - Nuance Communications Inc acquired Viecore Inc, a provider of information technology consulting and application services.</v>
      </c>
    </row>
    <row r="383">
      <c r="A383" s="6" t="str">
        <v>594918</v>
      </c>
      <c r="B383" s="6" t="str">
        <v>United States</v>
      </c>
      <c r="C383" s="6" t="str">
        <v>Microsoft Corp</v>
      </c>
      <c r="D383" s="6" t="str">
        <v>Microsoft Corp</v>
      </c>
      <c r="F383" s="6" t="str">
        <v>Thailand</v>
      </c>
      <c r="G383" s="6" t="str">
        <v>Global Care Solutions (Thailand)Co Ltd-Assets</v>
      </c>
      <c r="H383" s="6" t="str">
        <v>Prepackaged Software</v>
      </c>
      <c r="I383" s="6" t="str">
        <v>37898J</v>
      </c>
      <c r="J383" s="6" t="str">
        <v>Global Care Solutions SA</v>
      </c>
      <c r="K383" s="6" t="str">
        <v>Global Care Solutions (Thailand)Co Ltd</v>
      </c>
      <c r="L383" s="7">
        <f>=DATE(2007,10,29)</f>
        <v>39383.99949074074</v>
      </c>
      <c r="M383" s="7">
        <f>=DATE(2007,10,29)</f>
        <v>39383.99949074074</v>
      </c>
      <c r="W383" s="6" t="str">
        <v>Computer Consulting Services;Operating Systems;Internet Services &amp; Software;Other Peripherals;Monitors/Terminals;Applications Software(Business</v>
      </c>
      <c r="X383" s="6" t="str">
        <v>Applications Software(Business;Internet Services &amp; Software;Communication/Network Software</v>
      </c>
      <c r="Y383" s="6" t="str">
        <v>Internet Services &amp; Software;Applications Software(Business;Communication/Network Software</v>
      </c>
      <c r="Z383" s="6" t="str">
        <v>Communication/Network Software;Internet Services &amp; Software;Applications Software(Business</v>
      </c>
      <c r="AA383" s="6" t="str">
        <v>Operating Systems;Other Peripherals;Applications Software(Business;Computer Consulting Services;Internet Services &amp; Software;Monitors/Terminals</v>
      </c>
      <c r="AB383" s="6" t="str">
        <v>Computer Consulting Services;Monitors/Terminals;Internet Services &amp; Software;Operating Systems;Other Peripherals;Applications Software(Business</v>
      </c>
      <c r="AH383" s="6" t="str">
        <v>False</v>
      </c>
      <c r="AI383" s="6" t="str">
        <v>2007</v>
      </c>
      <c r="AJ383" s="6" t="str">
        <v>Completed</v>
      </c>
      <c r="AM383" s="6" t="str">
        <v>Divestiture</v>
      </c>
      <c r="AO383" s="6" t="str">
        <v>THAILAND - Microsoft Corp acquired the assets of Global Care Solutions (Thailand) Co Ltd, a healthcare software developer and a majority-owned unit of Global Care Solutions SA.</v>
      </c>
    </row>
    <row r="384">
      <c r="A384" s="6" t="str">
        <v>01864J</v>
      </c>
      <c r="B384" s="6" t="str">
        <v>United States</v>
      </c>
      <c r="C384" s="6" t="str">
        <v>Avanade Inc</v>
      </c>
      <c r="D384" s="6" t="str">
        <v>Microsoft Corp</v>
      </c>
      <c r="F384" s="6" t="str">
        <v>Denmark</v>
      </c>
      <c r="G384" s="6" t="str">
        <v>HOB Business Solutions A/S</v>
      </c>
      <c r="H384" s="6" t="str">
        <v>Business Services</v>
      </c>
      <c r="I384" s="6" t="str">
        <v>49820W</v>
      </c>
      <c r="J384" s="6" t="str">
        <v>HOB Business Solutions A/S</v>
      </c>
      <c r="K384" s="6" t="str">
        <v>HOB Business Solutions A/S</v>
      </c>
      <c r="L384" s="7">
        <f>=DATE(2007,11,1)</f>
        <v>39386.99949074074</v>
      </c>
      <c r="M384" s="7">
        <f>=DATE(2007,11,1)</f>
        <v>39386.99949074074</v>
      </c>
      <c r="R384" s="8">
        <v>0.254267299383809</v>
      </c>
      <c r="S384" s="8">
        <v>4.38168425525887</v>
      </c>
      <c r="W384" s="6" t="str">
        <v>Other Software (inq. Games);Computer Consulting Services;Other Computer Related Svcs</v>
      </c>
      <c r="X384" s="6" t="str">
        <v>Other Computer Related Svcs;Other Software (inq. Games);Computer Consulting Services</v>
      </c>
      <c r="Y384" s="6" t="str">
        <v>Computer Consulting Services;Other Computer Related Svcs;Other Software (inq. Games)</v>
      </c>
      <c r="Z384" s="6" t="str">
        <v>Computer Consulting Services;Other Software (inq. Games);Other Computer Related Svcs</v>
      </c>
      <c r="AA384" s="6" t="str">
        <v>Applications Software(Business;Monitors/Terminals;Internet Services &amp; Software;Computer Consulting Services;Other Peripherals;Operating Systems</v>
      </c>
      <c r="AB384" s="6" t="str">
        <v>Monitors/Terminals;Computer Consulting Services;Other Peripherals;Operating Systems;Internet Services &amp; Software;Applications Software(Business</v>
      </c>
      <c r="AH384" s="6" t="str">
        <v>True</v>
      </c>
      <c r="AI384" s="6" t="str">
        <v>2007</v>
      </c>
      <c r="AJ384" s="6" t="str">
        <v>Completed</v>
      </c>
      <c r="AM384" s="6" t="str">
        <v>Not Applicable</v>
      </c>
      <c r="AO384" s="6" t="str">
        <v>DENMARK - Avanade Inc of the US, a joint venture between Microsoft Corp and Accenture Ltd acquired HOB Business Solutions A/S, a Copenhagen-based provider of IT consulting services.</v>
      </c>
    </row>
    <row r="385">
      <c r="A385" s="6" t="str">
        <v>30303M</v>
      </c>
      <c r="B385" s="6" t="str">
        <v>United States</v>
      </c>
      <c r="C385" s="6" t="str">
        <v>Facebook Inc</v>
      </c>
      <c r="D385" s="6" t="str">
        <v>Facebook Inc</v>
      </c>
      <c r="F385" s="6" t="str">
        <v>China (Mainland)</v>
      </c>
      <c r="G385" s="6" t="str">
        <v>Tianwang</v>
      </c>
      <c r="H385" s="6" t="str">
        <v>Business Services</v>
      </c>
      <c r="I385" s="6" t="str">
        <v>88598T</v>
      </c>
      <c r="J385" s="6" t="str">
        <v>Tianwang</v>
      </c>
      <c r="K385" s="6" t="str">
        <v>Tianwang</v>
      </c>
      <c r="L385" s="7">
        <f>=DATE(2007,11,9)</f>
        <v>39394.99949074074</v>
      </c>
      <c r="M385" s="7">
        <f>=DATE(2007,11,9)</f>
        <v>39394.99949074074</v>
      </c>
      <c r="N385" s="8">
        <v>10.0010796221323</v>
      </c>
      <c r="O385" s="8">
        <v>10.0010796221323</v>
      </c>
      <c r="W385" s="6" t="str">
        <v>Internet Services &amp; Software</v>
      </c>
      <c r="X385" s="6" t="str">
        <v>Internet Services &amp; Software</v>
      </c>
      <c r="Y385" s="6" t="str">
        <v>Internet Services &amp; Software</v>
      </c>
      <c r="Z385" s="6" t="str">
        <v>Internet Services &amp; Software</v>
      </c>
      <c r="AA385" s="6" t="str">
        <v>Internet Services &amp; Software</v>
      </c>
      <c r="AB385" s="6" t="str">
        <v>Internet Services &amp; Software</v>
      </c>
      <c r="AC385" s="8">
        <v>10.0010796221323</v>
      </c>
      <c r="AD385" s="7">
        <f>=DATE(2007,11,9)</f>
        <v>39394.99949074074</v>
      </c>
      <c r="AH385" s="6" t="str">
        <v>False</v>
      </c>
      <c r="AI385" s="6" t="str">
        <v>2007</v>
      </c>
      <c r="AJ385" s="6" t="str">
        <v>Completed</v>
      </c>
      <c r="AM385" s="6" t="str">
        <v>Financial Acquiror</v>
      </c>
      <c r="AO385" s="6" t="str">
        <v>CHINA - Facebook Inc planned to acquire Tianwang, an internet search engine service provider, for an estimated 74.108 mil Chinese yuan ($10 mil US).</v>
      </c>
    </row>
    <row r="386">
      <c r="A386" s="6" t="str">
        <v>594918</v>
      </c>
      <c r="B386" s="6" t="str">
        <v>United States</v>
      </c>
      <c r="C386" s="6" t="str">
        <v>Microsoft Corp</v>
      </c>
      <c r="D386" s="6" t="str">
        <v>Microsoft Corp</v>
      </c>
      <c r="F386" s="6" t="str">
        <v>France</v>
      </c>
      <c r="G386" s="6" t="str">
        <v>Musiwave</v>
      </c>
      <c r="H386" s="6" t="str">
        <v>Prepackaged Software</v>
      </c>
      <c r="I386" s="6" t="str">
        <v>62759F</v>
      </c>
      <c r="J386" s="6" t="str">
        <v>Openwave Systems Inc</v>
      </c>
      <c r="K386" s="6" t="str">
        <v>Openwave Systems Inc</v>
      </c>
      <c r="L386" s="7">
        <f>=DATE(2007,11,15)</f>
        <v>39400.99949074074</v>
      </c>
      <c r="N386" s="8">
        <v>45.8977094996565</v>
      </c>
      <c r="O386" s="8">
        <v>45.8977094996565</v>
      </c>
      <c r="W386" s="6" t="str">
        <v>Applications Software(Business;Computer Consulting Services;Internet Services &amp; Software;Monitors/Terminals;Operating Systems;Other Peripherals</v>
      </c>
      <c r="X386" s="6" t="str">
        <v>Other Software (inq. Games)</v>
      </c>
      <c r="Y386" s="6" t="str">
        <v>Communication/Network Software;Internet Services &amp; Software</v>
      </c>
      <c r="Z386" s="6" t="str">
        <v>Communication/Network Software;Internet Services &amp; Software</v>
      </c>
      <c r="AA386" s="6" t="str">
        <v>Other Peripherals;Internet Services &amp; Software;Applications Software(Business;Computer Consulting Services;Operating Systems;Monitors/Terminals</v>
      </c>
      <c r="AB386" s="6" t="str">
        <v>Internet Services &amp; Software;Applications Software(Business;Computer Consulting Services;Operating Systems;Monitors/Terminals;Other Peripherals</v>
      </c>
      <c r="AC386" s="8">
        <v>45.8977094996565</v>
      </c>
      <c r="AH386" s="6" t="str">
        <v>False</v>
      </c>
      <c r="AJ386" s="6" t="str">
        <v>Pending</v>
      </c>
      <c r="AM386" s="6" t="str">
        <v>Rumored Deal</v>
      </c>
      <c r="AO386" s="6" t="str">
        <v>FRANCE - Microsoft Corp agreed to acquire Musiwave, a Paris-based provider of mobile music entertainment services to operators and media companies, from Openwave Systems Inc, for 31.4 mil euros ($46.001 mil US).</v>
      </c>
    </row>
    <row r="387">
      <c r="A387" s="6" t="str">
        <v>023135</v>
      </c>
      <c r="B387" s="6" t="str">
        <v>United States</v>
      </c>
      <c r="C387" s="6" t="str">
        <v>Amazon.com Inc</v>
      </c>
      <c r="D387" s="6" t="str">
        <v>Amazon.com Inc</v>
      </c>
      <c r="F387" s="6" t="str">
        <v>United States</v>
      </c>
      <c r="G387" s="6" t="str">
        <v>Bill Me Later Inc</v>
      </c>
      <c r="H387" s="6" t="str">
        <v>Business Services</v>
      </c>
      <c r="I387" s="6" t="str">
        <v>09167H</v>
      </c>
      <c r="J387" s="6" t="str">
        <v>Bill Me Later Inc</v>
      </c>
      <c r="K387" s="6" t="str">
        <v>Bill Me Later Inc</v>
      </c>
      <c r="L387" s="7">
        <f>=DATE(2007,12,11)</f>
        <v>39426.99949074074</v>
      </c>
      <c r="W387" s="6" t="str">
        <v>Primary Business not Hi-Tech</v>
      </c>
      <c r="X387" s="6" t="str">
        <v>Internet Services &amp; Software;Data Processing Services</v>
      </c>
      <c r="Y387" s="6" t="str">
        <v>Data Processing Services;Internet Services &amp; Software</v>
      </c>
      <c r="Z387" s="6" t="str">
        <v>Internet Services &amp; Software;Data Processing Services</v>
      </c>
      <c r="AA387" s="6" t="str">
        <v>Primary Business not Hi-Tech</v>
      </c>
      <c r="AB387" s="6" t="str">
        <v>Primary Business not Hi-Tech</v>
      </c>
      <c r="AH387" s="6" t="str">
        <v>True</v>
      </c>
      <c r="AJ387" s="6" t="str">
        <v>Pending</v>
      </c>
      <c r="AM387" s="6" t="str">
        <v>Not Applicable</v>
      </c>
      <c r="AO387" s="6" t="str">
        <v>US - Amazon.com Inc agreed to acquire an undisclosed minority stake in Bill Me Later Inc, a provider of alternative payment services. Terms were not disclosed. The transaction was subject to customary closing conditions.</v>
      </c>
    </row>
    <row r="388">
      <c r="A388" s="6" t="str">
        <v>594918</v>
      </c>
      <c r="B388" s="6" t="str">
        <v>United States</v>
      </c>
      <c r="C388" s="6" t="str">
        <v>Microsoft Corp</v>
      </c>
      <c r="D388" s="6" t="str">
        <v>Microsoft Corp</v>
      </c>
      <c r="F388" s="6" t="str">
        <v>United Kingdom</v>
      </c>
      <c r="G388" s="6" t="str">
        <v>Multi Media Mapping Ltd</v>
      </c>
      <c r="H388" s="6" t="str">
        <v>Prepackaged Software</v>
      </c>
      <c r="I388" s="6" t="str">
        <v>62493L</v>
      </c>
      <c r="J388" s="6" t="str">
        <v>Multi Media Mapping Ltd</v>
      </c>
      <c r="K388" s="6" t="str">
        <v>Multi Media Mapping Ltd</v>
      </c>
      <c r="L388" s="7">
        <f>=DATE(2007,12,12)</f>
        <v>39427.99949074074</v>
      </c>
      <c r="M388" s="7">
        <f>=DATE(2007,12,12)</f>
        <v>39427.99949074074</v>
      </c>
      <c r="W388" s="6" t="str">
        <v>Monitors/Terminals;Applications Software(Business;Other Peripherals;Computer Consulting Services;Operating Systems;Internet Services &amp; Software</v>
      </c>
      <c r="X388" s="6" t="str">
        <v>Applications Software(Business;Other Software (inq. Games);Utilities/File Mgmt Software;Internet Services &amp; Software</v>
      </c>
      <c r="Y388" s="6" t="str">
        <v>Other Software (inq. Games);Utilities/File Mgmt Software;Internet Services &amp; Software;Applications Software(Business</v>
      </c>
      <c r="Z388" s="6" t="str">
        <v>Other Software (inq. Games);Utilities/File Mgmt Software;Internet Services &amp; Software;Applications Software(Business</v>
      </c>
      <c r="AA388" s="6" t="str">
        <v>Computer Consulting Services;Applications Software(Business;Internet Services &amp; Software;Operating Systems;Monitors/Terminals;Other Peripherals</v>
      </c>
      <c r="AB388" s="6" t="str">
        <v>Applications Software(Business;Internet Services &amp; Software;Computer Consulting Services;Monitors/Terminals;Operating Systems;Other Peripherals</v>
      </c>
      <c r="AH388" s="6" t="str">
        <v>False</v>
      </c>
      <c r="AI388" s="6" t="str">
        <v>2007</v>
      </c>
      <c r="AJ388" s="6" t="str">
        <v>Completed</v>
      </c>
      <c r="AM388" s="6" t="str">
        <v>Not Applicable</v>
      </c>
      <c r="AO388" s="6" t="str">
        <v>UK - Microsoft Corp of the US acquired the entire share capital of Multi Media Mapping Ltd, a London-based provider of mapping and integrated business services. Terms were not disclosed.</v>
      </c>
    </row>
    <row r="389">
      <c r="A389" s="6" t="str">
        <v>594918</v>
      </c>
      <c r="B389" s="6" t="str">
        <v>United States</v>
      </c>
      <c r="C389" s="6" t="str">
        <v>Microsoft Corp</v>
      </c>
      <c r="D389" s="6" t="str">
        <v>Microsoft Corp</v>
      </c>
      <c r="F389" s="6" t="str">
        <v>Norway</v>
      </c>
      <c r="G389" s="6" t="str">
        <v>Fast Search &amp; Transfer ASA</v>
      </c>
      <c r="H389" s="6" t="str">
        <v>Prepackaged Software</v>
      </c>
      <c r="I389" s="6" t="str">
        <v>31182X</v>
      </c>
      <c r="J389" s="6" t="str">
        <v>Fast Search &amp; Transfer ASA</v>
      </c>
      <c r="K389" s="6" t="str">
        <v>Fast Search &amp; Transfer ASA</v>
      </c>
      <c r="L389" s="7">
        <f>=DATE(2008,1,8)</f>
        <v>39454.99949074074</v>
      </c>
      <c r="M389" s="7">
        <f>=DATE(2008,4,25)</f>
        <v>39562.99949074074</v>
      </c>
      <c r="N389" s="8">
        <v>1190.95336613733</v>
      </c>
      <c r="O389" s="8">
        <v>1190.95336613733</v>
      </c>
      <c r="P389" s="8" t="str">
        <v>1,052.07</v>
      </c>
      <c r="R389" s="8">
        <v>-175.052900804092</v>
      </c>
      <c r="S389" s="8">
        <v>174.946179181924</v>
      </c>
      <c r="T389" s="8">
        <v>5.439914062</v>
      </c>
      <c r="U389" s="8">
        <v>-75.838661228</v>
      </c>
      <c r="V389" s="8">
        <v>-52.479062724</v>
      </c>
      <c r="W389" s="6" t="str">
        <v>Internet Services &amp; Software;Applications Software(Business;Computer Consulting Services;Monitors/Terminals;Operating Systems;Other Peripherals</v>
      </c>
      <c r="X389" s="6" t="str">
        <v>Communication/Network Software;Data Processing Services;Internet Services &amp; Software</v>
      </c>
      <c r="Y389" s="6" t="str">
        <v>Communication/Network Software;Data Processing Services;Internet Services &amp; Software</v>
      </c>
      <c r="Z389" s="6" t="str">
        <v>Internet Services &amp; Software;Data Processing Services;Communication/Network Software</v>
      </c>
      <c r="AA389" s="6" t="str">
        <v>Internet Services &amp; Software;Operating Systems;Other Peripherals;Applications Software(Business;Monitors/Terminals;Computer Consulting Services</v>
      </c>
      <c r="AB389" s="6" t="str">
        <v>Other Peripherals;Computer Consulting Services;Operating Systems;Applications Software(Business;Internet Services &amp; Software;Monitors/Terminals</v>
      </c>
      <c r="AC389" s="8">
        <v>1190.95336613733</v>
      </c>
      <c r="AD389" s="7">
        <f>=DATE(2008,1,8)</f>
        <v>39454.99949074074</v>
      </c>
      <c r="AE389" s="8">
        <v>1190.95345858496</v>
      </c>
      <c r="AF389" s="8" t="str">
        <v>1,065.01</v>
      </c>
      <c r="AG389" s="8" t="str">
        <v>1,116.45</v>
      </c>
      <c r="AH389" s="6" t="str">
        <v>True</v>
      </c>
      <c r="AI389" s="6" t="str">
        <v>2008</v>
      </c>
      <c r="AJ389" s="6" t="str">
        <v>Completed</v>
      </c>
      <c r="AK389" s="8">
        <v>1190.95345858496</v>
      </c>
      <c r="AL389" s="8">
        <v>336.300184</v>
      </c>
      <c r="AM389" s="6" t="str">
        <v>Tender Offer</v>
      </c>
      <c r="AN389" s="8">
        <v>109.325261743979</v>
      </c>
      <c r="AO389" s="6" t="str">
        <v>NORWAY - Microsoft Corp of the US completed its tender offer to acquire the entire ordinary share capital of Fast Search &amp; Transfer ASA, an Oslo-based developer of enterprise search and real time alerting technologies, for 19 Norwegian kroner ($3.542 US) in cash per share, or a total value of 6.39 bil kroner ($1.191 bil). MC received irrevocable undertakings to accept the offer with respect to 50.67% of the company's entire ordinary share capital. The offer was condition upon at least 90% of shares being tendered. The transaction was subject to regulatory approvals.</v>
      </c>
    </row>
    <row r="390">
      <c r="A390" s="6" t="str">
        <v>594918</v>
      </c>
      <c r="B390" s="6" t="str">
        <v>United States</v>
      </c>
      <c r="C390" s="6" t="str">
        <v>Microsoft Corp</v>
      </c>
      <c r="D390" s="6" t="str">
        <v>Microsoft Corp</v>
      </c>
      <c r="F390" s="6" t="str">
        <v>Switzerland</v>
      </c>
      <c r="G390" s="6" t="str">
        <v>Logitech International SA</v>
      </c>
      <c r="H390" s="6" t="str">
        <v>Computer and Office Equipment</v>
      </c>
      <c r="I390" s="6" t="str">
        <v>541419</v>
      </c>
      <c r="J390" s="6" t="str">
        <v>Logitech International SA</v>
      </c>
      <c r="K390" s="6" t="str">
        <v>Logitech International SA</v>
      </c>
      <c r="L390" s="7">
        <f>=DATE(2008,1,10)</f>
        <v>39456.99949074074</v>
      </c>
      <c r="R390" s="8">
        <v>236.28936921041</v>
      </c>
      <c r="S390" s="8">
        <v>2377.43714159682</v>
      </c>
      <c r="W390" s="6" t="str">
        <v>Operating Systems;Internet Services &amp; Software;Monitors/Terminals;Applications Software(Business;Computer Consulting Services;Other Peripherals</v>
      </c>
      <c r="X390" s="6" t="str">
        <v>Other Computer Systems;Other Telecommunications Equip;Other Peripherals;Monitors/Terminals</v>
      </c>
      <c r="Y390" s="6" t="str">
        <v>Other Peripherals;Other Telecommunications Equip;Other Computer Systems;Monitors/Terminals</v>
      </c>
      <c r="Z390" s="6" t="str">
        <v>Other Peripherals;Other Telecommunications Equip;Monitors/Terminals;Other Computer Systems</v>
      </c>
      <c r="AA390" s="6" t="str">
        <v>Monitors/Terminals;Other Peripherals;Internet Services &amp; Software;Applications Software(Business;Computer Consulting Services;Operating Systems</v>
      </c>
      <c r="AB390" s="6" t="str">
        <v>Applications Software(Business;Internet Services &amp; Software;Other Peripherals;Computer Consulting Services;Operating Systems;Monitors/Terminals</v>
      </c>
      <c r="AH390" s="6" t="str">
        <v>True</v>
      </c>
      <c r="AJ390" s="6" t="str">
        <v>Dismissed Rumor</v>
      </c>
      <c r="AL390" s="8">
        <v>191.606</v>
      </c>
      <c r="AM390" s="6" t="str">
        <v>Rumored Deal</v>
      </c>
      <c r="AN390" s="8">
        <v>218.305249228055</v>
      </c>
      <c r="AO390" s="6" t="str">
        <v>SWITZERLAND - Microsoft Corp of the US was rumored to be planning to launch a tender offer to acquire the entire ordinary share capital of Logitech International SA, a Romanel-Sur-Moges-based manufacturer and wholesaler of computer peripheral equipment. The Current status of this deal is unknown.</v>
      </c>
    </row>
    <row r="391">
      <c r="A391" s="6" t="str">
        <v>46056F</v>
      </c>
      <c r="B391" s="6" t="str">
        <v>United States</v>
      </c>
      <c r="C391" s="6" t="str">
        <v>Internet Movie Database Inc</v>
      </c>
      <c r="D391" s="6" t="str">
        <v>Amazon.com Inc</v>
      </c>
      <c r="F391" s="6" t="str">
        <v>United States</v>
      </c>
      <c r="G391" s="6" t="str">
        <v>Without A Box Inc</v>
      </c>
      <c r="H391" s="6" t="str">
        <v>Prepackaged Software</v>
      </c>
      <c r="I391" s="6" t="str">
        <v>97742M</v>
      </c>
      <c r="J391" s="6" t="str">
        <v>Without A Box Inc</v>
      </c>
      <c r="K391" s="6" t="str">
        <v>Without A Box Inc</v>
      </c>
      <c r="L391" s="7">
        <f>=DATE(2008,1,17)</f>
        <v>39463.99949074074</v>
      </c>
      <c r="M391" s="7">
        <f>=DATE(2008,1,18)</f>
        <v>39464.99949074074</v>
      </c>
      <c r="W391" s="6" t="str">
        <v>Other Computer Related Svcs;Internet Services &amp; Software</v>
      </c>
      <c r="X391" s="6" t="str">
        <v>Internet Services &amp; Software;Communication/Network Software</v>
      </c>
      <c r="Y391" s="6" t="str">
        <v>Internet Services &amp; Software;Communication/Network Software</v>
      </c>
      <c r="Z391" s="6" t="str">
        <v>Communication/Network Software;Internet Services &amp; Software</v>
      </c>
      <c r="AA391" s="6" t="str">
        <v>Primary Business not Hi-Tech</v>
      </c>
      <c r="AB391" s="6" t="str">
        <v>Primary Business not Hi-Tech</v>
      </c>
      <c r="AH391" s="6" t="str">
        <v>False</v>
      </c>
      <c r="AI391" s="6" t="str">
        <v>2008</v>
      </c>
      <c r="AJ391" s="6" t="str">
        <v>Completed</v>
      </c>
      <c r="AM391" s="6" t="str">
        <v>Not Applicable</v>
      </c>
      <c r="AO391" s="6" t="str">
        <v>US - Internet Movie Database Inc, a unit of Amazon.com, acquired Without A Box Inc, a developer of Internet software.</v>
      </c>
    </row>
    <row r="392">
      <c r="A392" s="6" t="str">
        <v>594918</v>
      </c>
      <c r="B392" s="6" t="str">
        <v>United States</v>
      </c>
      <c r="C392" s="6" t="str">
        <v>Microsoft Corp</v>
      </c>
      <c r="D392" s="6" t="str">
        <v>Microsoft Corp</v>
      </c>
      <c r="F392" s="6" t="str">
        <v>United States</v>
      </c>
      <c r="G392" s="6" t="str">
        <v>Calista Technologies Inc</v>
      </c>
      <c r="H392" s="6" t="str">
        <v>Prepackaged Software</v>
      </c>
      <c r="I392" s="6" t="str">
        <v>13087K</v>
      </c>
      <c r="J392" s="6" t="str">
        <v>Calista Technologies Inc</v>
      </c>
      <c r="K392" s="6" t="str">
        <v>Calista Technologies Inc</v>
      </c>
      <c r="L392" s="7">
        <f>=DATE(2008,1,22)</f>
        <v>39468.99949074074</v>
      </c>
      <c r="M392" s="7">
        <f>=DATE(2008,1,22)</f>
        <v>39468.99949074074</v>
      </c>
      <c r="W392" s="6" t="str">
        <v>Applications Software(Business;Internet Services &amp; Software;Monitors/Terminals;Computer Consulting Services;Operating Systems;Other Peripherals</v>
      </c>
      <c r="X392" s="6" t="str">
        <v>Other Software (inq. Games);Applications Software(Business</v>
      </c>
      <c r="Y392" s="6" t="str">
        <v>Other Software (inq. Games);Applications Software(Business</v>
      </c>
      <c r="Z392" s="6" t="str">
        <v>Applications Software(Business;Other Software (inq. Games)</v>
      </c>
      <c r="AA392" s="6" t="str">
        <v>Monitors/Terminals;Operating Systems;Applications Software(Business;Computer Consulting Services;Internet Services &amp; Software;Other Peripherals</v>
      </c>
      <c r="AB392" s="6" t="str">
        <v>Monitors/Terminals;Other Peripherals;Applications Software(Business;Operating Systems;Internet Services &amp; Software;Computer Consulting Services</v>
      </c>
      <c r="AH392" s="6" t="str">
        <v>False</v>
      </c>
      <c r="AI392" s="6" t="str">
        <v>2008</v>
      </c>
      <c r="AJ392" s="6" t="str">
        <v>Completed</v>
      </c>
      <c r="AM392" s="6" t="str">
        <v>Not Applicable</v>
      </c>
      <c r="AO392" s="6" t="str">
        <v>US - Microsoft Corp acquired Calista Technologies Inc, a developer of desktop virtualization software.</v>
      </c>
    </row>
    <row r="393">
      <c r="A393" s="6" t="str">
        <v>023135</v>
      </c>
      <c r="B393" s="6" t="str">
        <v>United States</v>
      </c>
      <c r="C393" s="6" t="str">
        <v>Amazon.com Inc</v>
      </c>
      <c r="D393" s="6" t="str">
        <v>Amazon.com Inc</v>
      </c>
      <c r="F393" s="6" t="str">
        <v>United States</v>
      </c>
      <c r="G393" s="6" t="str">
        <v>Audible Inc</v>
      </c>
      <c r="H393" s="6" t="str">
        <v>Business Services</v>
      </c>
      <c r="I393" s="6" t="str">
        <v>05069A</v>
      </c>
      <c r="J393" s="6" t="str">
        <v>Audible Inc</v>
      </c>
      <c r="K393" s="6" t="str">
        <v>Audible Inc</v>
      </c>
      <c r="L393" s="7">
        <f>=DATE(2008,1,31)</f>
        <v>39477.99949074074</v>
      </c>
      <c r="M393" s="7">
        <f>=DATE(2008,3,17)</f>
        <v>39523.99949074074</v>
      </c>
      <c r="N393" s="8">
        <v>247.25</v>
      </c>
      <c r="O393" s="8">
        <v>247.25</v>
      </c>
      <c r="P393" s="8" t="str">
        <v>198.69</v>
      </c>
      <c r="R393" s="8">
        <v>2.425</v>
      </c>
      <c r="S393" s="8">
        <v>109.968</v>
      </c>
      <c r="T393" s="8">
        <v>-1.394</v>
      </c>
      <c r="U393" s="8">
        <v>35.506</v>
      </c>
      <c r="V393" s="8">
        <v>23.353</v>
      </c>
      <c r="W393" s="6" t="str">
        <v>Primary Business not Hi-Tech</v>
      </c>
      <c r="X393" s="6" t="str">
        <v>Internet Services &amp; Software</v>
      </c>
      <c r="Y393" s="6" t="str">
        <v>Internet Services &amp; Software</v>
      </c>
      <c r="Z393" s="6" t="str">
        <v>Internet Services &amp; Software</v>
      </c>
      <c r="AA393" s="6" t="str">
        <v>Primary Business not Hi-Tech</v>
      </c>
      <c r="AB393" s="6" t="str">
        <v>Primary Business not Hi-Tech</v>
      </c>
      <c r="AC393" s="8">
        <v>247.25</v>
      </c>
      <c r="AD393" s="7">
        <f>=DATE(2008,1,31)</f>
        <v>39477.99949074074</v>
      </c>
      <c r="AE393" s="8">
        <v>280.711251</v>
      </c>
      <c r="AF393" s="8" t="str">
        <v>199.87</v>
      </c>
      <c r="AG393" s="8" t="str">
        <v>198.69</v>
      </c>
      <c r="AH393" s="6" t="str">
        <v>True</v>
      </c>
      <c r="AI393" s="6" t="str">
        <v>2008</v>
      </c>
      <c r="AJ393" s="6" t="str">
        <v>Completed</v>
      </c>
      <c r="AK393" s="8">
        <v>280.711251</v>
      </c>
      <c r="AL393" s="8">
        <v>24.409674</v>
      </c>
      <c r="AM393" s="6" t="str">
        <v>Tender Offer;Tender/Merger</v>
      </c>
      <c r="AN393" s="8">
        <v>1.334</v>
      </c>
      <c r="AO393" s="6" t="str">
        <v>US - Amazon.com Inc (AM) acquired an 88.08% interest in Audible Inc (AI), a provider of online audio retail services, for $11.5 in cash per share, or a total value of $247.25 mil. Earlier, AM completed its tender for AI, by accepting 20.5 mil shares, or about 78.81% of AI's common shares outstanding. The transaction had been subject to customary closing conditions and regulatory approvals.</v>
      </c>
    </row>
    <row r="394">
      <c r="A394" s="6" t="str">
        <v>594918</v>
      </c>
      <c r="B394" s="6" t="str">
        <v>United States</v>
      </c>
      <c r="C394" s="6" t="str">
        <v>Microsoft Corp</v>
      </c>
      <c r="D394" s="6" t="str">
        <v>Microsoft Corp</v>
      </c>
      <c r="F394" s="6" t="str">
        <v>United States</v>
      </c>
      <c r="G394" s="6" t="str">
        <v>Yahoo! Inc</v>
      </c>
      <c r="H394" s="6" t="str">
        <v>Business Services</v>
      </c>
      <c r="I394" s="6" t="str">
        <v>984332</v>
      </c>
      <c r="J394" s="6" t="str">
        <v>Yahoo! Inc</v>
      </c>
      <c r="K394" s="6" t="str">
        <v>Yahoo! Inc</v>
      </c>
      <c r="L394" s="7">
        <f>=DATE(2008,2,1)</f>
        <v>39478.99949074074</v>
      </c>
      <c r="N394" s="8">
        <v>43711.601</v>
      </c>
      <c r="O394" s="8">
        <v>43711.601</v>
      </c>
      <c r="P394" s="8" t="str">
        <v>41,694.52</v>
      </c>
      <c r="R394" s="8">
        <v>660</v>
      </c>
      <c r="S394" s="8">
        <v>6969.274</v>
      </c>
      <c r="T394" s="8">
        <v>-1477.435</v>
      </c>
      <c r="U394" s="8">
        <v>-572.502</v>
      </c>
      <c r="V394" s="8">
        <v>1954.326</v>
      </c>
      <c r="W394" s="6" t="str">
        <v>Other Peripherals;Monitors/Terminals;Computer Consulting Services;Operating Systems;Applications Software(Business;Internet Services &amp; Software</v>
      </c>
      <c r="X394" s="6" t="str">
        <v>Internet Services &amp; Software</v>
      </c>
      <c r="Y394" s="6" t="str">
        <v>Internet Services &amp; Software</v>
      </c>
      <c r="Z394" s="6" t="str">
        <v>Internet Services &amp; Software</v>
      </c>
      <c r="AA394" s="6" t="str">
        <v>Applications Software(Business;Operating Systems;Monitors/Terminals;Other Peripherals;Computer Consulting Services;Internet Services &amp; Software</v>
      </c>
      <c r="AB394" s="6" t="str">
        <v>Operating Systems;Monitors/Terminals;Computer Consulting Services;Internet Services &amp; Software;Other Peripherals;Applications Software(Business</v>
      </c>
      <c r="AC394" s="8">
        <v>43711.601</v>
      </c>
      <c r="AD394" s="7">
        <f>=DATE(2008,2,1)</f>
        <v>39478.99949074074</v>
      </c>
      <c r="AE394" s="8">
        <v>45554.081903</v>
      </c>
      <c r="AF394" s="8" t="str">
        <v>41,860.56</v>
      </c>
      <c r="AH394" s="6" t="str">
        <v>True</v>
      </c>
      <c r="AJ394" s="6" t="str">
        <v>Withdrawn</v>
      </c>
      <c r="AK394" s="8">
        <v>45554.081903</v>
      </c>
      <c r="AL394" s="8">
        <v>1469.486513</v>
      </c>
      <c r="AM394" s="6" t="str">
        <v>Proxy Fight;Stock Swap;Unsolicited Deal;Bear Hug</v>
      </c>
      <c r="AN394" s="8">
        <v>3374.379</v>
      </c>
      <c r="AO394" s="6" t="str">
        <v>US - Microsoft Corp (MC) withdrew its unsolicited tender offer to acquire all the outstanding common stock of Yahoo! Inc (YI), a provider of Internet search engine services, for $43.712 bil. MC offered a choice of $31 in cash or 0.9509 common shares, subject to proration whereby 50% of the total consideration was to be paid in cash and 50% in common stock. The shares were valued based on MSFT's closing stock price of $32.60 on January 31, the last full trading day prior to the announcement. The transaction was subject to regulatory approvals.</v>
      </c>
    </row>
    <row r="395">
      <c r="A395" s="6" t="str">
        <v>594918</v>
      </c>
      <c r="B395" s="6" t="str">
        <v>United States</v>
      </c>
      <c r="C395" s="6" t="str">
        <v>Microsoft Corp</v>
      </c>
      <c r="D395" s="6" t="str">
        <v>Microsoft Corp</v>
      </c>
      <c r="F395" s="6" t="str">
        <v>United States</v>
      </c>
      <c r="G395" s="6" t="str">
        <v>Danger Inc</v>
      </c>
      <c r="H395" s="6" t="str">
        <v>Prepackaged Software</v>
      </c>
      <c r="I395" s="6" t="str">
        <v>23590V</v>
      </c>
      <c r="J395" s="6" t="str">
        <v>Danger Inc</v>
      </c>
      <c r="K395" s="6" t="str">
        <v>Danger Inc</v>
      </c>
      <c r="L395" s="7">
        <f>=DATE(2008,2,11)</f>
        <v>39488.99949074074</v>
      </c>
      <c r="M395" s="7">
        <f>=DATE(2008,4,15)</f>
        <v>39552.99949074074</v>
      </c>
      <c r="N395" s="8">
        <v>500</v>
      </c>
      <c r="O395" s="8">
        <v>500</v>
      </c>
      <c r="S395" s="8">
        <v>0.75</v>
      </c>
      <c r="W395" s="6" t="str">
        <v>Monitors/Terminals;Computer Consulting Services;Applications Software(Business;Internet Services &amp; Software;Other Peripherals;Operating Systems</v>
      </c>
      <c r="X395" s="6" t="str">
        <v>Internet Services &amp; Software;Communication/Network Software</v>
      </c>
      <c r="Y395" s="6" t="str">
        <v>Internet Services &amp; Software;Communication/Network Software</v>
      </c>
      <c r="Z395" s="6" t="str">
        <v>Internet Services &amp; Software;Communication/Network Software</v>
      </c>
      <c r="AA395" s="6" t="str">
        <v>Computer Consulting Services;Internet Services &amp; Software;Monitors/Terminals;Operating Systems;Other Peripherals;Applications Software(Business</v>
      </c>
      <c r="AB395" s="6" t="str">
        <v>Applications Software(Business;Computer Consulting Services;Operating Systems;Internet Services &amp; Software;Other Peripherals;Monitors/Terminals</v>
      </c>
      <c r="AC395" s="8">
        <v>500</v>
      </c>
      <c r="AD395" s="7">
        <f>=DATE(2008,4,15)</f>
        <v>39552.99949074074</v>
      </c>
      <c r="AH395" s="6" t="str">
        <v>True</v>
      </c>
      <c r="AI395" s="6" t="str">
        <v>2008</v>
      </c>
      <c r="AJ395" s="6" t="str">
        <v>Completed</v>
      </c>
      <c r="AM395" s="6" t="str">
        <v>Not Applicable</v>
      </c>
      <c r="AO395" s="6" t="str">
        <v>US - Microsoft Corp acquired Danger Inc, a developer of mobile Internet software for approximately $500 mil in cash.</v>
      </c>
    </row>
    <row r="396">
      <c r="A396" s="6" t="str">
        <v>594918</v>
      </c>
      <c r="B396" s="6" t="str">
        <v>United States</v>
      </c>
      <c r="C396" s="6" t="str">
        <v>Microsoft Corp</v>
      </c>
      <c r="D396" s="6" t="str">
        <v>Microsoft Corp</v>
      </c>
      <c r="F396" s="6" t="str">
        <v>Israel</v>
      </c>
      <c r="G396" s="6" t="str">
        <v>YaData Ltd</v>
      </c>
      <c r="H396" s="6" t="str">
        <v>Prepackaged Software</v>
      </c>
      <c r="I396" s="6" t="str">
        <v>98674P</v>
      </c>
      <c r="J396" s="6" t="str">
        <v>YaData Ltd</v>
      </c>
      <c r="K396" s="6" t="str">
        <v>YaData Ltd</v>
      </c>
      <c r="L396" s="7">
        <f>=DATE(2008,2,27)</f>
        <v>39504.99949074074</v>
      </c>
      <c r="M396" s="7">
        <f>=DATE(2008,2,27)</f>
        <v>39504.99949074074</v>
      </c>
      <c r="W396" s="6" t="str">
        <v>Applications Software(Business;Other Peripherals;Internet Services &amp; Software;Monitors/Terminals;Computer Consulting Services;Operating Systems</v>
      </c>
      <c r="X396" s="6" t="str">
        <v>Other Software (inq. Games)</v>
      </c>
      <c r="Y396" s="6" t="str">
        <v>Other Software (inq. Games)</v>
      </c>
      <c r="Z396" s="6" t="str">
        <v>Other Software (inq. Games)</v>
      </c>
      <c r="AA396" s="6" t="str">
        <v>Other Peripherals;Applications Software(Business;Operating Systems;Computer Consulting Services;Internet Services &amp; Software;Monitors/Terminals</v>
      </c>
      <c r="AB396" s="6" t="str">
        <v>Internet Services &amp; Software;Other Peripherals;Computer Consulting Services;Monitors/Terminals;Applications Software(Business;Operating Systems</v>
      </c>
      <c r="AD396" s="7">
        <f>=DATE(2008,2,27)</f>
        <v>39504.99949074074</v>
      </c>
      <c r="AH396" s="6" t="str">
        <v>False</v>
      </c>
      <c r="AI396" s="6" t="str">
        <v>2008</v>
      </c>
      <c r="AJ396" s="6" t="str">
        <v>Completed</v>
      </c>
      <c r="AM396" s="6" t="str">
        <v>Not Applicable</v>
      </c>
      <c r="AO396" s="6" t="str">
        <v>ISRAEL - Microsoft Corp acquired YaData Ltd, a software developer. Terms were not disclosed.</v>
      </c>
    </row>
    <row r="397">
      <c r="A397" s="6" t="str">
        <v>594918</v>
      </c>
      <c r="B397" s="6" t="str">
        <v>United States</v>
      </c>
      <c r="C397" s="6" t="str">
        <v>Microsoft Corp</v>
      </c>
      <c r="D397" s="6" t="str">
        <v>Microsoft Corp</v>
      </c>
      <c r="F397" s="6" t="str">
        <v>Japan</v>
      </c>
      <c r="G397" s="6" t="str">
        <v>OKWAVE Inc</v>
      </c>
      <c r="H397" s="6" t="str">
        <v>Business Services</v>
      </c>
      <c r="I397" s="6" t="str">
        <v>67196C</v>
      </c>
      <c r="J397" s="6" t="str">
        <v>OKWAVE Inc</v>
      </c>
      <c r="K397" s="6" t="str">
        <v>OKWAVE Inc</v>
      </c>
      <c r="L397" s="7">
        <f>=DATE(2008,3,11)</f>
        <v>39517.99949074074</v>
      </c>
      <c r="M397" s="7">
        <f>=DATE(2008,4,8)</f>
        <v>39545.99949074074</v>
      </c>
      <c r="N397" s="8">
        <v>2.51646512527813</v>
      </c>
      <c r="O397" s="8">
        <v>2.51646512527813</v>
      </c>
      <c r="P397" s="8" t="str">
        <v>19.87</v>
      </c>
      <c r="W397" s="6" t="str">
        <v>Monitors/Terminals;Computer Consulting Services;Operating Systems;Applications Software(Business;Internet Services &amp; Software;Other Peripherals</v>
      </c>
      <c r="X397" s="6" t="str">
        <v>Internet Services &amp; Software;Other Computer Related Svcs;Networking Systems (LAN,WAN);Computer Consulting Services;Primary Business not Hi-Tech;Programming Services;Database Software/Programming;Communication/Network Software</v>
      </c>
      <c r="Y397" s="6" t="str">
        <v>Computer Consulting Services;Internet Services &amp; Software;Programming Services;Other Computer Related Svcs;Database Software/Programming;Primary Business not Hi-Tech;Communication/Network Software;Networking Systems (LAN,WAN)</v>
      </c>
      <c r="Z397" s="6" t="str">
        <v>Primary Business not Hi-Tech;Other Computer Related Svcs;Database Software/Programming;Programming Services;Networking Systems (LAN,WAN);Communication/Network Software;Computer Consulting Services;Internet Services &amp; Software</v>
      </c>
      <c r="AA397" s="6" t="str">
        <v>Applications Software(Business;Monitors/Terminals;Other Peripherals;Computer Consulting Services;Operating Systems;Internet Services &amp; Software</v>
      </c>
      <c r="AB397" s="6" t="str">
        <v>Internet Services &amp; Software;Monitors/Terminals;Operating Systems;Computer Consulting Services;Applications Software(Business;Other Peripherals</v>
      </c>
      <c r="AC397" s="8">
        <v>2.51646512527813</v>
      </c>
      <c r="AD397" s="7">
        <f>=DATE(2008,3,11)</f>
        <v>39517.99949074074</v>
      </c>
      <c r="AE397" s="8">
        <v>23.9162049434072</v>
      </c>
      <c r="AF397" s="8" t="str">
        <v>21.40</v>
      </c>
      <c r="AG397" s="8" t="str">
        <v>21.56</v>
      </c>
      <c r="AH397" s="6" t="str">
        <v>True</v>
      </c>
      <c r="AI397" s="6" t="str">
        <v>2008</v>
      </c>
      <c r="AJ397" s="6" t="str">
        <v>Completed</v>
      </c>
      <c r="AK397" s="8">
        <v>23.9162049434072</v>
      </c>
      <c r="AL397" s="8">
        <v>0.009</v>
      </c>
      <c r="AM397" s="6" t="str">
        <v>Privately Negotiated Purchase</v>
      </c>
      <c r="AO397" s="6" t="str">
        <v>JAPAN - Microsoft Corp acquired a 10.52% stake, or 9,000 newly issued ordinary shares, in OKWave, an owner and operator of on-line community site, for 28,903 Japanese yen ($279.434 US) in cash per share, or a total value of 260.127 mil yen ($2.515 mil), in a privately negotiated transaction.</v>
      </c>
    </row>
    <row r="398">
      <c r="A398" s="6" t="str">
        <v>594918</v>
      </c>
      <c r="B398" s="6" t="str">
        <v>United States</v>
      </c>
      <c r="C398" s="6" t="str">
        <v>Microsoft Corp</v>
      </c>
      <c r="D398" s="6" t="str">
        <v>Microsoft Corp</v>
      </c>
      <c r="F398" s="6" t="str">
        <v>United States</v>
      </c>
      <c r="G398" s="6" t="str">
        <v>Kidaro</v>
      </c>
      <c r="H398" s="6" t="str">
        <v>Prepackaged Software</v>
      </c>
      <c r="I398" s="6" t="str">
        <v>49415P</v>
      </c>
      <c r="J398" s="6" t="str">
        <v>Kidaro</v>
      </c>
      <c r="K398" s="6" t="str">
        <v>Kidaro</v>
      </c>
      <c r="L398" s="7">
        <f>=DATE(2008,3,12)</f>
        <v>39518.99949074074</v>
      </c>
      <c r="M398" s="7">
        <f>=DATE(2008,5,26)</f>
        <v>39593.99949074074</v>
      </c>
      <c r="W398" s="6" t="str">
        <v>Other Peripherals;Computer Consulting Services;Internet Services &amp; Software;Operating Systems;Applications Software(Business;Monitors/Terminals</v>
      </c>
      <c r="X398" s="6" t="str">
        <v>Applications Software(Home);Other Software (inq. Games)</v>
      </c>
      <c r="Y398" s="6" t="str">
        <v>Other Software (inq. Games);Applications Software(Home)</v>
      </c>
      <c r="Z398" s="6" t="str">
        <v>Applications Software(Home);Other Software (inq. Games)</v>
      </c>
      <c r="AA398" s="6" t="str">
        <v>Applications Software(Business;Computer Consulting Services;Other Peripherals;Monitors/Terminals;Internet Services &amp; Software;Operating Systems</v>
      </c>
      <c r="AB398" s="6" t="str">
        <v>Operating Systems;Applications Software(Business;Other Peripherals;Monitors/Terminals;Computer Consulting Services;Internet Services &amp; Software</v>
      </c>
      <c r="AH398" s="6" t="str">
        <v>False</v>
      </c>
      <c r="AI398" s="6" t="str">
        <v>2008</v>
      </c>
      <c r="AJ398" s="6" t="str">
        <v>Completed</v>
      </c>
      <c r="AM398" s="6" t="str">
        <v>Not Applicable</v>
      </c>
      <c r="AO398" s="6" t="str">
        <v>US - Microsoft Corp acquired Kidaro, a developer of desktop virtualization software technology solutions.</v>
      </c>
    </row>
    <row r="399">
      <c r="A399" s="6" t="str">
        <v>594918</v>
      </c>
      <c r="B399" s="6" t="str">
        <v>United States</v>
      </c>
      <c r="C399" s="6" t="str">
        <v>Microsoft Corp</v>
      </c>
      <c r="D399" s="6" t="str">
        <v>Microsoft Corp</v>
      </c>
      <c r="F399" s="6" t="str">
        <v>United States</v>
      </c>
      <c r="G399" s="6" t="str">
        <v>Rapt Inc</v>
      </c>
      <c r="H399" s="6" t="str">
        <v>Prepackaged Software</v>
      </c>
      <c r="I399" s="6" t="str">
        <v>75381T</v>
      </c>
      <c r="J399" s="6" t="str">
        <v>Rapt Inc</v>
      </c>
      <c r="K399" s="6" t="str">
        <v>Rapt Inc</v>
      </c>
      <c r="L399" s="7">
        <f>=DATE(2008,3,14)</f>
        <v>39520.99949074074</v>
      </c>
      <c r="M399" s="7">
        <f>=DATE(2008,3,14)</f>
        <v>39520.99949074074</v>
      </c>
      <c r="S399" s="8">
        <v>1.7</v>
      </c>
      <c r="W399" s="6" t="str">
        <v>Computer Consulting Services;Applications Software(Business;Monitors/Terminals;Other Peripherals;Operating Systems;Internet Services &amp; Software</v>
      </c>
      <c r="X399" s="6" t="str">
        <v>Other Software (inq. Games);Applications Software(Business</v>
      </c>
      <c r="Y399" s="6" t="str">
        <v>Applications Software(Business;Other Software (inq. Games)</v>
      </c>
      <c r="Z399" s="6" t="str">
        <v>Applications Software(Business;Other Software (inq. Games)</v>
      </c>
      <c r="AA399" s="6" t="str">
        <v>Computer Consulting Services;Operating Systems;Internet Services &amp; Software;Other Peripherals;Monitors/Terminals;Applications Software(Business</v>
      </c>
      <c r="AB399" s="6" t="str">
        <v>Monitors/Terminals;Other Peripherals;Operating Systems;Applications Software(Business;Internet Services &amp; Software;Computer Consulting Services</v>
      </c>
      <c r="AH399" s="6" t="str">
        <v>True</v>
      </c>
      <c r="AI399" s="6" t="str">
        <v>2008</v>
      </c>
      <c r="AJ399" s="6" t="str">
        <v>Completed</v>
      </c>
      <c r="AM399" s="6" t="str">
        <v>Not Applicable</v>
      </c>
      <c r="AO399" s="6" t="str">
        <v>US - Microsoft Corp acquired Rapt Inc, a developer of advertising yield management software.</v>
      </c>
    </row>
    <row r="400">
      <c r="A400" s="6" t="str">
        <v>594918</v>
      </c>
      <c r="B400" s="6" t="str">
        <v>United States</v>
      </c>
      <c r="C400" s="6" t="str">
        <v>Microsoft Corp</v>
      </c>
      <c r="D400" s="6" t="str">
        <v>Microsoft Corp</v>
      </c>
      <c r="F400" s="6" t="str">
        <v>United States</v>
      </c>
      <c r="G400" s="6" t="str">
        <v>Aspect Software Inc</v>
      </c>
      <c r="H400" s="6" t="str">
        <v>Prepackaged Software</v>
      </c>
      <c r="I400" s="6" t="str">
        <v>04488C</v>
      </c>
      <c r="J400" s="6" t="str">
        <v>Golden Gate Capital Inc</v>
      </c>
      <c r="K400" s="6" t="str">
        <v>Golden Gate Capital Inc</v>
      </c>
      <c r="L400" s="7">
        <f>=DATE(2008,3,18)</f>
        <v>39524.99949074074</v>
      </c>
      <c r="W400" s="6" t="str">
        <v>Computer Consulting Services;Internet Services &amp; Software;Applications Software(Business;Monitors/Terminals;Other Peripherals;Operating Systems</v>
      </c>
      <c r="X400" s="6" t="str">
        <v>Database Software/Programming;Other Computer Systems;Communication/Network Software;Applications Software(Business;Programming Services;Other Software (inq. Games);Turnkey Systems;Other Computer Related Svcs</v>
      </c>
      <c r="Y400" s="6" t="str">
        <v>Primary Business not Hi-Tech</v>
      </c>
      <c r="Z400" s="6" t="str">
        <v>Primary Business not Hi-Tech</v>
      </c>
      <c r="AA400" s="6" t="str">
        <v>Applications Software(Business;Monitors/Terminals;Internet Services &amp; Software;Computer Consulting Services;Operating Systems;Other Peripherals</v>
      </c>
      <c r="AB400" s="6" t="str">
        <v>Internet Services &amp; Software;Computer Consulting Services;Other Peripherals;Applications Software(Business;Operating Systems;Monitors/Terminals</v>
      </c>
      <c r="AH400" s="6" t="str">
        <v>False</v>
      </c>
      <c r="AJ400" s="6" t="str">
        <v>Pending</v>
      </c>
      <c r="AM400" s="6" t="str">
        <v>Not Applicable</v>
      </c>
      <c r="AO400" s="6" t="str">
        <v>US - Microsoft Corp planned to acquire an undisclosed minority stake in Aspect Software Inc, a developer of management system software, from Golden Gate Capital. Terms were not disclosed.</v>
      </c>
    </row>
    <row r="401">
      <c r="A401" s="6" t="str">
        <v>594918</v>
      </c>
      <c r="B401" s="6" t="str">
        <v>United States</v>
      </c>
      <c r="C401" s="6" t="str">
        <v>Microsoft Corp</v>
      </c>
      <c r="D401" s="6" t="str">
        <v>Microsoft Corp</v>
      </c>
      <c r="F401" s="6" t="str">
        <v>United States</v>
      </c>
      <c r="G401" s="6" t="str">
        <v>Komoku Inc</v>
      </c>
      <c r="H401" s="6" t="str">
        <v>Prepackaged Software</v>
      </c>
      <c r="I401" s="6" t="str">
        <v>48677C</v>
      </c>
      <c r="J401" s="6" t="str">
        <v>Komoku Inc</v>
      </c>
      <c r="K401" s="6" t="str">
        <v>Komoku Inc</v>
      </c>
      <c r="L401" s="7">
        <f>=DATE(2008,3,19)</f>
        <v>39525.99949074074</v>
      </c>
      <c r="M401" s="7">
        <f>=DATE(2008,3,19)</f>
        <v>39525.99949074074</v>
      </c>
      <c r="N401" s="8">
        <v>5</v>
      </c>
      <c r="O401" s="8">
        <v>5</v>
      </c>
      <c r="W401" s="6" t="str">
        <v>Operating Systems;Applications Software(Business;Monitors/Terminals;Other Peripherals;Computer Consulting Services;Internet Services &amp; Software</v>
      </c>
      <c r="X401" s="6" t="str">
        <v>Other Software (inq. Games)</v>
      </c>
      <c r="Y401" s="6" t="str">
        <v>Other Software (inq. Games)</v>
      </c>
      <c r="Z401" s="6" t="str">
        <v>Other Software (inq. Games)</v>
      </c>
      <c r="AA401" s="6" t="str">
        <v>Internet Services &amp; Software;Applications Software(Business;Other Peripherals;Monitors/Terminals;Computer Consulting Services;Operating Systems</v>
      </c>
      <c r="AB401" s="6" t="str">
        <v>Operating Systems;Monitors/Terminals;Internet Services &amp; Software;Applications Software(Business;Computer Consulting Services;Other Peripherals</v>
      </c>
      <c r="AC401" s="8">
        <v>5</v>
      </c>
      <c r="AD401" s="7">
        <f>=DATE(2008,3,19)</f>
        <v>39525.99949074074</v>
      </c>
      <c r="AH401" s="6" t="str">
        <v>False</v>
      </c>
      <c r="AI401" s="6" t="str">
        <v>2008</v>
      </c>
      <c r="AJ401" s="6" t="str">
        <v>Completed</v>
      </c>
      <c r="AM401" s="6" t="str">
        <v>Not Applicable</v>
      </c>
      <c r="AO401" s="6" t="str">
        <v>US - Microsoft Corp acquired Komoku Inc, a developer of rootkit security software, for an estimated $5 mil.</v>
      </c>
    </row>
    <row r="402">
      <c r="A402" s="6" t="str">
        <v>594918</v>
      </c>
      <c r="B402" s="6" t="str">
        <v>United States</v>
      </c>
      <c r="C402" s="6" t="str">
        <v>Microsoft Corp</v>
      </c>
      <c r="D402" s="6" t="str">
        <v>Microsoft Corp</v>
      </c>
      <c r="F402" s="6" t="str">
        <v>New Zealand</v>
      </c>
      <c r="G402" s="6" t="str">
        <v>1-day</v>
      </c>
      <c r="H402" s="6" t="str">
        <v>Miscellaneous Retail Trade</v>
      </c>
      <c r="I402" s="6" t="str">
        <v>25960M</v>
      </c>
      <c r="J402" s="6" t="str">
        <v>1-day</v>
      </c>
      <c r="K402" s="6" t="str">
        <v>1-day</v>
      </c>
      <c r="L402" s="7">
        <f>=DATE(2008,3,31)</f>
        <v>39537.99949074074</v>
      </c>
      <c r="W402" s="6" t="str">
        <v>Applications Software(Business;Operating Systems;Other Peripherals;Internet Services &amp; Software;Computer Consulting Services;Monitors/Terminals</v>
      </c>
      <c r="X402" s="6" t="str">
        <v>Internet Services &amp; Software</v>
      </c>
      <c r="Y402" s="6" t="str">
        <v>Internet Services &amp; Software</v>
      </c>
      <c r="Z402" s="6" t="str">
        <v>Internet Services &amp; Software</v>
      </c>
      <c r="AA402" s="6" t="str">
        <v>Other Peripherals;Operating Systems;Applications Software(Business;Monitors/Terminals;Computer Consulting Services;Internet Services &amp; Software</v>
      </c>
      <c r="AB402" s="6" t="str">
        <v>Internet Services &amp; Software;Computer Consulting Services;Applications Software(Business;Operating Systems;Other Peripherals;Monitors/Terminals</v>
      </c>
      <c r="AH402" s="6" t="str">
        <v>False</v>
      </c>
      <c r="AJ402" s="6" t="str">
        <v>Pending</v>
      </c>
      <c r="AM402" s="6" t="str">
        <v>Not Applicable</v>
      </c>
      <c r="AO402" s="6" t="str">
        <v>NEW ZEALAND - Microsoft Corp planned to acquire a 75% interest in 1-day, an ecommerce retail services provider.</v>
      </c>
    </row>
    <row r="403">
      <c r="A403" s="6" t="str">
        <v>594918</v>
      </c>
      <c r="B403" s="6" t="str">
        <v>United States</v>
      </c>
      <c r="C403" s="6" t="str">
        <v>Microsoft Corp</v>
      </c>
      <c r="D403" s="6" t="str">
        <v>Microsoft Corp</v>
      </c>
      <c r="F403" s="6" t="str">
        <v>Canada</v>
      </c>
      <c r="G403" s="6" t="str">
        <v>90 Degree Software</v>
      </c>
      <c r="H403" s="6" t="str">
        <v>Prepackaged Software</v>
      </c>
      <c r="I403" s="6" t="str">
        <v>65287K</v>
      </c>
      <c r="J403" s="6" t="str">
        <v>90 Degree Software</v>
      </c>
      <c r="K403" s="6" t="str">
        <v>90 Degree Software</v>
      </c>
      <c r="L403" s="7">
        <f>=DATE(2008,3,31)</f>
        <v>39537.99949074074</v>
      </c>
      <c r="M403" s="7">
        <f>=DATE(2008,3,31)</f>
        <v>39537.99949074074</v>
      </c>
      <c r="W403" s="6" t="str">
        <v>Internet Services &amp; Software;Operating Systems;Monitors/Terminals;Other Peripherals;Applications Software(Business;Computer Consulting Services</v>
      </c>
      <c r="X403" s="6" t="str">
        <v>Other Software (inq. Games)</v>
      </c>
      <c r="Y403" s="6" t="str">
        <v>Other Software (inq. Games)</v>
      </c>
      <c r="Z403" s="6" t="str">
        <v>Other Software (inq. Games)</v>
      </c>
      <c r="AA403" s="6" t="str">
        <v>Other Peripherals;Monitors/Terminals;Internet Services &amp; Software;Operating Systems;Applications Software(Business;Computer Consulting Services</v>
      </c>
      <c r="AB403" s="6" t="str">
        <v>Monitors/Terminals;Applications Software(Business;Operating Systems;Computer Consulting Services;Other Peripherals;Internet Services &amp; Software</v>
      </c>
      <c r="AH403" s="6" t="str">
        <v>False</v>
      </c>
      <c r="AI403" s="6" t="str">
        <v>2008</v>
      </c>
      <c r="AJ403" s="6" t="str">
        <v>Completed</v>
      </c>
      <c r="AM403" s="6" t="str">
        <v>Not Applicable</v>
      </c>
      <c r="AO403" s="6" t="str">
        <v>CANADA - Microsoft Corp acquired 90 Degree Software, a developer of business intelligence software.</v>
      </c>
    </row>
    <row r="404">
      <c r="A404" s="6" t="str">
        <v>38259P</v>
      </c>
      <c r="B404" s="6" t="str">
        <v>United States</v>
      </c>
      <c r="C404" s="6" t="str">
        <v>Google Inc</v>
      </c>
      <c r="D404" s="6" t="str">
        <v>Alphabet Inc</v>
      </c>
      <c r="F404" s="6" t="str">
        <v>United States</v>
      </c>
      <c r="G404" s="6" t="str">
        <v>Expedia Inc</v>
      </c>
      <c r="H404" s="6" t="str">
        <v>Transportation and Shipping (except air)</v>
      </c>
      <c r="I404" s="6" t="str">
        <v>30212P</v>
      </c>
      <c r="J404" s="6" t="str">
        <v>Expedia Inc</v>
      </c>
      <c r="K404" s="6" t="str">
        <v>Expedia Inc</v>
      </c>
      <c r="L404" s="7">
        <f>=DATE(2008,4,1)</f>
        <v>39538.99949074074</v>
      </c>
      <c r="R404" s="8">
        <v>312.394</v>
      </c>
      <c r="S404" s="8">
        <v>2802.638</v>
      </c>
      <c r="T404" s="8">
        <v>-489.738</v>
      </c>
      <c r="U404" s="8">
        <v>-215.616</v>
      </c>
      <c r="V404" s="8">
        <v>737.792</v>
      </c>
      <c r="W404" s="6" t="str">
        <v>Internet Services &amp; Software;Programming Services</v>
      </c>
      <c r="X404" s="6" t="str">
        <v>Internet Services &amp; Software</v>
      </c>
      <c r="Y404" s="6" t="str">
        <v>Internet Services &amp; Software</v>
      </c>
      <c r="Z404" s="6" t="str">
        <v>Internet Services &amp; Software</v>
      </c>
      <c r="AA404" s="6" t="str">
        <v>Telecommunications Equipment;Primary Business not Hi-Tech;Computer Consulting Services;Internet Services &amp; Software;Programming Services</v>
      </c>
      <c r="AB404" s="6" t="str">
        <v>Telecommunications Equipment;Primary Business not Hi-Tech;Programming Services;Internet Services &amp; Software;Computer Consulting Services</v>
      </c>
      <c r="AH404" s="6" t="str">
        <v>True</v>
      </c>
      <c r="AJ404" s="6" t="str">
        <v>Dismissed Rumor</v>
      </c>
      <c r="AL404" s="8">
        <v>287.339847</v>
      </c>
      <c r="AM404" s="6" t="str">
        <v>Rumored Deal</v>
      </c>
      <c r="AN404" s="8">
        <v>6067.395</v>
      </c>
      <c r="AO404" s="6" t="str">
        <v>US - Google Inc was rumored to be planning to acquire Expedia Inc, a provider of online travel booking services.  The Current status of this deal is unknown.</v>
      </c>
    </row>
    <row r="405">
      <c r="A405" s="6" t="str">
        <v>67020Y</v>
      </c>
      <c r="B405" s="6" t="str">
        <v>United States</v>
      </c>
      <c r="C405" s="6" t="str">
        <v>Nuance Communications Inc</v>
      </c>
      <c r="D405" s="6" t="str">
        <v>Nuance Communications Inc</v>
      </c>
      <c r="F405" s="6" t="str">
        <v>United States</v>
      </c>
      <c r="G405" s="6" t="str">
        <v>eScription Inc</v>
      </c>
      <c r="H405" s="6" t="str">
        <v>Business Services</v>
      </c>
      <c r="I405" s="6" t="str">
        <v>29636Q</v>
      </c>
      <c r="J405" s="6" t="str">
        <v>eScription Inc</v>
      </c>
      <c r="K405" s="6" t="str">
        <v>eScription Inc</v>
      </c>
      <c r="L405" s="7">
        <f>=DATE(2008,4,8)</f>
        <v>39545.99949074074</v>
      </c>
      <c r="M405" s="7">
        <f>=DATE(2008,5,21)</f>
        <v>39588.99949074074</v>
      </c>
      <c r="N405" s="8">
        <v>363</v>
      </c>
      <c r="O405" s="8">
        <v>363</v>
      </c>
      <c r="S405" s="8">
        <v>17.5</v>
      </c>
      <c r="W405" s="6" t="str">
        <v>Database Software/Programming;Programming Services;Internet Services &amp; Software;Applications Software(Home);Desktop Publishing;Computer Consulting Services;Primary Business not Hi-Tech;Other Computer Related Svcs;Communication/Network Software;Applications Software(Business;Other Software (inq. Games);Networking Systems (LAN,WAN);Utilities/File Mgmt Software</v>
      </c>
      <c r="X405" s="6" t="str">
        <v>Applications Software(Business;Data Processing Services;Other Computer Related Svcs</v>
      </c>
      <c r="Y405" s="6" t="str">
        <v>Data Processing Services;Other Computer Related Svcs;Applications Software(Business</v>
      </c>
      <c r="Z405" s="6" t="str">
        <v>Applications Software(Business;Other Computer Related Svcs;Data Processing Services</v>
      </c>
      <c r="AA405" s="6" t="str">
        <v>Database Software/Programming;Programming Services;Primary Business not Hi-Tech;Other Computer Related Svcs;Utilities/File Mgmt Software;Communication/Network Software;Internet Services &amp; Software;Desktop Publishing;Other Software (inq. Games);Applications Software(Business;Applications Software(Home);Networking Systems (LAN,WAN);Computer Consulting Services</v>
      </c>
      <c r="AB405" s="6" t="str">
        <v>Applications Software(Business;Programming Services;Internet Services &amp; Software;Communication/Network Software;Desktop Publishing;Networking Systems (LAN,WAN);Other Computer Related Svcs;Other Software (inq. Games);Utilities/File Mgmt Software;Computer Consulting Services;Primary Business not Hi-Tech;Applications Software(Home);Database Software/Programming</v>
      </c>
      <c r="AC405" s="8">
        <v>363</v>
      </c>
      <c r="AD405" s="7">
        <f>=DATE(2008,4,8)</f>
        <v>39545.99949074074</v>
      </c>
      <c r="AH405" s="6" t="str">
        <v>True</v>
      </c>
      <c r="AI405" s="6" t="str">
        <v>2008</v>
      </c>
      <c r="AJ405" s="6" t="str">
        <v>Completed</v>
      </c>
      <c r="AM405" s="6" t="str">
        <v>Financial Acquiror</v>
      </c>
      <c r="AO405" s="6" t="str">
        <v>US - Nuance Communications Inc (NC) acquired eScription Inc, a provider of medical transcription and healthcare outsourcing, billing, and coding services, for an estimated $363 mil. The consideration consisted of $340 mil in cash and $23 mil in NC common stock. The transaction had been subject to customary closing conditions and regulatory approvals.</v>
      </c>
    </row>
    <row r="406">
      <c r="A406" s="6" t="str">
        <v>594918</v>
      </c>
      <c r="B406" s="6" t="str">
        <v>United States</v>
      </c>
      <c r="C406" s="6" t="str">
        <v>Microsoft Corp</v>
      </c>
      <c r="D406" s="6" t="str">
        <v>Microsoft Corp</v>
      </c>
      <c r="F406" s="6" t="str">
        <v>United States</v>
      </c>
      <c r="G406" s="6" t="str">
        <v>Farecast Inc</v>
      </c>
      <c r="H406" s="6" t="str">
        <v>Prepackaged Software</v>
      </c>
      <c r="I406" s="6" t="str">
        <v>30724N</v>
      </c>
      <c r="J406" s="6" t="str">
        <v>Farecast Inc</v>
      </c>
      <c r="K406" s="6" t="str">
        <v>Farecast Inc</v>
      </c>
      <c r="L406" s="7">
        <f>=DATE(2008,4,14)</f>
        <v>39551.99949074074</v>
      </c>
      <c r="M406" s="7">
        <f>=DATE(2008,4,14)</f>
        <v>39551.99949074074</v>
      </c>
      <c r="N406" s="8">
        <v>75</v>
      </c>
      <c r="O406" s="8">
        <v>75</v>
      </c>
      <c r="W406" s="6" t="str">
        <v>Computer Consulting Services;Operating Systems;Internet Services &amp; Software;Other Peripherals;Monitors/Terminals;Applications Software(Business</v>
      </c>
      <c r="X406" s="6" t="str">
        <v>Communication/Network Software;Internet Services &amp; Software</v>
      </c>
      <c r="Y406" s="6" t="str">
        <v>Internet Services &amp; Software;Communication/Network Software</v>
      </c>
      <c r="Z406" s="6" t="str">
        <v>Internet Services &amp; Software;Communication/Network Software</v>
      </c>
      <c r="AA406" s="6" t="str">
        <v>Operating Systems;Other Peripherals;Monitors/Terminals;Internet Services &amp; Software;Computer Consulting Services;Applications Software(Business</v>
      </c>
      <c r="AB406" s="6" t="str">
        <v>Computer Consulting Services;Monitors/Terminals;Internet Services &amp; Software;Other Peripherals;Applications Software(Business;Operating Systems</v>
      </c>
      <c r="AC406" s="8">
        <v>75</v>
      </c>
      <c r="AD406" s="7">
        <f>=DATE(2008,4,14)</f>
        <v>39551.99949074074</v>
      </c>
      <c r="AH406" s="6" t="str">
        <v>False</v>
      </c>
      <c r="AI406" s="6" t="str">
        <v>2008</v>
      </c>
      <c r="AJ406" s="6" t="str">
        <v>Completed</v>
      </c>
      <c r="AM406" s="6" t="str">
        <v>Not Applicable</v>
      </c>
      <c r="AO406" s="6" t="str">
        <v>US - Microsoft Corp acquired Farecast Inc, a developer of online travel search site software, for $75 mil.</v>
      </c>
    </row>
    <row r="407">
      <c r="A407" s="6" t="str">
        <v>052660</v>
      </c>
      <c r="B407" s="6" t="str">
        <v>United States</v>
      </c>
      <c r="C407" s="6" t="str">
        <v>AuthenTec Inc</v>
      </c>
      <c r="D407" s="6" t="str">
        <v>AuthenTec Inc</v>
      </c>
      <c r="F407" s="6" t="str">
        <v>United States</v>
      </c>
      <c r="G407" s="6" t="str">
        <v>EzValidation Inc-Software Assets</v>
      </c>
      <c r="H407" s="6" t="str">
        <v>Prepackaged Software</v>
      </c>
      <c r="I407" s="6" t="str">
        <v>27101X</v>
      </c>
      <c r="J407" s="6" t="str">
        <v>EzValidation Inc</v>
      </c>
      <c r="K407" s="6" t="str">
        <v>EzValidation Inc</v>
      </c>
      <c r="L407" s="7">
        <f>=DATE(2008,4,16)</f>
        <v>39553.99949074074</v>
      </c>
      <c r="M407" s="7">
        <f>=DATE(2008,4,16)</f>
        <v>39553.99949074074</v>
      </c>
      <c r="W407" s="6" t="str">
        <v>Other Electronics;Semiconductors;Search, Detection, Navigation</v>
      </c>
      <c r="X407" s="6" t="str">
        <v>Other Software (inq. Games)</v>
      </c>
      <c r="Y407" s="6" t="str">
        <v>Other Software (inq. Games)</v>
      </c>
      <c r="Z407" s="6" t="str">
        <v>Other Software (inq. Games)</v>
      </c>
      <c r="AA407" s="6" t="str">
        <v>Semiconductors;Search, Detection, Navigation;Other Electronics</v>
      </c>
      <c r="AB407" s="6" t="str">
        <v>Other Electronics;Semiconductors;Search, Detection, Navigation</v>
      </c>
      <c r="AH407" s="6" t="str">
        <v>False</v>
      </c>
      <c r="AI407" s="6" t="str">
        <v>2008</v>
      </c>
      <c r="AJ407" s="6" t="str">
        <v>Completed</v>
      </c>
      <c r="AM407" s="6" t="str">
        <v>Divestiture</v>
      </c>
      <c r="AO407" s="6" t="str">
        <v>US - AuthenTec Inc acquired the software assets of EzValidation Inc, a provider of fingerprint sensor authentication and user interface software and services.</v>
      </c>
    </row>
    <row r="408">
      <c r="A408" s="6" t="str">
        <v>037833</v>
      </c>
      <c r="B408" s="6" t="str">
        <v>United States</v>
      </c>
      <c r="C408" s="6" t="str">
        <v>Apple Inc</v>
      </c>
      <c r="D408" s="6" t="str">
        <v>Apple Inc</v>
      </c>
      <c r="F408" s="6" t="str">
        <v>United States</v>
      </c>
      <c r="G408" s="6" t="str">
        <v>PA Semi Inc</v>
      </c>
      <c r="H408" s="6" t="str">
        <v>Electronic and Electrical Equipment</v>
      </c>
      <c r="I408" s="6" t="str">
        <v>70462M</v>
      </c>
      <c r="J408" s="6" t="str">
        <v>PA Semi Inc</v>
      </c>
      <c r="K408" s="6" t="str">
        <v>PA Semi Inc</v>
      </c>
      <c r="L408" s="7">
        <f>=DATE(2008,4,24)</f>
        <v>39561.99949074074</v>
      </c>
      <c r="M408" s="7">
        <f>=DATE(2008,4,24)</f>
        <v>39561.99949074074</v>
      </c>
      <c r="N408" s="8">
        <v>268</v>
      </c>
      <c r="O408" s="8">
        <v>268</v>
      </c>
      <c r="W408" s="6" t="str">
        <v>Other Peripherals;Portable Computers;Printers;Disk Drives;Mainframes &amp; Super Computers;Monitors/Terminals;Micro-Computers (PCs);Other Software (inq. Games)</v>
      </c>
      <c r="X408" s="6" t="str">
        <v>Semiconductors</v>
      </c>
      <c r="Y408" s="6" t="str">
        <v>Semiconductors</v>
      </c>
      <c r="Z408" s="6" t="str">
        <v>Semiconductors</v>
      </c>
      <c r="AA408" s="6" t="str">
        <v>Other Software (inq. Games);Monitors/Terminals;Printers;Mainframes &amp; Super Computers;Micro-Computers (PCs);Other Peripherals;Disk Drives;Portable Computers</v>
      </c>
      <c r="AB408" s="6" t="str">
        <v>Printers;Disk Drives;Monitors/Terminals;Portable Computers;Micro-Computers (PCs);Other Peripherals;Other Software (inq. Games);Mainframes &amp; Super Computers</v>
      </c>
      <c r="AC408" s="8">
        <v>268</v>
      </c>
      <c r="AD408" s="7">
        <f>=DATE(2008,4,24)</f>
        <v>39561.99949074074</v>
      </c>
      <c r="AH408" s="6" t="str">
        <v>False</v>
      </c>
      <c r="AI408" s="6" t="str">
        <v>2008</v>
      </c>
      <c r="AJ408" s="6" t="str">
        <v>Completed</v>
      </c>
      <c r="AM408" s="6" t="str">
        <v>Rumored Deal</v>
      </c>
      <c r="AO408" s="6" t="str">
        <v>US - Apple Inc (AI) acquired PA Semi Inc (PS), a manufacturer of semiconductors and microprocessors, for $268 mil in cash. Originally, AI was rumored to be planning to acquire PS.</v>
      </c>
    </row>
    <row r="409">
      <c r="A409" s="6" t="str">
        <v>594918</v>
      </c>
      <c r="B409" s="6" t="str">
        <v>United States</v>
      </c>
      <c r="C409" s="6" t="str">
        <v>Microsoft Corp</v>
      </c>
      <c r="D409" s="6" t="str">
        <v>Microsoft Corp</v>
      </c>
      <c r="F409" s="6" t="str">
        <v>Czech Republic</v>
      </c>
      <c r="G409" s="6" t="str">
        <v>Seznam.cz AS</v>
      </c>
      <c r="H409" s="6" t="str">
        <v>Business Services</v>
      </c>
      <c r="I409" s="6" t="str">
        <v>81142V</v>
      </c>
      <c r="J409" s="6" t="str">
        <v>Seznam.cz AS</v>
      </c>
      <c r="K409" s="6" t="str">
        <v>Seznam.cz AS</v>
      </c>
      <c r="L409" s="7">
        <f>=DATE(2008,4,28)</f>
        <v>39565.99949074074</v>
      </c>
      <c r="W409" s="6" t="str">
        <v>Computer Consulting Services;Other Peripherals;Internet Services &amp; Software;Operating Systems;Monitors/Terminals;Applications Software(Business</v>
      </c>
      <c r="X409" s="6" t="str">
        <v>Internet Services &amp; Software;Computer Consulting Services;Telecommunications Equipment</v>
      </c>
      <c r="Y409" s="6" t="str">
        <v>Internet Services &amp; Software;Telecommunications Equipment;Computer Consulting Services</v>
      </c>
      <c r="Z409" s="6" t="str">
        <v>Computer Consulting Services;Telecommunications Equipment;Internet Services &amp; Software</v>
      </c>
      <c r="AA409" s="6" t="str">
        <v>Operating Systems;Monitors/Terminals;Computer Consulting Services;Applications Software(Business;Other Peripherals;Internet Services &amp; Software</v>
      </c>
      <c r="AB409" s="6" t="str">
        <v>Applications Software(Business;Other Peripherals;Monitors/Terminals;Computer Consulting Services;Operating Systems;Internet Services &amp; Software</v>
      </c>
      <c r="AH409" s="6" t="str">
        <v>False</v>
      </c>
      <c r="AJ409" s="6" t="str">
        <v>Dismissed Rumor</v>
      </c>
      <c r="AM409" s="6" t="str">
        <v>Rumored Deal</v>
      </c>
      <c r="AO409" s="6" t="str">
        <v>CZECH REPUBLIC - Microsoft Corp was rumored to be planning to acquire an undisclosed majority interest in Seznam.cz AS, a Prague-based provider of internet search engine services. The Current status of this deal is unknown.</v>
      </c>
    </row>
    <row r="410">
      <c r="A410" s="6" t="str">
        <v>38259P</v>
      </c>
      <c r="B410" s="6" t="str">
        <v>United States</v>
      </c>
      <c r="C410" s="6" t="str">
        <v>Google Inc</v>
      </c>
      <c r="D410" s="6" t="str">
        <v>Alphabet Inc</v>
      </c>
      <c r="F410" s="6" t="str">
        <v>United States</v>
      </c>
      <c r="G410" s="6" t="str">
        <v>Salesforce.com Inc</v>
      </c>
      <c r="H410" s="6" t="str">
        <v>Prepackaged Software</v>
      </c>
      <c r="I410" s="6" t="str">
        <v>79466L</v>
      </c>
      <c r="J410" s="6" t="str">
        <v>Salesforce.com Inc</v>
      </c>
      <c r="K410" s="6" t="str">
        <v>Salesforce.com Inc</v>
      </c>
      <c r="L410" s="7">
        <f>=DATE(2008,6,4)</f>
        <v>39602.99949074074</v>
      </c>
      <c r="R410" s="8">
        <v>27.181</v>
      </c>
      <c r="S410" s="8">
        <v>833.91</v>
      </c>
      <c r="T410" s="8">
        <v>102.462</v>
      </c>
      <c r="U410" s="8">
        <v>-60.177</v>
      </c>
      <c r="V410" s="8">
        <v>251.277</v>
      </c>
      <c r="W410" s="6" t="str">
        <v>Internet Services &amp; Software;Programming Services</v>
      </c>
      <c r="X410" s="6" t="str">
        <v>Communication/Network Software;Database Software/Programming;Programming Services;Other Software (inq. Games);Applications Software(Business</v>
      </c>
      <c r="Y410" s="6" t="str">
        <v>Communication/Network Software;Applications Software(Business;Database Software/Programming;Other Software (inq. Games);Programming Services</v>
      </c>
      <c r="Z410" s="6" t="str">
        <v>Database Software/Programming;Applications Software(Business;Communication/Network Software;Programming Services;Other Software (inq. Games)</v>
      </c>
      <c r="AA410" s="6" t="str">
        <v>Primary Business not Hi-Tech;Telecommunications Equipment;Computer Consulting Services;Internet Services &amp; Software;Programming Services</v>
      </c>
      <c r="AB410" s="6" t="str">
        <v>Primary Business not Hi-Tech;Telecommunications Equipment;Programming Services;Computer Consulting Services;Internet Services &amp; Software</v>
      </c>
      <c r="AH410" s="6" t="str">
        <v>True</v>
      </c>
      <c r="AJ410" s="6" t="str">
        <v>Dismissed Rumor</v>
      </c>
      <c r="AL410" s="8">
        <v>120.1</v>
      </c>
      <c r="AM410" s="6" t="str">
        <v>Rumored Deal</v>
      </c>
      <c r="AN410" s="8">
        <v>32.907</v>
      </c>
      <c r="AO410" s="6" t="str">
        <v>US - Google Inc was rumored to be planning to acquire SalesForce.com Inc, a developer of CRM software. The Current status of this deal is unknown.</v>
      </c>
    </row>
    <row r="411">
      <c r="A411" s="6" t="str">
        <v>594918</v>
      </c>
      <c r="B411" s="6" t="str">
        <v>United States</v>
      </c>
      <c r="C411" s="6" t="str">
        <v>Microsoft Corp</v>
      </c>
      <c r="D411" s="6" t="str">
        <v>Microsoft Corp</v>
      </c>
      <c r="F411" s="6" t="str">
        <v>Ireland</v>
      </c>
      <c r="G411" s="6" t="str">
        <v>Zignals</v>
      </c>
      <c r="H411" s="6" t="str">
        <v>Business Services</v>
      </c>
      <c r="I411" s="6" t="str">
        <v>99171Q</v>
      </c>
      <c r="J411" s="6" t="str">
        <v>Zignals</v>
      </c>
      <c r="K411" s="6" t="str">
        <v>Zignals</v>
      </c>
      <c r="L411" s="7">
        <f>=DATE(2008,6,12)</f>
        <v>39610.99949074074</v>
      </c>
      <c r="M411" s="7">
        <f>=DATE(2008,6,12)</f>
        <v>39610.99949074074</v>
      </c>
      <c r="W411" s="6" t="str">
        <v>Applications Software(Business;Operating Systems;Computer Consulting Services;Monitors/Terminals;Internet Services &amp; Software;Other Peripherals</v>
      </c>
      <c r="X411" s="6" t="str">
        <v>Internet Services &amp; Software</v>
      </c>
      <c r="Y411" s="6" t="str">
        <v>Internet Services &amp; Software</v>
      </c>
      <c r="Z411" s="6" t="str">
        <v>Internet Services &amp; Software</v>
      </c>
      <c r="AA411" s="6" t="str">
        <v>Other Peripherals;Applications Software(Business;Internet Services &amp; Software;Operating Systems;Monitors/Terminals;Computer Consulting Services</v>
      </c>
      <c r="AB411" s="6" t="str">
        <v>Applications Software(Business;Other Peripherals;Monitors/Terminals;Computer Consulting Services;Operating Systems;Internet Services &amp; Software</v>
      </c>
      <c r="AH411" s="6" t="str">
        <v>False</v>
      </c>
      <c r="AI411" s="6" t="str">
        <v>2008</v>
      </c>
      <c r="AJ411" s="6" t="str">
        <v>Completed</v>
      </c>
      <c r="AM411" s="6" t="str">
        <v>Not Applicable</v>
      </c>
      <c r="AO411" s="6" t="str">
        <v>IRELAND - Microsoft Corp of the US acquired a 15% stake in Zignals, a Dublin-based provider of online trading services.</v>
      </c>
    </row>
    <row r="412">
      <c r="A412" s="6" t="str">
        <v>594918</v>
      </c>
      <c r="B412" s="6" t="str">
        <v>United States</v>
      </c>
      <c r="C412" s="6" t="str">
        <v>Microsoft Corp</v>
      </c>
      <c r="D412" s="6" t="str">
        <v>Microsoft Corp</v>
      </c>
      <c r="F412" s="6" t="str">
        <v>United States</v>
      </c>
      <c r="G412" s="6" t="str">
        <v>Navic Networks</v>
      </c>
      <c r="H412" s="6" t="str">
        <v>Prepackaged Software</v>
      </c>
      <c r="I412" s="6" t="str">
        <v>63931T</v>
      </c>
      <c r="J412" s="6" t="str">
        <v>Navic Networks</v>
      </c>
      <c r="K412" s="6" t="str">
        <v>Navic Networks</v>
      </c>
      <c r="L412" s="7">
        <f>=DATE(2008,6,18)</f>
        <v>39616.99949074074</v>
      </c>
      <c r="M412" s="7">
        <f>=DATE(2008,6,18)</f>
        <v>39616.99949074074</v>
      </c>
      <c r="W412" s="6" t="str">
        <v>Operating Systems;Applications Software(Business;Monitors/Terminals;Other Peripherals;Internet Services &amp; Software;Computer Consulting Services</v>
      </c>
      <c r="X412" s="6" t="str">
        <v>Internet Services &amp; Software;Communication/Network Software</v>
      </c>
      <c r="Y412" s="6" t="str">
        <v>Internet Services &amp; Software;Communication/Network Software</v>
      </c>
      <c r="Z412" s="6" t="str">
        <v>Communication/Network Software;Internet Services &amp; Software</v>
      </c>
      <c r="AA412" s="6" t="str">
        <v>Operating Systems;Applications Software(Business;Monitors/Terminals;Computer Consulting Services;Internet Services &amp; Software;Other Peripherals</v>
      </c>
      <c r="AB412" s="6" t="str">
        <v>Other Peripherals;Applications Software(Business;Monitors/Terminals;Operating Systems;Internet Services &amp; Software;Computer Consulting Services</v>
      </c>
      <c r="AH412" s="6" t="str">
        <v>False</v>
      </c>
      <c r="AI412" s="6" t="str">
        <v>2008</v>
      </c>
      <c r="AJ412" s="6" t="str">
        <v>Completed</v>
      </c>
      <c r="AM412" s="6" t="str">
        <v>Not Applicable</v>
      </c>
      <c r="AO412" s="6" t="str">
        <v>US - Microsoft Corp acquired all the outstanding stock of Navic Networks, a developer of management software. Terms were not disclosed.</v>
      </c>
    </row>
    <row r="413">
      <c r="A413" s="6" t="str">
        <v>594918</v>
      </c>
      <c r="B413" s="6" t="str">
        <v>United States</v>
      </c>
      <c r="C413" s="6" t="str">
        <v>Microsoft Corp</v>
      </c>
      <c r="D413" s="6" t="str">
        <v>Microsoft Corp</v>
      </c>
      <c r="F413" s="6" t="str">
        <v>Portugal</v>
      </c>
      <c r="G413" s="6" t="str">
        <v>MobiComp</v>
      </c>
      <c r="H413" s="6" t="str">
        <v>Telecommunications</v>
      </c>
      <c r="I413" s="6" t="str">
        <v>60830K</v>
      </c>
      <c r="J413" s="6" t="str">
        <v>MobiComp</v>
      </c>
      <c r="K413" s="6" t="str">
        <v>MobiComp</v>
      </c>
      <c r="L413" s="7">
        <f>=DATE(2008,6,26)</f>
        <v>39624.99949074074</v>
      </c>
      <c r="W413" s="6" t="str">
        <v>Monitors/Terminals;Applications Software(Business;Operating Systems;Computer Consulting Services;Other Peripherals;Internet Services &amp; Software</v>
      </c>
      <c r="X413" s="6" t="str">
        <v>Data Processing Services</v>
      </c>
      <c r="Y413" s="6" t="str">
        <v>Data Processing Services</v>
      </c>
      <c r="Z413" s="6" t="str">
        <v>Data Processing Services</v>
      </c>
      <c r="AA413" s="6" t="str">
        <v>Applications Software(Business;Computer Consulting Services;Monitors/Terminals;Other Peripherals;Internet Services &amp; Software;Operating Systems</v>
      </c>
      <c r="AB413" s="6" t="str">
        <v>Computer Consulting Services;Applications Software(Business;Operating Systems;Other Peripherals;Monitors/Terminals;Internet Services &amp; Software</v>
      </c>
      <c r="AH413" s="6" t="str">
        <v>False</v>
      </c>
      <c r="AJ413" s="6" t="str">
        <v>Pending</v>
      </c>
      <c r="AM413" s="6" t="str">
        <v>Not Applicable</v>
      </c>
      <c r="AO413" s="6" t="str">
        <v>PORTUGAL - Microsoft Corp of the US planned to acquire MobiComp, a Braga-based provider of mobile solution services. Terms were not disclosed.</v>
      </c>
    </row>
    <row r="414">
      <c r="A414" s="6" t="str">
        <v>594918</v>
      </c>
      <c r="B414" s="6" t="str">
        <v>United States</v>
      </c>
      <c r="C414" s="6" t="str">
        <v>Microsoft Corp</v>
      </c>
      <c r="D414" s="6" t="str">
        <v>Microsoft Corp</v>
      </c>
      <c r="F414" s="6" t="str">
        <v>United States</v>
      </c>
      <c r="G414" s="6" t="str">
        <v>Powerset Inc</v>
      </c>
      <c r="H414" s="6" t="str">
        <v>Prepackaged Software</v>
      </c>
      <c r="I414" s="6" t="str">
        <v>73961A</v>
      </c>
      <c r="J414" s="6" t="str">
        <v>Powerset Inc</v>
      </c>
      <c r="K414" s="6" t="str">
        <v>Powerset Inc</v>
      </c>
      <c r="L414" s="7">
        <f>=DATE(2008,6,26)</f>
        <v>39624.99949074074</v>
      </c>
      <c r="M414" s="7">
        <f>=DATE(2008,7,1)</f>
        <v>39629.99949074074</v>
      </c>
      <c r="W414" s="6" t="str">
        <v>Computer Consulting Services;Other Peripherals;Internet Services &amp; Software;Monitors/Terminals;Applications Software(Business;Operating Systems</v>
      </c>
      <c r="X414" s="6" t="str">
        <v>Communication/Network Software;Internet Services &amp; Software</v>
      </c>
      <c r="Y414" s="6" t="str">
        <v>Communication/Network Software;Internet Services &amp; Software</v>
      </c>
      <c r="Z414" s="6" t="str">
        <v>Internet Services &amp; Software;Communication/Network Software</v>
      </c>
      <c r="AA414" s="6" t="str">
        <v>Applications Software(Business;Monitors/Terminals;Computer Consulting Services;Other Peripherals;Internet Services &amp; Software;Operating Systems</v>
      </c>
      <c r="AB414" s="6" t="str">
        <v>Other Peripherals;Operating Systems;Computer Consulting Services;Applications Software(Business;Monitors/Terminals;Internet Services &amp; Software</v>
      </c>
      <c r="AH414" s="6" t="str">
        <v>False</v>
      </c>
      <c r="AI414" s="6" t="str">
        <v>2008</v>
      </c>
      <c r="AJ414" s="6" t="str">
        <v>Completed</v>
      </c>
      <c r="AM414" s="6" t="str">
        <v>Not Applicable</v>
      </c>
      <c r="AO414" s="6" t="str">
        <v>US - Microsoft Corp acquired Powerset Inc, a developer of software.</v>
      </c>
    </row>
    <row r="415">
      <c r="A415" s="6" t="str">
        <v>594918</v>
      </c>
      <c r="B415" s="6" t="str">
        <v>United States</v>
      </c>
      <c r="C415" s="6" t="str">
        <v>Microsoft Corp</v>
      </c>
      <c r="D415" s="6" t="str">
        <v>Microsoft Corp</v>
      </c>
      <c r="F415" s="6" t="str">
        <v>Israel</v>
      </c>
      <c r="G415" s="6" t="str">
        <v>MSN Israel Ltd</v>
      </c>
      <c r="H415" s="6" t="str">
        <v>Business Services</v>
      </c>
      <c r="I415" s="6" t="str">
        <v>55389J</v>
      </c>
      <c r="J415" s="6" t="str">
        <v>Eurocom Communications Ltd</v>
      </c>
      <c r="K415" s="6" t="str">
        <v>Internet Gold Golden Lines Ltd</v>
      </c>
      <c r="L415" s="7">
        <f>=DATE(2008,7,7)</f>
        <v>39635.99949074074</v>
      </c>
      <c r="W415" s="6" t="str">
        <v>Internet Services &amp; Software;Monitors/Terminals;Computer Consulting Services;Applications Software(Business;Other Peripherals;Operating Systems</v>
      </c>
      <c r="X415" s="6" t="str">
        <v>Communication/Network Software;Internet Services &amp; Software</v>
      </c>
      <c r="Y415" s="6" t="str">
        <v>Internet Services &amp; Software;Communication/Network Software</v>
      </c>
      <c r="Z415" s="6" t="str">
        <v>Telecommunications Equipment</v>
      </c>
      <c r="AA415" s="6" t="str">
        <v>Monitors/Terminals;Computer Consulting Services;Operating Systems;Internet Services &amp; Software;Applications Software(Business;Other Peripherals</v>
      </c>
      <c r="AB415" s="6" t="str">
        <v>Internet Services &amp; Software;Computer Consulting Services;Operating Systems;Other Peripherals;Applications Software(Business;Monitors/Terminals</v>
      </c>
      <c r="AH415" s="6" t="str">
        <v>False</v>
      </c>
      <c r="AJ415" s="6" t="str">
        <v>Pending</v>
      </c>
      <c r="AM415" s="6" t="str">
        <v>Divestiture</v>
      </c>
      <c r="AO415" s="6" t="str">
        <v>ISRAEL - Microsoft Corp planned to acquire the remaining 50.1% interest, which it did not already own, in its joint venture MSN Israel Ltd, an Internet Services Provider {ISP}, from its joint venture partner Internet Gold-Golden Lines Ltd.</v>
      </c>
    </row>
    <row r="416">
      <c r="A416" s="6" t="str">
        <v>594918</v>
      </c>
      <c r="B416" s="6" t="str">
        <v>United States</v>
      </c>
      <c r="C416" s="6" t="str">
        <v>Microsoft Corp</v>
      </c>
      <c r="D416" s="6" t="str">
        <v>Microsoft Corp</v>
      </c>
      <c r="F416" s="6" t="str">
        <v>Israel</v>
      </c>
      <c r="G416" s="6" t="str">
        <v>Zoomix Data Mastering Ltd</v>
      </c>
      <c r="H416" s="6" t="str">
        <v>Prepackaged Software</v>
      </c>
      <c r="I416" s="6" t="str">
        <v>99185C</v>
      </c>
      <c r="J416" s="6" t="str">
        <v>Zoomix Data Mastering Ltd</v>
      </c>
      <c r="K416" s="6" t="str">
        <v>Zoomix Data Mastering Ltd</v>
      </c>
      <c r="L416" s="7">
        <f>=DATE(2008,7,14)</f>
        <v>39642.99949074074</v>
      </c>
      <c r="W416" s="6" t="str">
        <v>Monitors/Terminals;Computer Consulting Services;Internet Services &amp; Software;Operating Systems;Other Peripherals;Applications Software(Business</v>
      </c>
      <c r="X416" s="6" t="str">
        <v>Internet Services &amp; Software</v>
      </c>
      <c r="Y416" s="6" t="str">
        <v>Internet Services &amp; Software</v>
      </c>
      <c r="Z416" s="6" t="str">
        <v>Internet Services &amp; Software</v>
      </c>
      <c r="AA416" s="6" t="str">
        <v>Applications Software(Business;Operating Systems;Internet Services &amp; Software;Computer Consulting Services;Monitors/Terminals;Other Peripherals</v>
      </c>
      <c r="AB416" s="6" t="str">
        <v>Applications Software(Business;Other Peripherals;Monitors/Terminals;Operating Systems;Internet Services &amp; Software;Computer Consulting Services</v>
      </c>
      <c r="AH416" s="6" t="str">
        <v>False</v>
      </c>
      <c r="AJ416" s="6" t="str">
        <v>Pending</v>
      </c>
      <c r="AM416" s="6" t="str">
        <v>Not Applicable</v>
      </c>
      <c r="AO416" s="6" t="str">
        <v>ISRAEL - Microsoft Corp of the US agreed to acquire Zoomix Data Mastering Ltd, a Jerusalem-based developer of data quality software. Terms were not disclosed.</v>
      </c>
    </row>
    <row r="417">
      <c r="A417" s="6" t="str">
        <v>00507V</v>
      </c>
      <c r="B417" s="6" t="str">
        <v>United States</v>
      </c>
      <c r="C417" s="6" t="str">
        <v>Activision Blizzard Inc</v>
      </c>
      <c r="D417" s="6" t="str">
        <v>Vivendi SE</v>
      </c>
      <c r="F417" s="6" t="str">
        <v>United States</v>
      </c>
      <c r="G417" s="6" t="str">
        <v>Activision Blizzard Inc</v>
      </c>
      <c r="H417" s="6" t="str">
        <v>Prepackaged Software</v>
      </c>
      <c r="I417" s="6" t="str">
        <v>00507V</v>
      </c>
      <c r="J417" s="6" t="str">
        <v>Vivendi SE</v>
      </c>
      <c r="K417" s="6" t="str">
        <v>Vivendi SE</v>
      </c>
      <c r="L417" s="7">
        <f>=DATE(2008,7,16)</f>
        <v>39644.99949074074</v>
      </c>
      <c r="M417" s="7">
        <f>=DATE(2008,8,13)</f>
        <v>39672.99949074074</v>
      </c>
      <c r="N417" s="8">
        <v>2.363</v>
      </c>
      <c r="O417" s="8">
        <v>2.363</v>
      </c>
      <c r="P417" s="8" t="str">
        <v>32,419.00</v>
      </c>
      <c r="R417" s="8">
        <v>227</v>
      </c>
      <c r="S417" s="8">
        <v>1349</v>
      </c>
      <c r="T417" s="8">
        <v>-371</v>
      </c>
      <c r="U417" s="8">
        <v>-68</v>
      </c>
      <c r="V417" s="8">
        <v>431</v>
      </c>
      <c r="W417" s="6" t="str">
        <v>Other Software (inq. Games);Operating Systems;Other Computer Systems</v>
      </c>
      <c r="X417" s="6" t="str">
        <v>Other Software (inq. Games);Operating Systems;Other Computer Systems</v>
      </c>
      <c r="Y417" s="6" t="str">
        <v>Other Software (inq. Games);Internet Services &amp; Software;Primary Business not Hi-Tech</v>
      </c>
      <c r="Z417" s="6" t="str">
        <v>Other Software (inq. Games);Primary Business not Hi-Tech;Internet Services &amp; Software</v>
      </c>
      <c r="AA417" s="6" t="str">
        <v>Other Software (inq. Games);Internet Services &amp; Software;Primary Business not Hi-Tech</v>
      </c>
      <c r="AB417" s="6" t="str">
        <v>Primary Business not Hi-Tech;Internet Services &amp; Software;Other Software (inq. Games)</v>
      </c>
      <c r="AC417" s="8">
        <v>2.363</v>
      </c>
      <c r="AD417" s="7">
        <f>=DATE(2008,7,16)</f>
        <v>39644.99949074074</v>
      </c>
      <c r="AE417" s="8">
        <v>18020.0075</v>
      </c>
      <c r="AF417" s="8" t="str">
        <v>17,955.01</v>
      </c>
      <c r="AG417" s="8" t="str">
        <v>32,419.00</v>
      </c>
      <c r="AH417" s="6" t="str">
        <v>True</v>
      </c>
      <c r="AI417" s="6" t="str">
        <v>2008</v>
      </c>
      <c r="AJ417" s="6" t="str">
        <v>Completed</v>
      </c>
      <c r="AK417" s="8">
        <v>18020.0075</v>
      </c>
      <c r="AL417" s="8">
        <v>146.5</v>
      </c>
      <c r="AM417" s="6" t="str">
        <v>Tender Offer;Self-Tender</v>
      </c>
      <c r="AN417" s="8">
        <v>322</v>
      </c>
      <c r="AO417" s="6" t="str">
        <v>US - Activision Blizzard Inc, a developer and wholesaler of interactive entertainment software, completed its self-tender offer for up to 0.086 mil common shares, or 0.0001% of its common stock outstanding, for $27.5 in cash per share, or a total value of $2.363 mil. Originally, AB the offered up to 146.5 mil common shares, or 22.36% of its common stock outstanding.</v>
      </c>
    </row>
    <row r="418">
      <c r="A418" s="6" t="str">
        <v>38259P</v>
      </c>
      <c r="B418" s="6" t="str">
        <v>United States</v>
      </c>
      <c r="C418" s="6" t="str">
        <v>Google Inc</v>
      </c>
      <c r="D418" s="6" t="str">
        <v>Alphabet Inc</v>
      </c>
      <c r="F418" s="6" t="str">
        <v>United States</v>
      </c>
      <c r="G418" s="6" t="str">
        <v>Digg</v>
      </c>
      <c r="H418" s="6" t="str">
        <v>Business Services</v>
      </c>
      <c r="I418" s="6" t="str">
        <v>25339T</v>
      </c>
      <c r="J418" s="6" t="str">
        <v>Digg</v>
      </c>
      <c r="K418" s="6" t="str">
        <v>Digg</v>
      </c>
      <c r="L418" s="7">
        <f>=DATE(2008,7,22)</f>
        <v>39650.99949074074</v>
      </c>
      <c r="W418" s="6" t="str">
        <v>Programming Services;Internet Services &amp; Software</v>
      </c>
      <c r="X418" s="6" t="str">
        <v>Other Computer Related Svcs;Internet Services &amp; Software</v>
      </c>
      <c r="Y418" s="6" t="str">
        <v>Internet Services &amp; Software;Other Computer Related Svcs</v>
      </c>
      <c r="Z418" s="6" t="str">
        <v>Internet Services &amp; Software;Other Computer Related Svcs</v>
      </c>
      <c r="AA418" s="6" t="str">
        <v>Primary Business not Hi-Tech;Computer Consulting Services;Telecommunications Equipment;Internet Services &amp; Software;Programming Services</v>
      </c>
      <c r="AB418" s="6" t="str">
        <v>Programming Services;Internet Services &amp; Software;Computer Consulting Services;Primary Business not Hi-Tech;Telecommunications Equipment</v>
      </c>
      <c r="AH418" s="6" t="str">
        <v>False</v>
      </c>
      <c r="AJ418" s="6" t="str">
        <v>Dismissed Rumor</v>
      </c>
      <c r="AM418" s="6" t="str">
        <v>Rumored Deal</v>
      </c>
      <c r="AO418" s="6" t="str">
        <v>US - Google Inc was rumored to be in negotiations to acquire Digg, an owner and operator of websites. The Current status of this deal is unknown.</v>
      </c>
    </row>
    <row r="419">
      <c r="A419" s="6" t="str">
        <v>594918</v>
      </c>
      <c r="B419" s="6" t="str">
        <v>United States</v>
      </c>
      <c r="C419" s="6" t="str">
        <v>Microsoft Corp</v>
      </c>
      <c r="D419" s="6" t="str">
        <v>Microsoft Corp</v>
      </c>
      <c r="F419" s="6" t="str">
        <v>United States</v>
      </c>
      <c r="G419" s="6" t="str">
        <v>DATAllegro Inc</v>
      </c>
      <c r="H419" s="6" t="str">
        <v>Prepackaged Software</v>
      </c>
      <c r="I419" s="6" t="str">
        <v>23783P</v>
      </c>
      <c r="J419" s="6" t="str">
        <v>DATAllegro Inc</v>
      </c>
      <c r="K419" s="6" t="str">
        <v>DATAllegro Inc</v>
      </c>
      <c r="L419" s="7">
        <f>=DATE(2008,7,24)</f>
        <v>39652.99949074074</v>
      </c>
      <c r="M419" s="7">
        <f>=DATE(2008,9,16)</f>
        <v>39706.99949074074</v>
      </c>
      <c r="W419" s="6" t="str">
        <v>Applications Software(Business;Internet Services &amp; Software;Computer Consulting Services;Operating Systems;Monitors/Terminals;Other Peripherals</v>
      </c>
      <c r="X419" s="6" t="str">
        <v>Other Software (inq. Games)</v>
      </c>
      <c r="Y419" s="6" t="str">
        <v>Other Software (inq. Games)</v>
      </c>
      <c r="Z419" s="6" t="str">
        <v>Other Software (inq. Games)</v>
      </c>
      <c r="AA419" s="6" t="str">
        <v>Monitors/Terminals;Computer Consulting Services;Applications Software(Business;Other Peripherals;Internet Services &amp; Software;Operating Systems</v>
      </c>
      <c r="AB419" s="6" t="str">
        <v>Computer Consulting Services;Applications Software(Business;Internet Services &amp; Software;Other Peripherals;Monitors/Terminals;Operating Systems</v>
      </c>
      <c r="AH419" s="6" t="str">
        <v>False</v>
      </c>
      <c r="AI419" s="6" t="str">
        <v>2008</v>
      </c>
      <c r="AJ419" s="6" t="str">
        <v>Completed</v>
      </c>
      <c r="AM419" s="6" t="str">
        <v>Not Applicable</v>
      </c>
      <c r="AO419" s="6" t="str">
        <v>US - Microsoft Corp acquired DATAllegro Inc, a provider and developer of data warehouse appliance software. Terms were not disclosed.</v>
      </c>
    </row>
    <row r="420">
      <c r="A420" s="6" t="str">
        <v>38259P</v>
      </c>
      <c r="B420" s="6" t="str">
        <v>United States</v>
      </c>
      <c r="C420" s="6" t="str">
        <v>Google Inc</v>
      </c>
      <c r="D420" s="6" t="str">
        <v>Alphabet Inc</v>
      </c>
      <c r="F420" s="6" t="str">
        <v>Czech Republic</v>
      </c>
      <c r="G420" s="6" t="str">
        <v>Seznam.cz AS</v>
      </c>
      <c r="H420" s="6" t="str">
        <v>Business Services</v>
      </c>
      <c r="I420" s="6" t="str">
        <v>81142V</v>
      </c>
      <c r="J420" s="6" t="str">
        <v>Seznam.cz AS</v>
      </c>
      <c r="K420" s="6" t="str">
        <v>Seznam.cz AS</v>
      </c>
      <c r="L420" s="7">
        <f>=DATE(2008,7,28)</f>
        <v>39656.99949074074</v>
      </c>
      <c r="W420" s="6" t="str">
        <v>Programming Services;Internet Services &amp; Software</v>
      </c>
      <c r="X420" s="6" t="str">
        <v>Telecommunications Equipment;Internet Services &amp; Software;Computer Consulting Services</v>
      </c>
      <c r="Y420" s="6" t="str">
        <v>Computer Consulting Services;Telecommunications Equipment;Internet Services &amp; Software</v>
      </c>
      <c r="Z420" s="6" t="str">
        <v>Computer Consulting Services;Telecommunications Equipment;Internet Services &amp; Software</v>
      </c>
      <c r="AA420" s="6" t="str">
        <v>Internet Services &amp; Software;Primary Business not Hi-Tech;Programming Services;Computer Consulting Services;Telecommunications Equipment</v>
      </c>
      <c r="AB420" s="6" t="str">
        <v>Programming Services;Computer Consulting Services;Internet Services &amp; Software;Primary Business not Hi-Tech;Telecommunications Equipment</v>
      </c>
      <c r="AH420" s="6" t="str">
        <v>False</v>
      </c>
      <c r="AJ420" s="6" t="str">
        <v>Dismissed Rumor</v>
      </c>
      <c r="AM420" s="6" t="str">
        <v>Divestiture;Rumored Deal</v>
      </c>
      <c r="AO420" s="6" t="str">
        <v>CZECH REPUBLIC - Google Inc of the US was rumored to be planning to acquire Seznam.cz as, a Prague-based provider of Internet search engine services, from Spray Network AB, a unit of Lycos Europe NV. The Current status of this deal is unknown.</v>
      </c>
    </row>
    <row r="421">
      <c r="A421" s="6" t="str">
        <v>38259P</v>
      </c>
      <c r="B421" s="6" t="str">
        <v>United States</v>
      </c>
      <c r="C421" s="6" t="str">
        <v>Google Inc</v>
      </c>
      <c r="D421" s="6" t="str">
        <v>Alphabet Inc</v>
      </c>
      <c r="F421" s="6" t="str">
        <v>United States</v>
      </c>
      <c r="G421" s="6" t="str">
        <v>Omnisio Inc</v>
      </c>
      <c r="H421" s="6" t="str">
        <v>Business Services</v>
      </c>
      <c r="I421" s="6" t="str">
        <v>68327Y</v>
      </c>
      <c r="J421" s="6" t="str">
        <v>Omnisio Inc</v>
      </c>
      <c r="K421" s="6" t="str">
        <v>Omnisio Inc</v>
      </c>
      <c r="L421" s="7">
        <f>=DATE(2008,7,30)</f>
        <v>39658.99949074074</v>
      </c>
      <c r="M421" s="7">
        <f>=DATE(2008,7,30)</f>
        <v>39658.99949074074</v>
      </c>
      <c r="W421" s="6" t="str">
        <v>Programming Services;Internet Services &amp; Software</v>
      </c>
      <c r="X421" s="6" t="str">
        <v>Internet Services &amp; Software</v>
      </c>
      <c r="Y421" s="6" t="str">
        <v>Internet Services &amp; Software</v>
      </c>
      <c r="Z421" s="6" t="str">
        <v>Internet Services &amp; Software</v>
      </c>
      <c r="AA421" s="6" t="str">
        <v>Computer Consulting Services;Internet Services &amp; Software;Telecommunications Equipment;Primary Business not Hi-Tech;Programming Services</v>
      </c>
      <c r="AB421" s="6" t="str">
        <v>Telecommunications Equipment;Primary Business not Hi-Tech;Programming Services;Computer Consulting Services;Internet Services &amp; Software</v>
      </c>
      <c r="AH421" s="6" t="str">
        <v>False</v>
      </c>
      <c r="AI421" s="6" t="str">
        <v>2008</v>
      </c>
      <c r="AJ421" s="6" t="str">
        <v>Completed</v>
      </c>
      <c r="AM421" s="6" t="str">
        <v>Not Applicable</v>
      </c>
      <c r="AO421" s="6" t="str">
        <v>US - Google Inc acquired Omnisio Inc, a provider of online video hosting services. Terms were not disclosed, but according to sources close to the situation, the deal was valued at an estimated $15 mil in cash.</v>
      </c>
    </row>
    <row r="422">
      <c r="A422" s="6" t="str">
        <v>023135</v>
      </c>
      <c r="B422" s="6" t="str">
        <v>United States</v>
      </c>
      <c r="C422" s="6" t="str">
        <v>Amazon.com Inc</v>
      </c>
      <c r="D422" s="6" t="str">
        <v>Amazon.com Inc</v>
      </c>
      <c r="F422" s="6" t="str">
        <v>Canada</v>
      </c>
      <c r="G422" s="6" t="str">
        <v>AbeBooks Inc</v>
      </c>
      <c r="H422" s="6" t="str">
        <v>Miscellaneous Retail Trade</v>
      </c>
      <c r="I422" s="6" t="str">
        <v>00984N</v>
      </c>
      <c r="J422" s="6" t="str">
        <v>AbeBooks Inc</v>
      </c>
      <c r="K422" s="6" t="str">
        <v>AbeBooks Inc</v>
      </c>
      <c r="L422" s="7">
        <f>=DATE(2008,8,1)</f>
        <v>39660.99949074074</v>
      </c>
      <c r="M422" s="7">
        <f>=DATE(2008,12,1)</f>
        <v>39782.99949074074</v>
      </c>
      <c r="W422" s="6" t="str">
        <v>Primary Business not Hi-Tech</v>
      </c>
      <c r="X422" s="6" t="str">
        <v>Internet Services &amp; Software</v>
      </c>
      <c r="Y422" s="6" t="str">
        <v>Internet Services &amp; Software</v>
      </c>
      <c r="Z422" s="6" t="str">
        <v>Internet Services &amp; Software</v>
      </c>
      <c r="AA422" s="6" t="str">
        <v>Primary Business not Hi-Tech</v>
      </c>
      <c r="AB422" s="6" t="str">
        <v>Primary Business not Hi-Tech</v>
      </c>
      <c r="AH422" s="6" t="str">
        <v>True</v>
      </c>
      <c r="AI422" s="6" t="str">
        <v>2008</v>
      </c>
      <c r="AJ422" s="6" t="str">
        <v>Completed</v>
      </c>
      <c r="AM422" s="6" t="str">
        <v>Not Applicable</v>
      </c>
      <c r="AO422" s="6" t="str">
        <v>CANADA - Amazon.com Inc acquired AbeBooks Inc, a provider of ecommerce retail services. The transaction been subject to certain customary conditions and regulatory approval.</v>
      </c>
    </row>
    <row r="423">
      <c r="A423" s="6" t="str">
        <v>67020Y</v>
      </c>
      <c r="B423" s="6" t="str">
        <v>United States</v>
      </c>
      <c r="C423" s="6" t="str">
        <v>Nuance Communications Inc</v>
      </c>
      <c r="D423" s="6" t="str">
        <v>Nuance Communications Inc</v>
      </c>
      <c r="F423" s="6" t="str">
        <v>Canada</v>
      </c>
      <c r="G423" s="6" t="str">
        <v>Zi Corp</v>
      </c>
      <c r="H423" s="6" t="str">
        <v>Prepackaged Software</v>
      </c>
      <c r="I423" s="6" t="str">
        <v>988918</v>
      </c>
      <c r="J423" s="6" t="str">
        <v>Zi Corp</v>
      </c>
      <c r="K423" s="6" t="str">
        <v>Zi Corp</v>
      </c>
      <c r="L423" s="7">
        <f>=DATE(2008,8,14)</f>
        <v>39673.99949074074</v>
      </c>
      <c r="M423" s="7">
        <f>=DATE(2009,4,9)</f>
        <v>39911.99949074074</v>
      </c>
      <c r="N423" s="8">
        <v>47.5974752317034</v>
      </c>
      <c r="O423" s="8">
        <v>34.3408437200384</v>
      </c>
      <c r="P423" s="8" t="str">
        <v>32.21</v>
      </c>
      <c r="R423" s="8">
        <v>-6.44554048499795</v>
      </c>
      <c r="S423" s="8">
        <v>11.6415947390053</v>
      </c>
      <c r="U423" s="8">
        <v>1.014886024</v>
      </c>
      <c r="V423" s="8">
        <v>-2.82506766</v>
      </c>
      <c r="W423" s="6" t="str">
        <v>Networking Systems (LAN,WAN);Primary Business not Hi-Tech;Database Software/Programming;Applications Software(Business;Other Computer Related Svcs;Other Software (inq. Games);Computer Consulting Services;Communication/Network Software;Applications Software(Home);Programming Services;Internet Services &amp; Software;Desktop Publishing;Utilities/File Mgmt Software</v>
      </c>
      <c r="X423" s="6" t="str">
        <v>Communication/Network Software</v>
      </c>
      <c r="Y423" s="6" t="str">
        <v>Communication/Network Software</v>
      </c>
      <c r="Z423" s="6" t="str">
        <v>Communication/Network Software</v>
      </c>
      <c r="AA423" s="6" t="str">
        <v>Applications Software(Home);Database Software/Programming;Computer Consulting Services;Utilities/File Mgmt Software;Communication/Network Software;Applications Software(Business;Programming Services;Networking Systems (LAN,WAN);Internet Services &amp; Software;Primary Business not Hi-Tech;Other Software (inq. Games);Desktop Publishing;Other Computer Related Svcs</v>
      </c>
      <c r="AB423" s="6" t="str">
        <v>Desktop Publishing;Primary Business not Hi-Tech;Computer Consulting Services;Applications Software(Business;Internet Services &amp; Software;Programming Services;Utilities/File Mgmt Software;Other Computer Related Svcs;Communication/Network Software;Database Software/Programming;Other Software (inq. Games);Applications Software(Home);Networking Systems (LAN,WAN)</v>
      </c>
      <c r="AC423" s="8">
        <v>34.3408437200384</v>
      </c>
      <c r="AD423" s="7">
        <f>=DATE(2009,2,26)</f>
        <v>39869.99949074074</v>
      </c>
      <c r="AE423" s="8">
        <v>34.3354613694471</v>
      </c>
      <c r="AF423" s="8" t="str">
        <v>36.71</v>
      </c>
      <c r="AG423" s="8" t="str">
        <v>37.38</v>
      </c>
      <c r="AH423" s="6" t="str">
        <v>True</v>
      </c>
      <c r="AI423" s="6" t="str">
        <v>2009</v>
      </c>
      <c r="AJ423" s="6" t="str">
        <v>Completed</v>
      </c>
      <c r="AK423" s="8">
        <v>34.3354613694471</v>
      </c>
      <c r="AL423" s="8">
        <v>50.557957</v>
      </c>
      <c r="AM423" s="6" t="str">
        <v>Tender Offer;Financial Acquiror;Scheme of Arrangement;Tender/Merger;Unsolicited Deal</v>
      </c>
      <c r="AN423" s="8">
        <v>1.51089190300041</v>
      </c>
      <c r="AO423" s="6" t="str">
        <v>CANADA - Nuance Communications Inc (NC) of the US acquired the entire share capital of Zi Corp (ZC), a Calgary-based developer of mobile device intelligent interface software, for a sweetened CAD 42.981 mil (USD 34.308 mil). NC offered CAD 0.426 (USD 0.34) in cash per share and 0.037 common shares for every common ZC share. The offer was conditioned upon at least a majority of ZC's shares being tendered. Previously, NC offered an amended CAD 0.426 (USD 0.34) in cash per share, or a total value of CAD 21.538 mil (USD 20.225 mil). Originally, NC offered CAD 0.852 (USD 0.80) in cash, or a total value of CAD 43.075 mil (USD 40.45 mil). The transaction was approved by board of directors, and had been subject to customary closing condition and shareholders approval.</v>
      </c>
    </row>
    <row r="424">
      <c r="A424" s="6" t="str">
        <v>67020Y</v>
      </c>
      <c r="B424" s="6" t="str">
        <v>United States</v>
      </c>
      <c r="C424" s="6" t="str">
        <v>Nuance Communications Inc</v>
      </c>
      <c r="D424" s="6" t="str">
        <v>Nuance Communications Inc</v>
      </c>
      <c r="F424" s="6" t="str">
        <v>United States</v>
      </c>
      <c r="G424" s="6" t="str">
        <v>SNAPin Software Inc</v>
      </c>
      <c r="H424" s="6" t="str">
        <v>Prepackaged Software</v>
      </c>
      <c r="I424" s="6" t="str">
        <v>83708H</v>
      </c>
      <c r="J424" s="6" t="str">
        <v>SNAPin Software Inc</v>
      </c>
      <c r="K424" s="6" t="str">
        <v>SNAPin Software Inc</v>
      </c>
      <c r="L424" s="7">
        <f>=DATE(2008,8,19)</f>
        <v>39678.99949074074</v>
      </c>
      <c r="M424" s="7">
        <f>=DATE(2008,10,3)</f>
        <v>39723.99949074074</v>
      </c>
      <c r="N424" s="8">
        <v>180</v>
      </c>
      <c r="O424" s="8">
        <v>180</v>
      </c>
      <c r="P424" s="8" t="str">
        <v>180.00</v>
      </c>
      <c r="R424" s="8">
        <v>-10.098</v>
      </c>
      <c r="S424" s="8">
        <v>0.534</v>
      </c>
      <c r="T424" s="8">
        <v>6.291</v>
      </c>
      <c r="U424" s="8">
        <v>-0.36</v>
      </c>
      <c r="V424" s="8">
        <v>-8.905</v>
      </c>
      <c r="W424" s="6" t="str">
        <v>Database Software/Programming;Programming Services;Other Computer Related Svcs;Primary Business not Hi-Tech;Networking Systems (LAN,WAN);Applications Software(Home);Utilities/File Mgmt Software;Communication/Network Software;Applications Software(Business;Desktop Publishing;Other Software (inq. Games);Computer Consulting Services;Internet Services &amp; Software</v>
      </c>
      <c r="X424" s="6" t="str">
        <v>Communication/Network Software;Internet Services &amp; Software</v>
      </c>
      <c r="Y424" s="6" t="str">
        <v>Internet Services &amp; Software;Communication/Network Software</v>
      </c>
      <c r="Z424" s="6" t="str">
        <v>Internet Services &amp; Software;Communication/Network Software</v>
      </c>
      <c r="AA424" s="6" t="str">
        <v>Database Software/Programming;Utilities/File Mgmt Software;Communication/Network Software;Programming Services;Desktop Publishing;Networking Systems (LAN,WAN);Other Computer Related Svcs;Applications Software(Home);Applications Software(Business;Primary Business not Hi-Tech;Internet Services &amp; Software;Computer Consulting Services;Other Software (inq. Games)</v>
      </c>
      <c r="AB424" s="6" t="str">
        <v>Computer Consulting Services;Internet Services &amp; Software;Programming Services;Database Software/Programming;Other Software (inq. Games);Communication/Network Software;Primary Business not Hi-Tech;Applications Software(Home);Other Computer Related Svcs;Desktop Publishing;Utilities/File Mgmt Software;Applications Software(Business;Networking Systems (LAN,WAN)</v>
      </c>
      <c r="AC424" s="8">
        <v>180</v>
      </c>
      <c r="AD424" s="7">
        <f>=DATE(2008,8,19)</f>
        <v>39678.99949074074</v>
      </c>
      <c r="AF424" s="8" t="str">
        <v>180.00</v>
      </c>
      <c r="AG424" s="8" t="str">
        <v>180.00</v>
      </c>
      <c r="AH424" s="6" t="str">
        <v>True</v>
      </c>
      <c r="AI424" s="6" t="str">
        <v>2008</v>
      </c>
      <c r="AJ424" s="6" t="str">
        <v>Completed</v>
      </c>
      <c r="AM424" s="6" t="str">
        <v>Financial Acquiror</v>
      </c>
      <c r="AO424" s="6" t="str">
        <v>US - Nuance Communications Inc (NC) merged with SNAPin Software Inc, a developer of mobile software, for an estimated $180 mil in NC common shares and up to an undisclosed amount in profit-related payments. The transaction had been subject to customary closing conditions and regulatory approval.</v>
      </c>
    </row>
    <row r="425">
      <c r="A425" s="6" t="str">
        <v>023135</v>
      </c>
      <c r="B425" s="6" t="str">
        <v>United States</v>
      </c>
      <c r="C425" s="6" t="str">
        <v>Amazon.com Inc</v>
      </c>
      <c r="D425" s="6" t="str">
        <v>Amazon.com Inc</v>
      </c>
      <c r="F425" s="6" t="str">
        <v>United States</v>
      </c>
      <c r="G425" s="6" t="str">
        <v>Shelfari</v>
      </c>
      <c r="H425" s="6" t="str">
        <v>Business Services</v>
      </c>
      <c r="I425" s="6" t="str">
        <v>82251M</v>
      </c>
      <c r="J425" s="6" t="str">
        <v>Shelfari</v>
      </c>
      <c r="K425" s="6" t="str">
        <v>Shelfari</v>
      </c>
      <c r="L425" s="7">
        <f>=DATE(2008,8,26)</f>
        <v>39685.99949074074</v>
      </c>
      <c r="M425" s="7">
        <f>=DATE(2008,8,26)</f>
        <v>39685.99949074074</v>
      </c>
      <c r="W425" s="6" t="str">
        <v>Primary Business not Hi-Tech</v>
      </c>
      <c r="X425" s="6" t="str">
        <v>Internet Services &amp; Software</v>
      </c>
      <c r="Y425" s="6" t="str">
        <v>Internet Services &amp; Software</v>
      </c>
      <c r="Z425" s="6" t="str">
        <v>Internet Services &amp; Software</v>
      </c>
      <c r="AA425" s="6" t="str">
        <v>Primary Business not Hi-Tech</v>
      </c>
      <c r="AB425" s="6" t="str">
        <v>Primary Business not Hi-Tech</v>
      </c>
      <c r="AH425" s="6" t="str">
        <v>True</v>
      </c>
      <c r="AI425" s="6" t="str">
        <v>2008</v>
      </c>
      <c r="AJ425" s="6" t="str">
        <v>Completed</v>
      </c>
      <c r="AM425" s="6" t="str">
        <v>Not Applicable</v>
      </c>
      <c r="AO425" s="6" t="str">
        <v>US - Amazon.com Inc acquired the remaining undisclosed interest, which it did not already own, in Shelfari, a provider of online networking services. Terms were not disclosed.</v>
      </c>
    </row>
    <row r="426">
      <c r="A426" s="6" t="str">
        <v>22668P</v>
      </c>
      <c r="B426" s="6" t="str">
        <v>United States</v>
      </c>
      <c r="C426" s="6" t="str">
        <v>Crisp Acquisition Corp</v>
      </c>
      <c r="D426" s="6" t="str">
        <v>Microsoft Corp</v>
      </c>
      <c r="E426" s="6" t="str">
        <v>ZM Capital LP</v>
      </c>
      <c r="F426" s="6" t="str">
        <v>United States</v>
      </c>
      <c r="G426" s="6" t="str">
        <v>Greenfield Online Inc</v>
      </c>
      <c r="H426" s="6" t="str">
        <v>Business Services</v>
      </c>
      <c r="I426" s="6" t="str">
        <v>395150</v>
      </c>
      <c r="J426" s="6" t="str">
        <v>Greenfield Online Inc</v>
      </c>
      <c r="K426" s="6" t="str">
        <v>Greenfield Online Inc</v>
      </c>
      <c r="L426" s="7">
        <f>=DATE(2008,8,29)</f>
        <v>39688.99949074074</v>
      </c>
      <c r="M426" s="7">
        <f>=DATE(2008,10,24)</f>
        <v>39744.99949074074</v>
      </c>
      <c r="N426" s="8">
        <v>478.691</v>
      </c>
      <c r="O426" s="8">
        <v>478.691</v>
      </c>
      <c r="P426" s="8" t="str">
        <v>413.77</v>
      </c>
      <c r="R426" s="8">
        <v>9.854</v>
      </c>
      <c r="S426" s="8">
        <v>137.659</v>
      </c>
      <c r="T426" s="8">
        <v>3.219</v>
      </c>
      <c r="U426" s="8">
        <v>-21.537</v>
      </c>
      <c r="V426" s="8">
        <v>15.9</v>
      </c>
      <c r="W426" s="6" t="str">
        <v>Primary Business not Hi-Tech</v>
      </c>
      <c r="X426" s="6" t="str">
        <v>Internet Services &amp; Software</v>
      </c>
      <c r="Y426" s="6" t="str">
        <v>Internet Services &amp; Software</v>
      </c>
      <c r="Z426" s="6" t="str">
        <v>Internet Services &amp; Software</v>
      </c>
      <c r="AA426" s="6" t="str">
        <v>Operating Systems;Other Peripherals;Computer Consulting Services;Applications Software(Business;Monitors/Terminals;Internet Services &amp; Software</v>
      </c>
      <c r="AB426" s="6" t="str">
        <v>Operating Systems;Applications Software(Business;Other Peripherals;Monitors/Terminals;Internet Services &amp; Software;Computer Consulting Services</v>
      </c>
      <c r="AC426" s="8">
        <v>478.691</v>
      </c>
      <c r="AD426" s="7">
        <f>=DATE(2008,8,29)</f>
        <v>39688.99949074074</v>
      </c>
      <c r="AE426" s="8">
        <v>516.7755075</v>
      </c>
      <c r="AF426" s="8" t="str">
        <v>413.90</v>
      </c>
      <c r="AG426" s="8" t="str">
        <v>413.77</v>
      </c>
      <c r="AH426" s="6" t="str">
        <v>True</v>
      </c>
      <c r="AI426" s="6" t="str">
        <v>2008</v>
      </c>
      <c r="AJ426" s="6" t="str">
        <v>Completed</v>
      </c>
      <c r="AK426" s="8">
        <v>516.7755075</v>
      </c>
      <c r="AL426" s="8">
        <v>29.530029</v>
      </c>
      <c r="AM426" s="6" t="str">
        <v>Tender/Merger;Tender Offer</v>
      </c>
      <c r="AN426" s="8">
        <v>92.711</v>
      </c>
      <c r="AO426" s="6" t="str">
        <v>US - Crisp Acquisition Corp, a special purpose acquisition vehicle and a wholly-owned unit of Microsoft Corp, completed its tender offer to acquire all the outstanding common stock of Greenfield Online Inc (GO), a provider of online marketing research and survey research services, for $17.5 in cash per share, or a total value of $478.691 mil. The offer was conditioned upon at least a majority of GO's shares being tendered on a fully-diluted basis. The transaction had been subject to customary closing conditions, regulatory and stockholder approvals. Concurrently, ZM Capital LP planned to acquire the Internet survey solutions business of GO.</v>
      </c>
    </row>
    <row r="427">
      <c r="A427" s="6" t="str">
        <v>00507V</v>
      </c>
      <c r="B427" s="6" t="str">
        <v>United States</v>
      </c>
      <c r="C427" s="6" t="str">
        <v>Activision Blizzard Inc</v>
      </c>
      <c r="D427" s="6" t="str">
        <v>Vivendi SE</v>
      </c>
      <c r="F427" s="6" t="str">
        <v>United Kingdom</v>
      </c>
      <c r="G427" s="6" t="str">
        <v>Freestyle Games Ltd</v>
      </c>
      <c r="H427" s="6" t="str">
        <v>Prepackaged Software</v>
      </c>
      <c r="I427" s="6" t="str">
        <v>35686W</v>
      </c>
      <c r="J427" s="6" t="str">
        <v>Freestyle Games Ltd</v>
      </c>
      <c r="K427" s="6" t="str">
        <v>Freestyle Games Ltd</v>
      </c>
      <c r="L427" s="7">
        <f>=DATE(2008,9,12)</f>
        <v>39702.99949074074</v>
      </c>
      <c r="M427" s="7">
        <f>=DATE(2008,9,12)</f>
        <v>39702.99949074074</v>
      </c>
      <c r="W427" s="6" t="str">
        <v>Operating Systems;Other Computer Systems;Other Software (inq. Games)</v>
      </c>
      <c r="X427" s="6" t="str">
        <v>Other Software (inq. Games)</v>
      </c>
      <c r="Y427" s="6" t="str">
        <v>Other Software (inq. Games)</v>
      </c>
      <c r="Z427" s="6" t="str">
        <v>Other Software (inq. Games)</v>
      </c>
      <c r="AA427" s="6" t="str">
        <v>Other Software (inq. Games);Primary Business not Hi-Tech;Internet Services &amp; Software</v>
      </c>
      <c r="AB427" s="6" t="str">
        <v>Internet Services &amp; Software;Other Software (inq. Games);Primary Business not Hi-Tech</v>
      </c>
      <c r="AH427" s="6" t="str">
        <v>True</v>
      </c>
      <c r="AI427" s="6" t="str">
        <v>2008</v>
      </c>
      <c r="AJ427" s="6" t="str">
        <v>Completed</v>
      </c>
      <c r="AM427" s="6" t="str">
        <v>Not Applicable</v>
      </c>
      <c r="AO427" s="6" t="str">
        <v>UK - Activision Publishing Inc, a unit of Activision Blizzard Inc acquired entire share capital of Freestyle Games Ltd, a Leamington Spa-based developer of game software. Terms were not disclosed.</v>
      </c>
    </row>
    <row r="428">
      <c r="A428" s="6" t="str">
        <v>38259P</v>
      </c>
      <c r="B428" s="6" t="str">
        <v>United States</v>
      </c>
      <c r="C428" s="6" t="str">
        <v>Google Inc</v>
      </c>
      <c r="D428" s="6" t="str">
        <v>Alphabet Inc</v>
      </c>
      <c r="F428" s="6" t="str">
        <v>South Korea</v>
      </c>
      <c r="G428" s="6" t="str">
        <v>Tatter &amp; Co</v>
      </c>
      <c r="H428" s="6" t="str">
        <v>Telecommunications</v>
      </c>
      <c r="I428" s="6" t="str">
        <v>86640H</v>
      </c>
      <c r="J428" s="6" t="str">
        <v>Tatter &amp; Co</v>
      </c>
      <c r="K428" s="6" t="str">
        <v>Tatter &amp; Co</v>
      </c>
      <c r="L428" s="7">
        <f>=DATE(2008,9,12)</f>
        <v>39702.99949074074</v>
      </c>
      <c r="M428" s="7">
        <f>=DATE(2009,2,23)</f>
        <v>39866.99949074074</v>
      </c>
      <c r="W428" s="6" t="str">
        <v>Programming Services;Internet Services &amp; Software</v>
      </c>
      <c r="X428" s="6" t="str">
        <v>Internet Services &amp; Software</v>
      </c>
      <c r="Y428" s="6" t="str">
        <v>Internet Services &amp; Software</v>
      </c>
      <c r="Z428" s="6" t="str">
        <v>Internet Services &amp; Software</v>
      </c>
      <c r="AA428" s="6" t="str">
        <v>Telecommunications Equipment;Programming Services;Computer Consulting Services;Primary Business not Hi-Tech;Internet Services &amp; Software</v>
      </c>
      <c r="AB428" s="6" t="str">
        <v>Computer Consulting Services;Programming Services;Primary Business not Hi-Tech;Internet Services &amp; Software;Telecommunications Equipment</v>
      </c>
      <c r="AH428" s="6" t="str">
        <v>False</v>
      </c>
      <c r="AI428" s="6" t="str">
        <v>2009</v>
      </c>
      <c r="AJ428" s="6" t="str">
        <v>Completed</v>
      </c>
      <c r="AM428" s="6" t="str">
        <v>Not Applicable</v>
      </c>
      <c r="AO428" s="6" t="str">
        <v>SOUTH KOREA - Google Inc acquired Tatter &amp; Co, a blogging platform services provider. Terms were not disclosed.</v>
      </c>
    </row>
    <row r="429">
      <c r="A429" s="6" t="str">
        <v>594918</v>
      </c>
      <c r="B429" s="6" t="str">
        <v>United States</v>
      </c>
      <c r="C429" s="6" t="str">
        <v>Microsoft Corp</v>
      </c>
      <c r="D429" s="6" t="str">
        <v>Microsoft Corp</v>
      </c>
      <c r="F429" s="6" t="str">
        <v>United States</v>
      </c>
      <c r="G429" s="6" t="str">
        <v>Microsoft Corp</v>
      </c>
      <c r="H429" s="6" t="str">
        <v>Prepackaged Software</v>
      </c>
      <c r="I429" s="6" t="str">
        <v>594918</v>
      </c>
      <c r="J429" s="6" t="str">
        <v>Microsoft Corp</v>
      </c>
      <c r="K429" s="6" t="str">
        <v>Microsoft Corp</v>
      </c>
      <c r="L429" s="7">
        <f>=DATE(2008,9,22)</f>
        <v>39712.99949074074</v>
      </c>
      <c r="N429" s="8">
        <v>40000</v>
      </c>
      <c r="O429" s="8">
        <v>40000</v>
      </c>
      <c r="R429" s="8">
        <v>17681</v>
      </c>
      <c r="S429" s="8">
        <v>60420</v>
      </c>
      <c r="T429" s="8">
        <v>-12934</v>
      </c>
      <c r="U429" s="8">
        <v>-4587</v>
      </c>
      <c r="V429" s="8">
        <v>21612</v>
      </c>
      <c r="W429" s="6" t="str">
        <v>Other Peripherals;Computer Consulting Services;Monitors/Terminals;Internet Services &amp; Software;Operating Systems;Applications Software(Business</v>
      </c>
      <c r="X429" s="6" t="str">
        <v>Applications Software(Business;Internet Services &amp; Software;Operating Systems;Computer Consulting Services;Other Peripherals;Monitors/Terminals</v>
      </c>
      <c r="Y429" s="6" t="str">
        <v>Other Peripherals;Internet Services &amp; Software;Computer Consulting Services;Monitors/Terminals;Operating Systems;Applications Software(Business</v>
      </c>
      <c r="Z429" s="6" t="str">
        <v>Internet Services &amp; Software;Computer Consulting Services;Other Peripherals;Operating Systems;Applications Software(Business;Monitors/Terminals</v>
      </c>
      <c r="AA429" s="6" t="str">
        <v>Operating Systems;Applications Software(Business;Other Peripherals;Computer Consulting Services;Monitors/Terminals;Internet Services &amp; Software</v>
      </c>
      <c r="AB429" s="6" t="str">
        <v>Other Peripherals;Computer Consulting Services;Applications Software(Business;Operating Systems;Internet Services &amp; Software;Monitors/Terminals</v>
      </c>
      <c r="AC429" s="8">
        <v>40000</v>
      </c>
      <c r="AD429" s="7">
        <f>=DATE(2008,9,22)</f>
        <v>39712.99949074074</v>
      </c>
      <c r="AH429" s="6" t="str">
        <v>True</v>
      </c>
      <c r="AJ429" s="6" t="str">
        <v>Withdrawn</v>
      </c>
      <c r="AM429" s="6" t="str">
        <v>Repurchase;Open Market Purchase</v>
      </c>
      <c r="AN429" s="8">
        <v>14081</v>
      </c>
      <c r="AO429" s="6" t="str">
        <v>US - On 22 September 2008, the board of Microsoft Corp, a Redmond-based developer and wholesaler of computer software, authorized the repurchase of up to USD 40 bil of the company's entire share capital in open market or negotiated transactions. As of June 30, 2013, the company had purchased 1.209 bil shares at a total cost of USD 32.005 bil. The program was replaced in September 2013.</v>
      </c>
    </row>
    <row r="430">
      <c r="A430" s="6" t="str">
        <v>67020Y</v>
      </c>
      <c r="B430" s="6" t="str">
        <v>United States</v>
      </c>
      <c r="C430" s="6" t="str">
        <v>Nuance Communications Inc</v>
      </c>
      <c r="D430" s="6" t="str">
        <v>Nuance Communications Inc</v>
      </c>
      <c r="F430" s="6" t="str">
        <v>Netherlands</v>
      </c>
      <c r="G430" s="6" t="str">
        <v>Koninklijke Philips Electronics NV-Philps Speech Recognition</v>
      </c>
      <c r="H430" s="6" t="str">
        <v>Prepackaged Software</v>
      </c>
      <c r="I430" s="6" t="str">
        <v>50645C</v>
      </c>
      <c r="J430" s="6" t="str">
        <v>Koninklijke Philips Electronics NV</v>
      </c>
      <c r="K430" s="6" t="str">
        <v>Koninklijke Philips Electronics NV</v>
      </c>
      <c r="L430" s="7">
        <f>=DATE(2008,10,1)</f>
        <v>39721.99949074074</v>
      </c>
      <c r="M430" s="7">
        <f>=DATE(2008,10,1)</f>
        <v>39721.99949074074</v>
      </c>
      <c r="N430" s="8">
        <v>92.5250939269893</v>
      </c>
      <c r="O430" s="8">
        <v>92.5250939269893</v>
      </c>
      <c r="W430" s="6" t="str">
        <v>Internet Services &amp; Software;Primary Business not Hi-Tech;Programming Services;Desktop Publishing;Other Software (inq. Games);Communication/Network Software;Utilities/File Mgmt Software;Applications Software(Home);Other Computer Related Svcs;Applications Software(Business;Computer Consulting Services;Networking Systems (LAN,WAN);Database Software/Programming</v>
      </c>
      <c r="X430" s="6" t="str">
        <v>Internet Services &amp; Software;Other Software (inq. Games)</v>
      </c>
      <c r="Y430" s="6" t="str">
        <v>Medical Imaging Systems;Other Electronics;Other Telecommunications Equip;Medical Monitoring Systems</v>
      </c>
      <c r="Z430" s="6" t="str">
        <v>Medical Monitoring Systems;Other Telecommunications Equip;Medical Imaging Systems;Other Electronics</v>
      </c>
      <c r="AA430" s="6" t="str">
        <v>Utilities/File Mgmt Software;Primary Business not Hi-Tech;Applications Software(Home);Applications Software(Business;Communication/Network Software;Internet Services &amp; Software;Other Computer Related Svcs;Other Software (inq. Games);Desktop Publishing;Networking Systems (LAN,WAN);Database Software/Programming;Computer Consulting Services;Programming Services</v>
      </c>
      <c r="AB430" s="6" t="str">
        <v>Primary Business not Hi-Tech;Other Software (inq. Games);Applications Software(Business;Utilities/File Mgmt Software;Database Software/Programming;Computer Consulting Services;Programming Services;Other Computer Related Svcs;Communication/Network Software;Desktop Publishing;Applications Software(Home);Internet Services &amp; Software;Networking Systems (LAN,WAN)</v>
      </c>
      <c r="AC430" s="8">
        <v>92.5250939269893</v>
      </c>
      <c r="AD430" s="7">
        <f>=DATE(2008,10,1)</f>
        <v>39721.99949074074</v>
      </c>
      <c r="AH430" s="6" t="str">
        <v>False</v>
      </c>
      <c r="AI430" s="6" t="str">
        <v>2008</v>
      </c>
      <c r="AJ430" s="6" t="str">
        <v>Completed</v>
      </c>
      <c r="AM430" s="6" t="str">
        <v>Divestiture;Financial Acquiror</v>
      </c>
      <c r="AO430" s="6" t="str">
        <v>NETHERLANDS - Nuance Communications Inc acquired the Philips speech recognition business of Koninklijke Philips Electronics NV, an Amsterdam-based manufacturer and wholesaler of entertainment products for 66 mil euros ($92.51 mil US).</v>
      </c>
    </row>
    <row r="431">
      <c r="A431" s="6" t="str">
        <v>594918</v>
      </c>
      <c r="B431" s="6" t="str">
        <v>United States</v>
      </c>
      <c r="C431" s="6" t="str">
        <v>Microsoft Corp</v>
      </c>
      <c r="D431" s="6" t="str">
        <v>Microsoft Corp</v>
      </c>
      <c r="F431" s="6" t="str">
        <v>China (Mainland)</v>
      </c>
      <c r="G431" s="6" t="str">
        <v>Surpassing Technologies Inc- Core Software Assets</v>
      </c>
      <c r="H431" s="6" t="str">
        <v>Prepackaged Software</v>
      </c>
      <c r="I431" s="6" t="str">
        <v>88532L</v>
      </c>
      <c r="J431" s="6" t="str">
        <v>Surpassing Technologies Inc</v>
      </c>
      <c r="K431" s="6" t="str">
        <v>Surpassing Technologies Inc</v>
      </c>
      <c r="L431" s="7">
        <f>=DATE(2008,10,10)</f>
        <v>39730.99949074074</v>
      </c>
      <c r="M431" s="7">
        <f>=DATE(2008,10,10)</f>
        <v>39730.99949074074</v>
      </c>
      <c r="W431" s="6" t="str">
        <v>Internet Services &amp; Software;Operating Systems;Other Peripherals;Computer Consulting Services;Applications Software(Business;Monitors/Terminals</v>
      </c>
      <c r="X431" s="6" t="str">
        <v>Medical Monitoring Systems;Medical Imaging Systems;Other Software (inq. Games)</v>
      </c>
      <c r="Y431" s="6" t="str">
        <v>Medical Monitoring Systems;Medical Imaging Systems;Other Software (inq. Games)</v>
      </c>
      <c r="Z431" s="6" t="str">
        <v>Medical Imaging Systems;Other Software (inq. Games);Medical Monitoring Systems</v>
      </c>
      <c r="AA431" s="6" t="str">
        <v>Other Peripherals;Computer Consulting Services;Operating Systems;Internet Services &amp; Software;Applications Software(Business;Monitors/Terminals</v>
      </c>
      <c r="AB431" s="6" t="str">
        <v>Applications Software(Business;Internet Services &amp; Software;Other Peripherals;Computer Consulting Services;Operating Systems;Monitors/Terminals</v>
      </c>
      <c r="AH431" s="6" t="str">
        <v>False</v>
      </c>
      <c r="AI431" s="6" t="str">
        <v>2008</v>
      </c>
      <c r="AJ431" s="6" t="str">
        <v>Completed</v>
      </c>
      <c r="AM431" s="6" t="str">
        <v>Divestiture</v>
      </c>
      <c r="AO431" s="6" t="str">
        <v>CHINA - Microsoft Corp acquired the core software assets of Surpassing Technologies Inc, a medical imaging solutions developer. Terms were not disclosed.</v>
      </c>
    </row>
    <row r="432">
      <c r="A432" s="6" t="str">
        <v>023135</v>
      </c>
      <c r="B432" s="6" t="str">
        <v>United States</v>
      </c>
      <c r="C432" s="6" t="str">
        <v>Amazon.com Inc</v>
      </c>
      <c r="D432" s="6" t="str">
        <v>Amazon.com Inc</v>
      </c>
      <c r="F432" s="6" t="str">
        <v>United States</v>
      </c>
      <c r="G432" s="6" t="str">
        <v>Reflexive Entertainment</v>
      </c>
      <c r="H432" s="6" t="str">
        <v>Prepackaged Software</v>
      </c>
      <c r="I432" s="6" t="str">
        <v>76426N</v>
      </c>
      <c r="J432" s="6" t="str">
        <v>Reflexive Entertainment</v>
      </c>
      <c r="K432" s="6" t="str">
        <v>Reflexive Entertainment</v>
      </c>
      <c r="L432" s="7">
        <f>=DATE(2008,10,20)</f>
        <v>39740.99949074074</v>
      </c>
      <c r="M432" s="7">
        <f>=DATE(2008,10,20)</f>
        <v>39740.99949074074</v>
      </c>
      <c r="W432" s="6" t="str">
        <v>Primary Business not Hi-Tech</v>
      </c>
      <c r="X432" s="6" t="str">
        <v>Other Software (inq. Games)</v>
      </c>
      <c r="Y432" s="6" t="str">
        <v>Other Software (inq. Games)</v>
      </c>
      <c r="Z432" s="6" t="str">
        <v>Other Software (inq. Games)</v>
      </c>
      <c r="AA432" s="6" t="str">
        <v>Primary Business not Hi-Tech</v>
      </c>
      <c r="AB432" s="6" t="str">
        <v>Primary Business not Hi-Tech</v>
      </c>
      <c r="AH432" s="6" t="str">
        <v>True</v>
      </c>
      <c r="AI432" s="6" t="str">
        <v>2008</v>
      </c>
      <c r="AJ432" s="6" t="str">
        <v>Completed</v>
      </c>
      <c r="AM432" s="6" t="str">
        <v>Not Applicable</v>
      </c>
      <c r="AO432" s="6" t="str">
        <v>US - Amazon.com Inc acquired Reflexive Entertainment, a Lake Forest-based developer of gaming software.</v>
      </c>
    </row>
    <row r="433">
      <c r="A433" s="6" t="str">
        <v>05896Z</v>
      </c>
      <c r="B433" s="6" t="str">
        <v>United States</v>
      </c>
      <c r="C433" s="6" t="str">
        <v>Avenue A Razorfish</v>
      </c>
      <c r="D433" s="6" t="str">
        <v>Microsoft Corp</v>
      </c>
      <c r="F433" s="6" t="str">
        <v>Spain</v>
      </c>
      <c r="G433" s="6" t="str">
        <v>Wysiwyg SL</v>
      </c>
      <c r="H433" s="6" t="str">
        <v>Miscellaneous Retail Trade</v>
      </c>
      <c r="I433" s="6" t="str">
        <v>93246Q</v>
      </c>
      <c r="J433" s="6" t="str">
        <v>Wysiwyg SL</v>
      </c>
      <c r="K433" s="6" t="str">
        <v>Wysiwyg SL</v>
      </c>
      <c r="L433" s="7">
        <f>=DATE(2008,11,1)</f>
        <v>39752.99949074074</v>
      </c>
      <c r="M433" s="7">
        <f>=DATE(2008,11,1)</f>
        <v>39752.99949074074</v>
      </c>
      <c r="W433" s="6" t="str">
        <v>Primary Business not Hi-Tech</v>
      </c>
      <c r="X433" s="6" t="str">
        <v>Internet Services &amp; Software</v>
      </c>
      <c r="Y433" s="6" t="str">
        <v>Internet Services &amp; Software</v>
      </c>
      <c r="Z433" s="6" t="str">
        <v>Internet Services &amp; Software</v>
      </c>
      <c r="AA433" s="6" t="str">
        <v>Internet Services &amp; Software</v>
      </c>
      <c r="AB433" s="6" t="str">
        <v>Operating Systems;Computer Consulting Services;Monitors/Terminals;Applications Software(Business;Other Peripherals;Internet Services &amp; Software</v>
      </c>
      <c r="AH433" s="6" t="str">
        <v>False</v>
      </c>
      <c r="AI433" s="6" t="str">
        <v>2008</v>
      </c>
      <c r="AJ433" s="6" t="str">
        <v>Completed</v>
      </c>
      <c r="AM433" s="6" t="str">
        <v>Not Applicable</v>
      </c>
      <c r="AO433" s="6" t="str">
        <v>SPAIN - Avenue A Razorfish of the US, a unit of Microsoft Corp's aQuantive Inc subsidiary, acquired Wysiwyg SL, a Madrid-based provider of ecommerce retail services. Terms were not disclosed.</v>
      </c>
    </row>
    <row r="434">
      <c r="A434" s="6" t="str">
        <v>00507V</v>
      </c>
      <c r="B434" s="6" t="str">
        <v>United States</v>
      </c>
      <c r="C434" s="6" t="str">
        <v>Activision Blizzard Inc</v>
      </c>
      <c r="D434" s="6" t="str">
        <v>Vivendi SE</v>
      </c>
      <c r="F434" s="6" t="str">
        <v>United States</v>
      </c>
      <c r="G434" s="6" t="str">
        <v>Activision Blizzard Inc</v>
      </c>
      <c r="H434" s="6" t="str">
        <v>Prepackaged Software</v>
      </c>
      <c r="I434" s="6" t="str">
        <v>00507V</v>
      </c>
      <c r="J434" s="6" t="str">
        <v>Vivendi SE</v>
      </c>
      <c r="K434" s="6" t="str">
        <v>Vivendi SE</v>
      </c>
      <c r="L434" s="7">
        <f>=DATE(2008,11,5)</f>
        <v>39756.99949074074</v>
      </c>
      <c r="N434" s="8">
        <v>1000</v>
      </c>
      <c r="O434" s="8">
        <v>1000</v>
      </c>
      <c r="R434" s="8">
        <v>227</v>
      </c>
      <c r="S434" s="8">
        <v>1349</v>
      </c>
      <c r="T434" s="8">
        <v>-371</v>
      </c>
      <c r="U434" s="8">
        <v>-68</v>
      </c>
      <c r="V434" s="8">
        <v>431</v>
      </c>
      <c r="W434" s="6" t="str">
        <v>Other Software (inq. Games);Operating Systems;Other Computer Systems</v>
      </c>
      <c r="X434" s="6" t="str">
        <v>Other Software (inq. Games);Operating Systems;Other Computer Systems</v>
      </c>
      <c r="Y434" s="6" t="str">
        <v>Internet Services &amp; Software;Other Software (inq. Games);Primary Business not Hi-Tech</v>
      </c>
      <c r="Z434" s="6" t="str">
        <v>Primary Business not Hi-Tech;Internet Services &amp; Software;Other Software (inq. Games)</v>
      </c>
      <c r="AA434" s="6" t="str">
        <v>Internet Services &amp; Software;Other Software (inq. Games);Primary Business not Hi-Tech</v>
      </c>
      <c r="AB434" s="6" t="str">
        <v>Other Software (inq. Games);Primary Business not Hi-Tech;Internet Services &amp; Software</v>
      </c>
      <c r="AC434" s="8">
        <v>1000</v>
      </c>
      <c r="AD434" s="7">
        <f>=DATE(2008,11,5)</f>
        <v>39756.99949074074</v>
      </c>
      <c r="AH434" s="6" t="str">
        <v>True</v>
      </c>
      <c r="AJ434" s="6" t="str">
        <v>Intended</v>
      </c>
      <c r="AM434" s="6" t="str">
        <v>Privately Negotiated Purchase;Repurchase;Open Market Purchase</v>
      </c>
      <c r="AN434" s="8">
        <v>322</v>
      </c>
      <c r="AO434" s="6" t="str">
        <v>US - In November 2008, the board of Activision Blizzard Inc, a developer and wholesaler of interactive software, authorized the repurchase of up to $1 bil of common stock in open market or privately negotiated transactions.</v>
      </c>
    </row>
    <row r="435">
      <c r="A435" s="6" t="str">
        <v>594918</v>
      </c>
      <c r="B435" s="6" t="str">
        <v>United States</v>
      </c>
      <c r="C435" s="6" t="str">
        <v>Microsoft Corp</v>
      </c>
      <c r="D435" s="6" t="str">
        <v>Microsoft Corp</v>
      </c>
      <c r="F435" s="6" t="str">
        <v>United States</v>
      </c>
      <c r="G435" s="6" t="str">
        <v>Yahoo! Inc</v>
      </c>
      <c r="H435" s="6" t="str">
        <v>Business Services</v>
      </c>
      <c r="I435" s="6" t="str">
        <v>984332</v>
      </c>
      <c r="J435" s="6" t="str">
        <v>Yahoo! Inc</v>
      </c>
      <c r="K435" s="6" t="str">
        <v>Yahoo! Inc</v>
      </c>
      <c r="L435" s="7">
        <f>=DATE(2008,11,6)</f>
        <v>39757.99949074074</v>
      </c>
      <c r="R435" s="8">
        <v>933.449</v>
      </c>
      <c r="S435" s="8">
        <v>7234.111</v>
      </c>
      <c r="T435" s="8">
        <v>31.229</v>
      </c>
      <c r="U435" s="8">
        <v>-1524.337</v>
      </c>
      <c r="V435" s="8">
        <v>2181.118</v>
      </c>
      <c r="W435" s="6" t="str">
        <v>Operating Systems;Other Peripherals;Monitors/Terminals;Internet Services &amp; Software;Applications Software(Business;Computer Consulting Services</v>
      </c>
      <c r="X435" s="6" t="str">
        <v>Internet Services &amp; Software</v>
      </c>
      <c r="Y435" s="6" t="str">
        <v>Internet Services &amp; Software</v>
      </c>
      <c r="Z435" s="6" t="str">
        <v>Internet Services &amp; Software</v>
      </c>
      <c r="AA435" s="6" t="str">
        <v>Other Peripherals;Internet Services &amp; Software;Computer Consulting Services;Applications Software(Business;Monitors/Terminals;Operating Systems</v>
      </c>
      <c r="AB435" s="6" t="str">
        <v>Other Peripherals;Applications Software(Business;Computer Consulting Services;Operating Systems;Monitors/Terminals;Internet Services &amp; Software</v>
      </c>
      <c r="AH435" s="6" t="str">
        <v>True</v>
      </c>
      <c r="AJ435" s="6" t="str">
        <v>Dismissed Rumor</v>
      </c>
      <c r="AL435" s="8">
        <v>1385.789773</v>
      </c>
      <c r="AM435" s="6" t="str">
        <v>Rumored Deal</v>
      </c>
      <c r="AN435" s="8">
        <v>4594.911</v>
      </c>
      <c r="AO435" s="6" t="str">
        <v>US - Microsoft Corp was had been rumored to be planning to acquire all the outstanding common stock of Yahoo! Inc, a provider of Internet search engine services.</v>
      </c>
    </row>
    <row r="436">
      <c r="A436" s="6" t="str">
        <v>00507V</v>
      </c>
      <c r="B436" s="6" t="str">
        <v>United States</v>
      </c>
      <c r="C436" s="6" t="str">
        <v>Activision Blizzard Inc</v>
      </c>
      <c r="D436" s="6" t="str">
        <v>Vivendi SE</v>
      </c>
      <c r="F436" s="6" t="str">
        <v>United States</v>
      </c>
      <c r="G436" s="6" t="str">
        <v>Budcat Creations</v>
      </c>
      <c r="H436" s="6" t="str">
        <v>Prepackaged Software</v>
      </c>
      <c r="I436" s="6" t="str">
        <v>11882T</v>
      </c>
      <c r="J436" s="6" t="str">
        <v>Budcat Creations</v>
      </c>
      <c r="K436" s="6" t="str">
        <v>Budcat Creations</v>
      </c>
      <c r="L436" s="7">
        <f>=DATE(2008,11,10)</f>
        <v>39761.99949074074</v>
      </c>
      <c r="M436" s="7">
        <f>=DATE(2008,11,10)</f>
        <v>39761.99949074074</v>
      </c>
      <c r="S436" s="8">
        <v>0.251</v>
      </c>
      <c r="W436" s="6" t="str">
        <v>Operating Systems;Other Computer Systems;Other Software (inq. Games)</v>
      </c>
      <c r="X436" s="6" t="str">
        <v>Other Software (inq. Games);Applications Software(Home)</v>
      </c>
      <c r="Y436" s="6" t="str">
        <v>Applications Software(Home);Other Software (inq. Games)</v>
      </c>
      <c r="Z436" s="6" t="str">
        <v>Other Software (inq. Games);Applications Software(Home)</v>
      </c>
      <c r="AA436" s="6" t="str">
        <v>Primary Business not Hi-Tech;Other Software (inq. Games);Internet Services &amp; Software</v>
      </c>
      <c r="AB436" s="6" t="str">
        <v>Internet Services &amp; Software;Other Software (inq. Games);Primary Business not Hi-Tech</v>
      </c>
      <c r="AH436" s="6" t="str">
        <v>True</v>
      </c>
      <c r="AI436" s="6" t="str">
        <v>2008</v>
      </c>
      <c r="AJ436" s="6" t="str">
        <v>Completed</v>
      </c>
      <c r="AM436" s="6" t="str">
        <v>Not Applicable</v>
      </c>
      <c r="AO436" s="6" t="str">
        <v>US - Activision Blizzard Inc acquired Budcat Creations, a developer of game software.</v>
      </c>
    </row>
    <row r="437">
      <c r="A437" s="6" t="str">
        <v>30303M</v>
      </c>
      <c r="B437" s="6" t="str">
        <v>United States</v>
      </c>
      <c r="C437" s="6" t="str">
        <v>Facebook Inc</v>
      </c>
      <c r="D437" s="6" t="str">
        <v>Facebook Inc</v>
      </c>
      <c r="F437" s="6" t="str">
        <v>United States</v>
      </c>
      <c r="G437" s="6" t="str">
        <v>Twitter Inc</v>
      </c>
      <c r="H437" s="6" t="str">
        <v>Business Services</v>
      </c>
      <c r="I437" s="6" t="str">
        <v>90184L</v>
      </c>
      <c r="J437" s="6" t="str">
        <v>Twitter Inc</v>
      </c>
      <c r="K437" s="6" t="str">
        <v>Twitter Inc</v>
      </c>
      <c r="L437" s="7">
        <f>=DATE(2008,11,25)</f>
        <v>39776.99949074074</v>
      </c>
      <c r="W437" s="6" t="str">
        <v>Internet Services &amp; Software</v>
      </c>
      <c r="X437" s="6" t="str">
        <v>Internet Services &amp; Software</v>
      </c>
      <c r="Y437" s="6" t="str">
        <v>Internet Services &amp; Software</v>
      </c>
      <c r="Z437" s="6" t="str">
        <v>Internet Services &amp; Software</v>
      </c>
      <c r="AA437" s="6" t="str">
        <v>Internet Services &amp; Software</v>
      </c>
      <c r="AB437" s="6" t="str">
        <v>Internet Services &amp; Software</v>
      </c>
      <c r="AH437" s="6" t="str">
        <v>False</v>
      </c>
      <c r="AJ437" s="6" t="str">
        <v>Dismissed Rumor</v>
      </c>
      <c r="AM437" s="6" t="str">
        <v>Rumored Deal;Financial Acquiror</v>
      </c>
      <c r="AO437" s="6" t="str">
        <v>US - Facebook Inc discontinued rumors that it was planning to acquire Twitter Inc, a San Francisco-based provider of social networking services.</v>
      </c>
    </row>
    <row r="438">
      <c r="A438" s="6" t="str">
        <v>594918</v>
      </c>
      <c r="B438" s="6" t="str">
        <v>United States</v>
      </c>
      <c r="C438" s="6" t="str">
        <v>Microsoft Corp</v>
      </c>
      <c r="D438" s="6" t="str">
        <v>Microsoft Corp</v>
      </c>
      <c r="F438" s="6" t="str">
        <v>United States</v>
      </c>
      <c r="G438" s="6" t="str">
        <v>Yahoo! Inc-Online Search Business</v>
      </c>
      <c r="H438" s="6" t="str">
        <v>Business Services</v>
      </c>
      <c r="I438" s="6" t="str">
        <v>98680C</v>
      </c>
      <c r="J438" s="6" t="str">
        <v>Yahoo! Inc</v>
      </c>
      <c r="K438" s="6" t="str">
        <v>Yahoo! Inc</v>
      </c>
      <c r="L438" s="7">
        <f>=DATE(2008,11,30)</f>
        <v>39781.99949074074</v>
      </c>
      <c r="W438" s="6" t="str">
        <v>Internet Services &amp; Software;Other Peripherals;Monitors/Terminals;Computer Consulting Services;Operating Systems;Applications Software(Business</v>
      </c>
      <c r="X438" s="6" t="str">
        <v>Internet Services &amp; Software</v>
      </c>
      <c r="Y438" s="6" t="str">
        <v>Internet Services &amp; Software</v>
      </c>
      <c r="Z438" s="6" t="str">
        <v>Internet Services &amp; Software</v>
      </c>
      <c r="AA438" s="6" t="str">
        <v>Applications Software(Business;Internet Services &amp; Software;Monitors/Terminals;Other Peripherals;Operating Systems;Computer Consulting Services</v>
      </c>
      <c r="AB438" s="6" t="str">
        <v>Operating Systems;Computer Consulting Services;Other Peripherals;Internet Services &amp; Software;Applications Software(Business;Monitors/Terminals</v>
      </c>
      <c r="AH438" s="6" t="str">
        <v>False</v>
      </c>
      <c r="AJ438" s="6" t="str">
        <v>Dismissed Rumor</v>
      </c>
      <c r="AM438" s="6" t="str">
        <v>Divestiture;Rumored Deal</v>
      </c>
      <c r="AO438" s="6" t="str">
        <v>US - Microsoft Corp discontinued rumors to be planning to acquire the online search business of Yahoo! Inc, a provider of Internet search engine services.</v>
      </c>
    </row>
    <row r="439">
      <c r="A439" s="6" t="str">
        <v>037833</v>
      </c>
      <c r="B439" s="6" t="str">
        <v>United States</v>
      </c>
      <c r="C439" s="6" t="str">
        <v>Apple Inc</v>
      </c>
      <c r="D439" s="6" t="str">
        <v>Apple Inc</v>
      </c>
      <c r="F439" s="6" t="str">
        <v>United Kingdom</v>
      </c>
      <c r="G439" s="6" t="str">
        <v>Imagination Technologies Group PLC</v>
      </c>
      <c r="H439" s="6" t="str">
        <v>Electronic and Electrical Equipment</v>
      </c>
      <c r="I439" s="6" t="str">
        <v>45281C</v>
      </c>
      <c r="J439" s="6" t="str">
        <v>Imagination Technologies Group PLC</v>
      </c>
      <c r="K439" s="6" t="str">
        <v>Imagination Technologies Group PLC</v>
      </c>
      <c r="L439" s="7">
        <f>=DATE(2008,12,18)</f>
        <v>39799.99949074074</v>
      </c>
      <c r="M439" s="7">
        <f>=DATE(2008,12,18)</f>
        <v>39799.99949074074</v>
      </c>
      <c r="N439" s="8">
        <v>4.50782106955568</v>
      </c>
      <c r="O439" s="8">
        <v>4.50782106955568</v>
      </c>
      <c r="P439" s="8" t="str">
        <v>152.19</v>
      </c>
      <c r="R439" s="8">
        <v>4.15119073629015</v>
      </c>
      <c r="S439" s="8">
        <v>110.046278824955</v>
      </c>
      <c r="T439" s="8">
        <v>-0.9793445</v>
      </c>
      <c r="U439" s="8">
        <v>-5.0755075</v>
      </c>
      <c r="V439" s="8">
        <v>-1.172035</v>
      </c>
      <c r="W439" s="6" t="str">
        <v>Monitors/Terminals;Other Software (inq. Games);Mainframes &amp; Super Computers;Micro-Computers (PCs);Other Peripherals;Printers;Portable Computers;Disk Drives</v>
      </c>
      <c r="X439" s="6" t="str">
        <v>Applications Software(Home);Applications Software(Business;Semiconductors;Communication/Network Software;Other Electronics;Superconductors;Internet Services &amp; Software</v>
      </c>
      <c r="Y439" s="6" t="str">
        <v>Other Electronics;Superconductors;Internet Services &amp; Software;Communication/Network Software;Semiconductors;Applications Software(Business;Applications Software(Home)</v>
      </c>
      <c r="Z439" s="6" t="str">
        <v>Communication/Network Software;Applications Software(Business;Applications Software(Home);Other Electronics;Semiconductors;Superconductors;Internet Services &amp; Software</v>
      </c>
      <c r="AA439" s="6" t="str">
        <v>Disk Drives;Other Software (inq. Games);Monitors/Terminals;Printers;Portable Computers;Micro-Computers (PCs);Mainframes &amp; Super Computers;Other Peripherals</v>
      </c>
      <c r="AB439" s="6" t="str">
        <v>Monitors/Terminals;Disk Drives;Other Software (inq. Games);Other Peripherals;Portable Computers;Micro-Computers (PCs);Printers;Mainframes &amp; Super Computers</v>
      </c>
      <c r="AC439" s="8">
        <v>4.50782106955568</v>
      </c>
      <c r="AD439" s="7">
        <f>=DATE(2008,12,18)</f>
        <v>39799.99949074074</v>
      </c>
      <c r="AF439" s="8" t="str">
        <v>115.13</v>
      </c>
      <c r="AG439" s="8" t="str">
        <v>115.13</v>
      </c>
      <c r="AH439" s="6" t="str">
        <v>True</v>
      </c>
      <c r="AI439" s="6" t="str">
        <v>2008</v>
      </c>
      <c r="AJ439" s="6" t="str">
        <v>Completed</v>
      </c>
      <c r="AL439" s="8">
        <v>8.2</v>
      </c>
      <c r="AM439" s="6" t="str">
        <v>Privately Negotiated Purchase</v>
      </c>
      <c r="AN439" s="8">
        <v>9.33521361749459</v>
      </c>
      <c r="AO439" s="6" t="str">
        <v>UK - Apple Inc of the US acquired a 3.6% stake, or 8.2 mil ordinary shares, in Imagination Technologies Group PLC, a Hertfordshire-based manufacturer of multimedia products, for an estimated 3 mil British pounds ($4.509 mil US), in a privately negotiated transaction.</v>
      </c>
    </row>
    <row r="440">
      <c r="A440" s="6" t="str">
        <v>893929</v>
      </c>
      <c r="B440" s="6" t="str">
        <v>United States</v>
      </c>
      <c r="C440" s="6" t="str">
        <v>Transcend Services Inc</v>
      </c>
      <c r="D440" s="6" t="str">
        <v>Transcend Services Inc</v>
      </c>
      <c r="F440" s="6" t="str">
        <v>United States</v>
      </c>
      <c r="G440" s="6" t="str">
        <v>DeVenture Global Partners Inc</v>
      </c>
      <c r="H440" s="6" t="str">
        <v>Health Services</v>
      </c>
      <c r="I440" s="6" t="str">
        <v>25226Y</v>
      </c>
      <c r="J440" s="6" t="str">
        <v>DeVenture Global Partners Inc</v>
      </c>
      <c r="K440" s="6" t="str">
        <v>DeVenture Global Partners Inc</v>
      </c>
      <c r="L440" s="7">
        <f>=DATE(2008,12,22)</f>
        <v>39803.99949074074</v>
      </c>
      <c r="M440" s="7">
        <f>=DATE(2009,1,7)</f>
        <v>39819.99949074074</v>
      </c>
      <c r="N440" s="8">
        <v>4.25</v>
      </c>
      <c r="O440" s="8">
        <v>4.25</v>
      </c>
      <c r="S440" s="8">
        <v>2.5</v>
      </c>
      <c r="W440" s="6" t="str">
        <v>Other Computer Related Svcs;Data Processing Services</v>
      </c>
      <c r="X440" s="6" t="str">
        <v>Primary Business not Hi-Tech;Healthcare Services</v>
      </c>
      <c r="Y440" s="6" t="str">
        <v>Healthcare Services;Primary Business not Hi-Tech</v>
      </c>
      <c r="Z440" s="6" t="str">
        <v>Primary Business not Hi-Tech;Healthcare Services</v>
      </c>
      <c r="AA440" s="6" t="str">
        <v>Other Computer Related Svcs;Data Processing Services</v>
      </c>
      <c r="AB440" s="6" t="str">
        <v>Other Computer Related Svcs;Data Processing Services</v>
      </c>
      <c r="AC440" s="8">
        <v>4.25</v>
      </c>
      <c r="AD440" s="7">
        <f>=DATE(2008,12,22)</f>
        <v>39803.99949074074</v>
      </c>
      <c r="AH440" s="6" t="str">
        <v>True</v>
      </c>
      <c r="AI440" s="6" t="str">
        <v>2009</v>
      </c>
      <c r="AJ440" s="6" t="str">
        <v>Completed</v>
      </c>
      <c r="AM440" s="6" t="str">
        <v>Not Applicable</v>
      </c>
      <c r="AO440" s="6" t="str">
        <v>US - Transcend Services Inc acquired DeVenture Global Partners Inc, doing business as DeVenture Health Partners, a provider of medical transcription services, for 4.25 mil and undisclosed amount in profit-related payments.</v>
      </c>
    </row>
    <row r="441">
      <c r="A441" s="6" t="str">
        <v>893929</v>
      </c>
      <c r="B441" s="6" t="str">
        <v>United States</v>
      </c>
      <c r="C441" s="6" t="str">
        <v>Transcend Services Inc</v>
      </c>
      <c r="D441" s="6" t="str">
        <v>Transcend Services Inc</v>
      </c>
      <c r="F441" s="6" t="str">
        <v>United States</v>
      </c>
      <c r="G441" s="6" t="str">
        <v>Transcription Relief Services LLC-Medical Transcription Business</v>
      </c>
      <c r="H441" s="6" t="str">
        <v>Business Services</v>
      </c>
      <c r="I441" s="6" t="str">
        <v>88989H</v>
      </c>
      <c r="J441" s="6" t="str">
        <v>Transcription Relief Services LLC</v>
      </c>
      <c r="K441" s="6" t="str">
        <v>Transcription Relief Services LLC</v>
      </c>
      <c r="L441" s="7">
        <f>=DATE(2009,3,27)</f>
        <v>39898.99949074074</v>
      </c>
      <c r="M441" s="7">
        <f>=DATE(2009,4,1)</f>
        <v>39903.99949074074</v>
      </c>
      <c r="N441" s="8">
        <v>7.5</v>
      </c>
      <c r="O441" s="8">
        <v>7.5</v>
      </c>
      <c r="W441" s="6" t="str">
        <v>Data Processing Services;Other Computer Related Svcs</v>
      </c>
      <c r="X441" s="6" t="str">
        <v>Data Processing Services</v>
      </c>
      <c r="Y441" s="6" t="str">
        <v>Data Processing Services</v>
      </c>
      <c r="Z441" s="6" t="str">
        <v>Data Processing Services</v>
      </c>
      <c r="AA441" s="6" t="str">
        <v>Other Computer Related Svcs;Data Processing Services</v>
      </c>
      <c r="AB441" s="6" t="str">
        <v>Data Processing Services;Other Computer Related Svcs</v>
      </c>
      <c r="AC441" s="8">
        <v>7.5</v>
      </c>
      <c r="AD441" s="7">
        <f>=DATE(2009,3,27)</f>
        <v>39898.99949074074</v>
      </c>
      <c r="AH441" s="6" t="str">
        <v>False</v>
      </c>
      <c r="AI441" s="6" t="str">
        <v>2009</v>
      </c>
      <c r="AJ441" s="6" t="str">
        <v>Completed</v>
      </c>
      <c r="AM441" s="6" t="str">
        <v>Divestiture</v>
      </c>
      <c r="AO441" s="6" t="str">
        <v>US - Transcend Services Inc acquired the medical transcription business of Transcription Relief Services LLC, a provider of medical transcription services, for $7.5 mil. The consideration consisted of $4 mil in cash, up to $3 mil in profit-related payments and $0.5 mil in promissory note.</v>
      </c>
    </row>
    <row r="442">
      <c r="A442" s="6" t="str">
        <v>38259P</v>
      </c>
      <c r="B442" s="6" t="str">
        <v>United States</v>
      </c>
      <c r="C442" s="6" t="str">
        <v>Google Inc</v>
      </c>
      <c r="D442" s="6" t="str">
        <v>Alphabet Inc</v>
      </c>
      <c r="F442" s="6" t="str">
        <v>United States</v>
      </c>
      <c r="G442" s="6" t="str">
        <v>Twitter Inc</v>
      </c>
      <c r="H442" s="6" t="str">
        <v>Business Services</v>
      </c>
      <c r="I442" s="6" t="str">
        <v>90184L</v>
      </c>
      <c r="J442" s="6" t="str">
        <v>Twitter Inc</v>
      </c>
      <c r="K442" s="6" t="str">
        <v>Twitter Inc</v>
      </c>
      <c r="L442" s="7">
        <f>=DATE(2009,4,3)</f>
        <v>39905.99949074074</v>
      </c>
      <c r="W442" s="6" t="str">
        <v>Internet Services &amp; Software;Programming Services</v>
      </c>
      <c r="X442" s="6" t="str">
        <v>Internet Services &amp; Software</v>
      </c>
      <c r="Y442" s="6" t="str">
        <v>Internet Services &amp; Software</v>
      </c>
      <c r="Z442" s="6" t="str">
        <v>Internet Services &amp; Software</v>
      </c>
      <c r="AA442" s="6" t="str">
        <v>Internet Services &amp; Software;Primary Business not Hi-Tech;Programming Services;Computer Consulting Services;Telecommunications Equipment</v>
      </c>
      <c r="AB442" s="6" t="str">
        <v>Programming Services;Computer Consulting Services;Internet Services &amp; Software;Telecommunications Equipment;Primary Business not Hi-Tech</v>
      </c>
      <c r="AH442" s="6" t="str">
        <v>False</v>
      </c>
      <c r="AJ442" s="6" t="str">
        <v>Dismissed Rumor</v>
      </c>
      <c r="AM442" s="6" t="str">
        <v>Rumored Deal</v>
      </c>
      <c r="AO442" s="6" t="str">
        <v>US - Google Inc discontinued rumors that it was planning to acquire Twitter Inc, a San Francisco-based provider of social networking services.</v>
      </c>
    </row>
    <row r="443">
      <c r="A443" s="6" t="str">
        <v>00507V</v>
      </c>
      <c r="B443" s="6" t="str">
        <v>United States</v>
      </c>
      <c r="C443" s="6" t="str">
        <v>Activision Blizzard Inc</v>
      </c>
      <c r="D443" s="6" t="str">
        <v>Vivendi SE</v>
      </c>
      <c r="F443" s="6" t="str">
        <v>United States</v>
      </c>
      <c r="G443" s="6" t="str">
        <v>7 Studios</v>
      </c>
      <c r="H443" s="6" t="str">
        <v>Prepackaged Software</v>
      </c>
      <c r="I443" s="6" t="str">
        <v>82213J</v>
      </c>
      <c r="J443" s="6" t="str">
        <v>7 Studios</v>
      </c>
      <c r="K443" s="6" t="str">
        <v>7 Studios</v>
      </c>
      <c r="L443" s="7">
        <f>=DATE(2009,4,14)</f>
        <v>39916.99949074074</v>
      </c>
      <c r="M443" s="7">
        <f>=DATE(2009,4,14)</f>
        <v>39916.99949074074</v>
      </c>
      <c r="W443" s="6" t="str">
        <v>Other Computer Systems;Other Software (inq. Games);Operating Systems</v>
      </c>
      <c r="X443" s="6" t="str">
        <v>Other Software (inq. Games)</v>
      </c>
      <c r="Y443" s="6" t="str">
        <v>Other Software (inq. Games)</v>
      </c>
      <c r="Z443" s="6" t="str">
        <v>Other Software (inq. Games)</v>
      </c>
      <c r="AA443" s="6" t="str">
        <v>Primary Business not Hi-Tech;Other Software (inq. Games);Internet Services &amp; Software</v>
      </c>
      <c r="AB443" s="6" t="str">
        <v>Other Software (inq. Games);Primary Business not Hi-Tech;Internet Services &amp; Software</v>
      </c>
      <c r="AH443" s="6" t="str">
        <v>True</v>
      </c>
      <c r="AI443" s="6" t="str">
        <v>2009</v>
      </c>
      <c r="AJ443" s="6" t="str">
        <v>Completed</v>
      </c>
      <c r="AM443" s="6" t="str">
        <v>Not Applicable</v>
      </c>
      <c r="AO443" s="6" t="str">
        <v>US - Activision Blizzard Inc acquired 7 Studios, a Los Angeles-based provider of games software.</v>
      </c>
    </row>
    <row r="444">
      <c r="A444" s="6" t="str">
        <v>05069A</v>
      </c>
      <c r="B444" s="6" t="str">
        <v>United States</v>
      </c>
      <c r="C444" s="6" t="str">
        <v>Audible Inc</v>
      </c>
      <c r="D444" s="6" t="str">
        <v>Amazon.com Inc</v>
      </c>
      <c r="F444" s="6" t="str">
        <v>Germany</v>
      </c>
      <c r="G444" s="6" t="str">
        <v>Audible GmbH</v>
      </c>
      <c r="H444" s="6" t="str">
        <v>Business Services</v>
      </c>
      <c r="I444" s="6" t="str">
        <v>05065Q</v>
      </c>
      <c r="J444" s="6" t="str">
        <v>Amazon.com Inc</v>
      </c>
      <c r="K444" s="6" t="str">
        <v>Audible Inc</v>
      </c>
      <c r="L444" s="7">
        <f>=DATE(2009,4,20)</f>
        <v>39922.99949074074</v>
      </c>
      <c r="M444" s="7">
        <f>=DATE(2009,5,18)</f>
        <v>39950.99949074074</v>
      </c>
      <c r="W444" s="6" t="str">
        <v>Internet Services &amp; Software</v>
      </c>
      <c r="X444" s="6" t="str">
        <v>Internet Services &amp; Software;Networking Systems (LAN,WAN)</v>
      </c>
      <c r="Y444" s="6" t="str">
        <v>Internet Services &amp; Software</v>
      </c>
      <c r="Z444" s="6" t="str">
        <v>Primary Business not Hi-Tech</v>
      </c>
      <c r="AA444" s="6" t="str">
        <v>Primary Business not Hi-Tech</v>
      </c>
      <c r="AB444" s="6" t="str">
        <v>Primary Business not Hi-Tech</v>
      </c>
      <c r="AH444" s="6" t="str">
        <v>True</v>
      </c>
      <c r="AI444" s="6" t="str">
        <v>2009</v>
      </c>
      <c r="AJ444" s="6" t="str">
        <v>Completed</v>
      </c>
      <c r="AM444" s="6" t="str">
        <v>Not Applicable</v>
      </c>
      <c r="AO444" s="6" t="str">
        <v>GERMANY - Audible Inc (Audible) of the US, a unit of Amazon.com Inc, acquired the remaining 66.67% interest, which it did not already own, in Audible GmbH, a Berlin-based provider of online audio downloading services, a joint venture between Audible, Verlagsgruppe Random House GmbH (Random) and Holtzbrinck Networxs AG (Networxs), from Random and Networxs.</v>
      </c>
    </row>
    <row r="445">
      <c r="A445" s="6" t="str">
        <v>023135</v>
      </c>
      <c r="B445" s="6" t="str">
        <v>United States</v>
      </c>
      <c r="C445" s="6" t="str">
        <v>Amazon.com Inc</v>
      </c>
      <c r="D445" s="6" t="str">
        <v>Amazon.com Inc</v>
      </c>
      <c r="F445" s="6" t="str">
        <v>United States</v>
      </c>
      <c r="G445" s="6" t="str">
        <v>Lexcycle Inc</v>
      </c>
      <c r="H445" s="6" t="str">
        <v>Prepackaged Software</v>
      </c>
      <c r="I445" s="6" t="str">
        <v>52976J</v>
      </c>
      <c r="J445" s="6" t="str">
        <v>Lexcycle Inc</v>
      </c>
      <c r="K445" s="6" t="str">
        <v>Lexcycle Inc</v>
      </c>
      <c r="L445" s="7">
        <f>=DATE(2009,4,27)</f>
        <v>39929.99949074074</v>
      </c>
      <c r="M445" s="7">
        <f>=DATE(2009,4,27)</f>
        <v>39929.99949074074</v>
      </c>
      <c r="W445" s="6" t="str">
        <v>Primary Business not Hi-Tech</v>
      </c>
      <c r="X445" s="6" t="str">
        <v>Applications Software(Home);Other Software (inq. Games)</v>
      </c>
      <c r="Y445" s="6" t="str">
        <v>Other Software (inq. Games);Applications Software(Home)</v>
      </c>
      <c r="Z445" s="6" t="str">
        <v>Other Software (inq. Games);Applications Software(Home)</v>
      </c>
      <c r="AA445" s="6" t="str">
        <v>Primary Business not Hi-Tech</v>
      </c>
      <c r="AB445" s="6" t="str">
        <v>Primary Business not Hi-Tech</v>
      </c>
      <c r="AH445" s="6" t="str">
        <v>True</v>
      </c>
      <c r="AI445" s="6" t="str">
        <v>2009</v>
      </c>
      <c r="AJ445" s="6" t="str">
        <v>Completed</v>
      </c>
      <c r="AM445" s="6" t="str">
        <v>Not Applicable</v>
      </c>
      <c r="AO445" s="6" t="str">
        <v>US - Amazon.com Inc acquired Lexcycle Inc, an Austin-based developer of e-book reading applications. Terms were not disclosed.</v>
      </c>
    </row>
    <row r="446">
      <c r="A446" s="6" t="str">
        <v>037833</v>
      </c>
      <c r="B446" s="6" t="str">
        <v>United States</v>
      </c>
      <c r="C446" s="6" t="str">
        <v>Apple Inc</v>
      </c>
      <c r="D446" s="6" t="str">
        <v>Apple Inc</v>
      </c>
      <c r="F446" s="6" t="str">
        <v>United States</v>
      </c>
      <c r="G446" s="6" t="str">
        <v>Twitter Inc</v>
      </c>
      <c r="H446" s="6" t="str">
        <v>Business Services</v>
      </c>
      <c r="I446" s="6" t="str">
        <v>90184L</v>
      </c>
      <c r="J446" s="6" t="str">
        <v>Twitter Inc</v>
      </c>
      <c r="K446" s="6" t="str">
        <v>Twitter Inc</v>
      </c>
      <c r="L446" s="7">
        <f>=DATE(2009,5,6)</f>
        <v>39938.99949074074</v>
      </c>
      <c r="W446" s="6" t="str">
        <v>Other Software (inq. Games);Portable Computers;Printers;Micro-Computers (PCs);Other Peripherals;Monitors/Terminals;Mainframes &amp; Super Computers;Disk Drives</v>
      </c>
      <c r="X446" s="6" t="str">
        <v>Internet Services &amp; Software</v>
      </c>
      <c r="Y446" s="6" t="str">
        <v>Internet Services &amp; Software</v>
      </c>
      <c r="Z446" s="6" t="str">
        <v>Internet Services &amp; Software</v>
      </c>
      <c r="AA446" s="6" t="str">
        <v>Printers;Portable Computers;Micro-Computers (PCs);Mainframes &amp; Super Computers;Disk Drives;Other Peripherals;Other Software (inq. Games);Monitors/Terminals</v>
      </c>
      <c r="AB446" s="6" t="str">
        <v>Micro-Computers (PCs);Mainframes &amp; Super Computers;Disk Drives;Other Software (inq. Games);Other Peripherals;Portable Computers;Printers;Monitors/Terminals</v>
      </c>
      <c r="AH446" s="6" t="str">
        <v>False</v>
      </c>
      <c r="AJ446" s="6" t="str">
        <v>Dismissed Rumor</v>
      </c>
      <c r="AM446" s="6" t="str">
        <v>Rumored Deal</v>
      </c>
      <c r="AO446" s="6" t="str">
        <v>US - Apple Inc discontinued rumors that it was planning to acquire Twitter Inc, a San Francisco-based provider of social networking and microblogging services.</v>
      </c>
    </row>
    <row r="447">
      <c r="A447" s="6" t="str">
        <v>594918</v>
      </c>
      <c r="B447" s="6" t="str">
        <v>United States</v>
      </c>
      <c r="C447" s="6" t="str">
        <v>Microsoft Corp</v>
      </c>
      <c r="D447" s="6" t="str">
        <v>Microsoft Corp</v>
      </c>
      <c r="F447" s="6" t="str">
        <v>Canada</v>
      </c>
      <c r="G447" s="6" t="str">
        <v>BigPark Inc</v>
      </c>
      <c r="H447" s="6" t="str">
        <v>Prepackaged Software</v>
      </c>
      <c r="I447" s="6" t="str">
        <v>09220V</v>
      </c>
      <c r="J447" s="6" t="str">
        <v>BigPark Inc</v>
      </c>
      <c r="K447" s="6" t="str">
        <v>BigPark Inc</v>
      </c>
      <c r="L447" s="7">
        <f>=DATE(2009,5,7)</f>
        <v>39939.99949074074</v>
      </c>
      <c r="W447" s="6" t="str">
        <v>Internet Services &amp; Software;Operating Systems;Computer Consulting Services;Other Peripherals;Applications Software(Business;Monitors/Terminals</v>
      </c>
      <c r="X447" s="6" t="str">
        <v>Other Software (inq. Games);Applications Software(Home);Internet Services &amp; Software</v>
      </c>
      <c r="Y447" s="6" t="str">
        <v>Internet Services &amp; Software;Applications Software(Home);Other Software (inq. Games)</v>
      </c>
      <c r="Z447" s="6" t="str">
        <v>Other Software (inq. Games);Internet Services &amp; Software;Applications Software(Home)</v>
      </c>
      <c r="AA447" s="6" t="str">
        <v>Internet Services &amp; Software;Operating Systems;Applications Software(Business;Other Peripherals;Computer Consulting Services;Monitors/Terminals</v>
      </c>
      <c r="AB447" s="6" t="str">
        <v>Monitors/Terminals;Internet Services &amp; Software;Other Peripherals;Applications Software(Business;Computer Consulting Services;Operating Systems</v>
      </c>
      <c r="AH447" s="6" t="str">
        <v>False</v>
      </c>
      <c r="AJ447" s="6" t="str">
        <v>Pending</v>
      </c>
      <c r="AM447" s="6" t="str">
        <v>Not Applicable</v>
      </c>
      <c r="AO447" s="6" t="str">
        <v>CANADA - Microsoft Corp of the US planned to acquire BigPark Inc, a Vancouver-based provider of interactive online gaming services. Terms were not disclosed.</v>
      </c>
    </row>
    <row r="448">
      <c r="A448" s="6" t="str">
        <v>594918</v>
      </c>
      <c r="B448" s="6" t="str">
        <v>United States</v>
      </c>
      <c r="C448" s="6" t="str">
        <v>Microsoft Corp</v>
      </c>
      <c r="D448" s="6" t="str">
        <v>Microsoft Corp</v>
      </c>
      <c r="F448" s="6" t="str">
        <v>United States</v>
      </c>
      <c r="G448" s="6" t="str">
        <v>Rosetta Biosoftware-Certain Assets</v>
      </c>
      <c r="H448" s="6" t="str">
        <v>Prepackaged Software</v>
      </c>
      <c r="I448" s="6" t="str">
        <v>77836C</v>
      </c>
      <c r="J448" s="6" t="str">
        <v>Merck &amp; Co Inc</v>
      </c>
      <c r="K448" s="6" t="str">
        <v>Rosetta Biosoftware</v>
      </c>
      <c r="L448" s="7">
        <f>=DATE(2009,6,1)</f>
        <v>39964.99949074074</v>
      </c>
      <c r="M448" s="7">
        <f>=DATE(2009,6,29)</f>
        <v>39992.99949074074</v>
      </c>
      <c r="N448" s="8">
        <v>15</v>
      </c>
      <c r="O448" s="8">
        <v>15</v>
      </c>
      <c r="W448" s="6" t="str">
        <v>Applications Software(Business;Internet Services &amp; Software;Operating Systems;Other Peripherals;Monitors/Terminals;Computer Consulting Services</v>
      </c>
      <c r="X448" s="6" t="str">
        <v>Other Software (inq. Games)</v>
      </c>
      <c r="Y448" s="6" t="str">
        <v>Other Software (inq. Games)</v>
      </c>
      <c r="Z448" s="6" t="str">
        <v>Other Biotechnology;General Pharmaceuticals;Research &amp; Development Firm</v>
      </c>
      <c r="AA448" s="6" t="str">
        <v>Computer Consulting Services;Monitors/Terminals;Internet Services &amp; Software;Other Peripherals;Operating Systems;Applications Software(Business</v>
      </c>
      <c r="AB448" s="6" t="str">
        <v>Computer Consulting Services;Operating Systems;Internet Services &amp; Software;Applications Software(Business;Monitors/Terminals;Other Peripherals</v>
      </c>
      <c r="AC448" s="8">
        <v>15</v>
      </c>
      <c r="AD448" s="7">
        <f>=DATE(2009,6,1)</f>
        <v>39964.99949074074</v>
      </c>
      <c r="AH448" s="6" t="str">
        <v>False</v>
      </c>
      <c r="AI448" s="6" t="str">
        <v>2009</v>
      </c>
      <c r="AJ448" s="6" t="str">
        <v>Completed</v>
      </c>
      <c r="AM448" s="6" t="str">
        <v>Divestiture</v>
      </c>
      <c r="AO448" s="6" t="str">
        <v>US - Microsoft Corp acquired certain assets of Rosetta Biosoftware, a developer of bioinformatics software, from Rosetta Inpharmatics LLC, a unit of Merck &amp; Co Inc, for USD 15 mil.</v>
      </c>
    </row>
    <row r="449">
      <c r="A449" s="6" t="str">
        <v>67020Y</v>
      </c>
      <c r="B449" s="6" t="str">
        <v>United States</v>
      </c>
      <c r="C449" s="6" t="str">
        <v>Nuance Communications Inc</v>
      </c>
      <c r="D449" s="6" t="str">
        <v>Nuance Communications Inc</v>
      </c>
      <c r="F449" s="6" t="str">
        <v>Netherlands</v>
      </c>
      <c r="G449" s="6" t="str">
        <v>X-Solutions Group BV</v>
      </c>
      <c r="H449" s="6" t="str">
        <v>Prepackaged Software</v>
      </c>
      <c r="I449" s="6" t="str">
        <v>98220K</v>
      </c>
      <c r="J449" s="6" t="str">
        <v>X-Solutions Group BV</v>
      </c>
      <c r="K449" s="6" t="str">
        <v>X-Solutions Group BV</v>
      </c>
      <c r="L449" s="7">
        <f>=DATE(2009,6,1)</f>
        <v>39964.99949074074</v>
      </c>
      <c r="M449" s="7">
        <f>=DATE(2009,6,1)</f>
        <v>39964.99949074074</v>
      </c>
      <c r="W449" s="6" t="str">
        <v>Applications Software(Home);Database Software/Programming;Communication/Network Software;Other Software (inq. Games);Applications Software(Business;Internet Services &amp; Software;Other Computer Related Svcs;Primary Business not Hi-Tech;Desktop Publishing;Computer Consulting Services;Programming Services;Networking Systems (LAN,WAN);Utilities/File Mgmt Software</v>
      </c>
      <c r="X449" s="6" t="str">
        <v>Other Software (inq. Games)</v>
      </c>
      <c r="Y449" s="6" t="str">
        <v>Other Software (inq. Games)</v>
      </c>
      <c r="Z449" s="6" t="str">
        <v>Other Software (inq. Games)</v>
      </c>
      <c r="AA449" s="6" t="str">
        <v>Programming Services;Database Software/Programming;Communication/Network Software;Desktop Publishing;Utilities/File Mgmt Software;Other Computer Related Svcs;Computer Consulting Services;Other Software (inq. Games);Applications Software(Home);Primary Business not Hi-Tech;Networking Systems (LAN,WAN);Internet Services &amp; Software;Applications Software(Business</v>
      </c>
      <c r="AB449" s="6" t="str">
        <v>Other Computer Related Svcs;Other Software (inq. Games);Database Software/Programming;Internet Services &amp; Software;Computer Consulting Services;Primary Business not Hi-Tech;Applications Software(Business;Programming Services;Desktop Publishing;Utilities/File Mgmt Software;Communication/Network Software;Networking Systems (LAN,WAN);Applications Software(Home)</v>
      </c>
      <c r="AH449" s="6" t="str">
        <v>False</v>
      </c>
      <c r="AI449" s="6" t="str">
        <v>2009</v>
      </c>
      <c r="AJ449" s="6" t="str">
        <v>Completed</v>
      </c>
      <c r="AM449" s="6" t="str">
        <v>Financial Acquiror</v>
      </c>
      <c r="AO449" s="6" t="str">
        <v>NETHERLANDS - Nuance Communications Inc of the US acquired X-Solutions Group BV, a developer of speech and imaging software.</v>
      </c>
    </row>
    <row r="450">
      <c r="A450" s="6" t="str">
        <v>36908Q</v>
      </c>
      <c r="B450" s="6" t="str">
        <v>United States</v>
      </c>
      <c r="C450" s="6" t="str">
        <v>A9.com Inc</v>
      </c>
      <c r="D450" s="6" t="str">
        <v>Amazon.com Inc</v>
      </c>
      <c r="F450" s="6" t="str">
        <v>United States</v>
      </c>
      <c r="G450" s="6" t="str">
        <v>SnapTell Inc</v>
      </c>
      <c r="H450" s="6" t="str">
        <v>Prepackaged Software</v>
      </c>
      <c r="I450" s="6" t="str">
        <v>82823X</v>
      </c>
      <c r="J450" s="6" t="str">
        <v>SnapTell Inc</v>
      </c>
      <c r="K450" s="6" t="str">
        <v>SnapTell Inc</v>
      </c>
      <c r="L450" s="7">
        <f>=DATE(2009,6,18)</f>
        <v>39981.99949074074</v>
      </c>
      <c r="M450" s="7">
        <f>=DATE(2009,6,18)</f>
        <v>39981.99949074074</v>
      </c>
      <c r="W450" s="6" t="str">
        <v>Internet Services &amp; Software;Other Software (inq. Games)</v>
      </c>
      <c r="X450" s="6" t="str">
        <v>Other Software (inq. Games)</v>
      </c>
      <c r="Y450" s="6" t="str">
        <v>Other Software (inq. Games)</v>
      </c>
      <c r="Z450" s="6" t="str">
        <v>Other Software (inq. Games)</v>
      </c>
      <c r="AA450" s="6" t="str">
        <v>Primary Business not Hi-Tech</v>
      </c>
      <c r="AB450" s="6" t="str">
        <v>Primary Business not Hi-Tech</v>
      </c>
      <c r="AH450" s="6" t="str">
        <v>False</v>
      </c>
      <c r="AI450" s="6" t="str">
        <v>2009</v>
      </c>
      <c r="AJ450" s="6" t="str">
        <v>Completed</v>
      </c>
      <c r="AM450" s="6" t="str">
        <v>Not Applicable</v>
      </c>
      <c r="AO450" s="6" t="str">
        <v>US - A9.com Inc, a unit of Amazon.com Inc, acquired SnapTell Inc, a Palo Alto-based developer of software. Terms were not disclosed.</v>
      </c>
    </row>
    <row r="451">
      <c r="A451" s="6" t="str">
        <v>98967F</v>
      </c>
      <c r="B451" s="6" t="str">
        <v>United States</v>
      </c>
      <c r="C451" s="6" t="str">
        <v>ZeniMax Media Inc</v>
      </c>
      <c r="D451" s="6" t="str">
        <v>ZeniMax Media Inc</v>
      </c>
      <c r="F451" s="6" t="str">
        <v>United States</v>
      </c>
      <c r="G451" s="6" t="str">
        <v>id Software Inc</v>
      </c>
      <c r="H451" s="6" t="str">
        <v>Prepackaged Software</v>
      </c>
      <c r="I451" s="6" t="str">
        <v>46766N</v>
      </c>
      <c r="J451" s="6" t="str">
        <v>id Software Inc</v>
      </c>
      <c r="K451" s="6" t="str">
        <v>id Software Inc</v>
      </c>
      <c r="L451" s="7">
        <f>=DATE(2009,6,24)</f>
        <v>39987.99949074074</v>
      </c>
      <c r="M451" s="7">
        <f>=DATE(2009,6,24)</f>
        <v>39987.99949074074</v>
      </c>
      <c r="W451" s="6" t="str">
        <v>Other Software (inq. Games)</v>
      </c>
      <c r="X451" s="6" t="str">
        <v>Other Software (inq. Games)</v>
      </c>
      <c r="Y451" s="6" t="str">
        <v>Other Software (inq. Games)</v>
      </c>
      <c r="Z451" s="6" t="str">
        <v>Other Software (inq. Games)</v>
      </c>
      <c r="AA451" s="6" t="str">
        <v>Other Software (inq. Games)</v>
      </c>
      <c r="AB451" s="6" t="str">
        <v>Other Software (inq. Games)</v>
      </c>
      <c r="AH451" s="6" t="str">
        <v>False</v>
      </c>
      <c r="AI451" s="6" t="str">
        <v>2009</v>
      </c>
      <c r="AJ451" s="6" t="str">
        <v>Completed</v>
      </c>
      <c r="AM451" s="6" t="str">
        <v>Not Applicable</v>
      </c>
      <c r="AO451" s="6" t="str">
        <v>US - ZeniMax Media Inc acquired id Software Inc, a Mesquite-based developer of mobile gaming software.</v>
      </c>
    </row>
    <row r="452">
      <c r="A452" s="6" t="str">
        <v>023135</v>
      </c>
      <c r="B452" s="6" t="str">
        <v>United States</v>
      </c>
      <c r="C452" s="6" t="str">
        <v>Amazon.com Inc</v>
      </c>
      <c r="D452" s="6" t="str">
        <v>Amazon.com Inc</v>
      </c>
      <c r="F452" s="6" t="str">
        <v>United States</v>
      </c>
      <c r="G452" s="6" t="str">
        <v>Netflix Inc</v>
      </c>
      <c r="H452" s="6" t="str">
        <v>Motion Picture Production and Distribution</v>
      </c>
      <c r="I452" s="6" t="str">
        <v>64110L</v>
      </c>
      <c r="J452" s="6" t="str">
        <v>Netflix Inc</v>
      </c>
      <c r="K452" s="6" t="str">
        <v>Netflix Inc</v>
      </c>
      <c r="L452" s="7">
        <f>=DATE(2009,7,13)</f>
        <v>40006.99949074074</v>
      </c>
      <c r="R452" s="8">
        <v>54.806</v>
      </c>
      <c r="S452" s="8">
        <v>802.607</v>
      </c>
      <c r="T452" s="8">
        <v>-84.928</v>
      </c>
      <c r="U452" s="8">
        <v>-108.417</v>
      </c>
      <c r="V452" s="8">
        <v>140.935</v>
      </c>
      <c r="W452" s="6" t="str">
        <v>Primary Business not Hi-Tech</v>
      </c>
      <c r="X452" s="6" t="str">
        <v>Internet Services &amp; Software</v>
      </c>
      <c r="Y452" s="6" t="str">
        <v>Internet Services &amp; Software</v>
      </c>
      <c r="Z452" s="6" t="str">
        <v>Internet Services &amp; Software</v>
      </c>
      <c r="AA452" s="6" t="str">
        <v>Primary Business not Hi-Tech</v>
      </c>
      <c r="AB452" s="6" t="str">
        <v>Primary Business not Hi-Tech</v>
      </c>
      <c r="AH452" s="6" t="str">
        <v>True</v>
      </c>
      <c r="AJ452" s="6" t="str">
        <v>Dismissed Rumor</v>
      </c>
      <c r="AL452" s="8">
        <v>57.697841</v>
      </c>
      <c r="AM452" s="6" t="str">
        <v>Rumored Deal</v>
      </c>
      <c r="AN452" s="8">
        <v>100.316</v>
      </c>
      <c r="AO452" s="6" t="str">
        <v>US - Amazon.com Inc was rumored to be planning to acquire the entire share capital of Netflix Inc, a Los Gatos-based provider of online movie rental services. The Current status of this deal is unknown.</v>
      </c>
    </row>
    <row r="453">
      <c r="A453" s="6" t="str">
        <v>052660</v>
      </c>
      <c r="B453" s="6" t="str">
        <v>United States</v>
      </c>
      <c r="C453" s="6" t="str">
        <v>AuthenTec Inc</v>
      </c>
      <c r="D453" s="6" t="str">
        <v>AuthenTec Inc</v>
      </c>
      <c r="F453" s="6" t="str">
        <v>United States</v>
      </c>
      <c r="G453" s="6" t="str">
        <v>Atrua Technologies Inc</v>
      </c>
      <c r="H453" s="6" t="str">
        <v>Electronic and Electrical Equipment</v>
      </c>
      <c r="I453" s="6" t="str">
        <v>01157Z</v>
      </c>
      <c r="J453" s="6" t="str">
        <v>Atrua Technologies Inc</v>
      </c>
      <c r="K453" s="6" t="str">
        <v>Atrua Technologies Inc</v>
      </c>
      <c r="L453" s="7">
        <f>=DATE(2009,7,14)</f>
        <v>40007.99949074074</v>
      </c>
      <c r="M453" s="7">
        <f>=DATE(2009,7,14)</f>
        <v>40007.99949074074</v>
      </c>
      <c r="N453" s="8">
        <v>4.9</v>
      </c>
      <c r="O453" s="8">
        <v>4.9</v>
      </c>
      <c r="W453" s="6" t="str">
        <v>Search, Detection, Navigation;Semiconductors;Other Electronics</v>
      </c>
      <c r="X453" s="6" t="str">
        <v>Applications Software(Business;Communication/Network Software;Semiconductors</v>
      </c>
      <c r="Y453" s="6" t="str">
        <v>Communication/Network Software;Applications Software(Business;Semiconductors</v>
      </c>
      <c r="Z453" s="6" t="str">
        <v>Communication/Network Software;Semiconductors;Applications Software(Business</v>
      </c>
      <c r="AA453" s="6" t="str">
        <v>Semiconductors;Other Electronics;Search, Detection, Navigation</v>
      </c>
      <c r="AB453" s="6" t="str">
        <v>Semiconductors;Other Electronics;Search, Detection, Navigation</v>
      </c>
      <c r="AC453" s="8">
        <v>4.9</v>
      </c>
      <c r="AD453" s="7">
        <f>=DATE(2009,7,14)</f>
        <v>40007.99949074074</v>
      </c>
      <c r="AH453" s="6" t="str">
        <v>False</v>
      </c>
      <c r="AI453" s="6" t="str">
        <v>2009</v>
      </c>
      <c r="AJ453" s="6" t="str">
        <v>Completed</v>
      </c>
      <c r="AM453" s="6" t="str">
        <v>Not Applicable</v>
      </c>
      <c r="AO453" s="6" t="str">
        <v>US - AuthenTec Inc acquired Atrua Technologies Inc, a Campbell-based manufacturer of fingerprint imaging sensors and related fingerprint recognition algorithms, for an estimated USD 4.9 mil in cash.</v>
      </c>
    </row>
    <row r="454">
      <c r="A454" s="6" t="str">
        <v>67020Y</v>
      </c>
      <c r="B454" s="6" t="str">
        <v>United States</v>
      </c>
      <c r="C454" s="6" t="str">
        <v>Nuance Communications Inc</v>
      </c>
      <c r="D454" s="6" t="str">
        <v>Nuance Communications Inc</v>
      </c>
      <c r="F454" s="6" t="str">
        <v>United States</v>
      </c>
      <c r="G454" s="6" t="str">
        <v>Jott Networks Inc</v>
      </c>
      <c r="H454" s="6" t="str">
        <v>Prepackaged Software</v>
      </c>
      <c r="I454" s="6" t="str">
        <v>44669N</v>
      </c>
      <c r="J454" s="6" t="str">
        <v>Jott Networks Inc</v>
      </c>
      <c r="K454" s="6" t="str">
        <v>Jott Networks Inc</v>
      </c>
      <c r="L454" s="7">
        <f>=DATE(2009,7,14)</f>
        <v>40007.99949074074</v>
      </c>
      <c r="M454" s="7">
        <f>=DATE(2009,7,14)</f>
        <v>40007.99949074074</v>
      </c>
      <c r="W454" s="6" t="str">
        <v>Desktop Publishing;Applications Software(Home);Database Software/Programming;Internet Services &amp; Software;Networking Systems (LAN,WAN);Communication/Network Software;Computer Consulting Services;Applications Software(Business;Utilities/File Mgmt Software;Other Computer Related Svcs;Other Software (inq. Games);Primary Business not Hi-Tech;Programming Services</v>
      </c>
      <c r="X454" s="6" t="str">
        <v>Communication/Network Software;Internet Services &amp; Software</v>
      </c>
      <c r="Y454" s="6" t="str">
        <v>Internet Services &amp; Software;Communication/Network Software</v>
      </c>
      <c r="Z454" s="6" t="str">
        <v>Internet Services &amp; Software;Communication/Network Software</v>
      </c>
      <c r="AA454" s="6" t="str">
        <v>Internet Services &amp; Software;Networking Systems (LAN,WAN);Utilities/File Mgmt Software;Other Computer Related Svcs;Desktop Publishing;Applications Software(Business;Applications Software(Home);Primary Business not Hi-Tech;Communication/Network Software;Programming Services;Computer Consulting Services;Other Software (inq. Games);Database Software/Programming</v>
      </c>
      <c r="AB454" s="6" t="str">
        <v>Utilities/File Mgmt Software;Database Software/Programming;Communication/Network Software;Networking Systems (LAN,WAN);Other Computer Related Svcs;Internet Services &amp; Software;Applications Software(Home);Computer Consulting Services;Applications Software(Business;Primary Business not Hi-Tech;Desktop Publishing;Programming Services;Other Software (inq. Games)</v>
      </c>
      <c r="AH454" s="6" t="str">
        <v>False</v>
      </c>
      <c r="AI454" s="6" t="str">
        <v>2009</v>
      </c>
      <c r="AJ454" s="6" t="str">
        <v>Completed</v>
      </c>
      <c r="AM454" s="6" t="str">
        <v>Financial Acquiror</v>
      </c>
      <c r="AO454" s="6" t="str">
        <v>US - Nuance Communications Inc acquired Jott Networks Inc, a Seattle-based developer of Internet software.</v>
      </c>
    </row>
    <row r="455">
      <c r="A455" s="6" t="str">
        <v>023135</v>
      </c>
      <c r="B455" s="6" t="str">
        <v>United States</v>
      </c>
      <c r="C455" s="6" t="str">
        <v>Amazon.com Inc</v>
      </c>
      <c r="D455" s="6" t="str">
        <v>Amazon.com Inc</v>
      </c>
      <c r="F455" s="6" t="str">
        <v>United States</v>
      </c>
      <c r="G455" s="6" t="str">
        <v>Zappos.com Inc</v>
      </c>
      <c r="H455" s="6" t="str">
        <v>Miscellaneous Retail Trade</v>
      </c>
      <c r="I455" s="6" t="str">
        <v>99101J</v>
      </c>
      <c r="J455" s="6" t="str">
        <v>Zappos.com Inc</v>
      </c>
      <c r="K455" s="6" t="str">
        <v>Zappos.com Inc</v>
      </c>
      <c r="L455" s="7">
        <f>=DATE(2009,7,22)</f>
        <v>40015.99949074074</v>
      </c>
      <c r="M455" s="7">
        <f>=DATE(2009,11,2)</f>
        <v>40118.99949074074</v>
      </c>
      <c r="N455" s="8">
        <v>1228.1</v>
      </c>
      <c r="O455" s="8">
        <v>930.1</v>
      </c>
      <c r="W455" s="6" t="str">
        <v>Primary Business not Hi-Tech</v>
      </c>
      <c r="X455" s="6" t="str">
        <v>Internet Services &amp; Software</v>
      </c>
      <c r="Y455" s="6" t="str">
        <v>Internet Services &amp; Software</v>
      </c>
      <c r="Z455" s="6" t="str">
        <v>Internet Services &amp; Software</v>
      </c>
      <c r="AA455" s="6" t="str">
        <v>Primary Business not Hi-Tech</v>
      </c>
      <c r="AB455" s="6" t="str">
        <v>Primary Business not Hi-Tech</v>
      </c>
      <c r="AC455" s="8">
        <v>930.1</v>
      </c>
      <c r="AD455" s="7">
        <f>=DATE(2009,7,22)</f>
        <v>40015.99949074074</v>
      </c>
      <c r="AF455" s="8" t="str">
        <v>930.10</v>
      </c>
      <c r="AG455" s="8" t="str">
        <v>1,228.10</v>
      </c>
      <c r="AH455" s="6" t="str">
        <v>True</v>
      </c>
      <c r="AI455" s="6" t="str">
        <v>2009</v>
      </c>
      <c r="AJ455" s="6" t="str">
        <v>Completed</v>
      </c>
      <c r="AM455" s="6" t="str">
        <v>Stock Swap</v>
      </c>
      <c r="AO455" s="6" t="str">
        <v>US - Amazon.com Inc acquired the entire share capital of Zappos.com Inc, a Shepherdsville-based provider of online shoe retail services, for USD 930.1 mil. The consideration was to consist of USD 40 mil in cash and Amazon restricted stock, and the issuance of 10 mil Amazon common shares valued at USD 890.1 mil. The shares were valued based on Amazons closing stock price of USD 89.01 on 21 July 2009, the last full trading day prior to the announcement.</v>
      </c>
    </row>
    <row r="456">
      <c r="A456" s="6" t="str">
        <v>38259P</v>
      </c>
      <c r="B456" s="6" t="str">
        <v>United States</v>
      </c>
      <c r="C456" s="6" t="str">
        <v>Google Inc</v>
      </c>
      <c r="D456" s="6" t="str">
        <v>Alphabet Inc</v>
      </c>
      <c r="F456" s="6" t="str">
        <v>United States</v>
      </c>
      <c r="G456" s="6" t="str">
        <v>On2 Technologies Inc</v>
      </c>
      <c r="H456" s="6" t="str">
        <v>Prepackaged Software</v>
      </c>
      <c r="I456" s="6" t="str">
        <v>68338A</v>
      </c>
      <c r="J456" s="6" t="str">
        <v>On2 Technologies Inc</v>
      </c>
      <c r="K456" s="6" t="str">
        <v>On2 Technologies Inc</v>
      </c>
      <c r="L456" s="7">
        <f>=DATE(2009,8,5)</f>
        <v>40029.99949074074</v>
      </c>
      <c r="M456" s="7">
        <f>=DATE(2010,2,19)</f>
        <v>40227.99949074074</v>
      </c>
      <c r="N456" s="8">
        <v>121.237</v>
      </c>
      <c r="O456" s="8">
        <v>133.083</v>
      </c>
      <c r="P456" s="8" t="str">
        <v>133.04</v>
      </c>
      <c r="R456" s="8">
        <v>-4.799</v>
      </c>
      <c r="S456" s="8">
        <v>14.271</v>
      </c>
      <c r="T456" s="8">
        <v>-0.329</v>
      </c>
      <c r="U456" s="8">
        <v>-0.173</v>
      </c>
      <c r="V456" s="8">
        <v>-1.376</v>
      </c>
      <c r="W456" s="6" t="str">
        <v>Internet Services &amp; Software;Programming Services</v>
      </c>
      <c r="X456" s="6" t="str">
        <v>Other Software (inq. Games)</v>
      </c>
      <c r="Y456" s="6" t="str">
        <v>Other Software (inq. Games)</v>
      </c>
      <c r="Z456" s="6" t="str">
        <v>Other Software (inq. Games)</v>
      </c>
      <c r="AA456" s="6" t="str">
        <v>Internet Services &amp; Software;Telecommunications Equipment;Computer Consulting Services;Programming Services;Primary Business not Hi-Tech</v>
      </c>
      <c r="AB456" s="6" t="str">
        <v>Telecommunications Equipment;Internet Services &amp; Software;Programming Services;Primary Business not Hi-Tech;Computer Consulting Services</v>
      </c>
      <c r="AC456" s="8">
        <v>133.083</v>
      </c>
      <c r="AD456" s="7">
        <f>=DATE(2010,1,7)</f>
        <v>40184.99949074074</v>
      </c>
      <c r="AE456" s="8">
        <v>133.037338</v>
      </c>
      <c r="AF456" s="8" t="str">
        <v>133.04</v>
      </c>
      <c r="AG456" s="8" t="str">
        <v>121.19</v>
      </c>
      <c r="AH456" s="6" t="str">
        <v>True</v>
      </c>
      <c r="AI456" s="6" t="str">
        <v>2010</v>
      </c>
      <c r="AJ456" s="6" t="str">
        <v>Completed</v>
      </c>
      <c r="AK456" s="8">
        <v>133.037338</v>
      </c>
      <c r="AL456" s="8">
        <v>175.511</v>
      </c>
      <c r="AM456" s="6" t="str">
        <v>Stock Swap</v>
      </c>
      <c r="AO456" s="6" t="str">
        <v>US - Google Inc (Google) acquired the entire share capital of On2 Technologies Inc (On2), a Clifton Park-based developer of video compression and streaming software, for a sweetened USD 133.083 mil. The consideration consisted of USD 15 in cash per share, or a total value of USD 106.756 mil, and the issuance of 0.176 mil Google common shares valued at USD 26.327 mil. The shares were valued based on Google's closing stock price of USD 608.26 on 6 January 2010, the last full trading day prior to the amended of terms. Originally, Google offered USD 0.6 in common shares per On2 share.</v>
      </c>
    </row>
    <row r="457">
      <c r="A457" s="6" t="str">
        <v>30303M</v>
      </c>
      <c r="B457" s="6" t="str">
        <v>United States</v>
      </c>
      <c r="C457" s="6" t="str">
        <v>Facebook Inc</v>
      </c>
      <c r="D457" s="6" t="str">
        <v>Facebook Inc</v>
      </c>
      <c r="F457" s="6" t="str">
        <v>United States</v>
      </c>
      <c r="G457" s="6" t="str">
        <v>FriendFeed Inc</v>
      </c>
      <c r="H457" s="6" t="str">
        <v>Business Services</v>
      </c>
      <c r="I457" s="6" t="str">
        <v>35854T</v>
      </c>
      <c r="J457" s="6" t="str">
        <v>FriendFeed Inc</v>
      </c>
      <c r="K457" s="6" t="str">
        <v>FriendFeed Inc</v>
      </c>
      <c r="L457" s="7">
        <f>=DATE(2009,8,10)</f>
        <v>40034.99949074074</v>
      </c>
      <c r="M457" s="7">
        <f>=DATE(2009,8,10)</f>
        <v>40034.99949074074</v>
      </c>
      <c r="W457" s="6" t="str">
        <v>Internet Services &amp; Software</v>
      </c>
      <c r="X457" s="6" t="str">
        <v>Internet Services &amp; Software</v>
      </c>
      <c r="Y457" s="6" t="str">
        <v>Internet Services &amp; Software</v>
      </c>
      <c r="Z457" s="6" t="str">
        <v>Internet Services &amp; Software</v>
      </c>
      <c r="AA457" s="6" t="str">
        <v>Internet Services &amp; Software</v>
      </c>
      <c r="AB457" s="6" t="str">
        <v>Internet Services &amp; Software</v>
      </c>
      <c r="AH457" s="6" t="str">
        <v>False</v>
      </c>
      <c r="AI457" s="6" t="str">
        <v>2009</v>
      </c>
      <c r="AJ457" s="6" t="str">
        <v>Completed</v>
      </c>
      <c r="AM457" s="6" t="str">
        <v>Financial Acquiror</v>
      </c>
      <c r="AO457" s="6" t="str">
        <v>US - Facebook Inc acquired the entire share capital of FriendFeed Inc, a Mountain View-based provider of online networking services. Terms were not disclosed.</v>
      </c>
    </row>
    <row r="458">
      <c r="A458" s="6" t="str">
        <v>55383E</v>
      </c>
      <c r="B458" s="6" t="str">
        <v>United States</v>
      </c>
      <c r="C458" s="6" t="str">
        <v>MSNBC</v>
      </c>
      <c r="D458" s="6" t="str">
        <v>General Electric Co</v>
      </c>
      <c r="F458" s="6" t="str">
        <v>United States</v>
      </c>
      <c r="G458" s="6" t="str">
        <v>EveryBlock</v>
      </c>
      <c r="H458" s="6" t="str">
        <v>Business Services</v>
      </c>
      <c r="I458" s="6" t="str">
        <v>29815N</v>
      </c>
      <c r="J458" s="6" t="str">
        <v>EveryBlock</v>
      </c>
      <c r="K458" s="6" t="str">
        <v>EveryBlock</v>
      </c>
      <c r="L458" s="7">
        <f>=DATE(2009,8,17)</f>
        <v>40041.99949074074</v>
      </c>
      <c r="M458" s="7">
        <f>=DATE(2009,8,17)</f>
        <v>40041.99949074074</v>
      </c>
      <c r="W458" s="6" t="str">
        <v>Internet Services &amp; Software</v>
      </c>
      <c r="X458" s="6" t="str">
        <v>Internet Services &amp; Software</v>
      </c>
      <c r="Y458" s="6" t="str">
        <v>Internet Services &amp; Software</v>
      </c>
      <c r="Z458" s="6" t="str">
        <v>Internet Services &amp; Software</v>
      </c>
      <c r="AA458" s="6" t="str">
        <v>Primary Business not Hi-Tech</v>
      </c>
      <c r="AB458" s="6" t="str">
        <v>Other High Technology Industry;Other Electronics</v>
      </c>
      <c r="AH458" s="6" t="str">
        <v>False</v>
      </c>
      <c r="AI458" s="6" t="str">
        <v>2009</v>
      </c>
      <c r="AJ458" s="6" t="str">
        <v>Completed</v>
      </c>
      <c r="AM458" s="6" t="str">
        <v>Not Applicable</v>
      </c>
      <c r="AO458" s="6" t="str">
        <v>US - MSNBC, a joint venture between NBC Universal Inc, an 80% owned unit of General Electric Co {GE}, and Microsoft Corp, acquired Everyblock, a Chicago-based local site which offers news feed for every city block in 15 cities, for an undisclosed all cash deal.</v>
      </c>
    </row>
    <row r="459">
      <c r="A459" s="6" t="str">
        <v>31708V</v>
      </c>
      <c r="B459" s="6" t="str">
        <v>United States</v>
      </c>
      <c r="C459" s="6" t="str">
        <v>TheFind Inc</v>
      </c>
      <c r="D459" s="6" t="str">
        <v>TheFind Inc</v>
      </c>
      <c r="F459" s="6" t="str">
        <v>United States</v>
      </c>
      <c r="G459" s="6" t="str">
        <v>iStorez Inc</v>
      </c>
      <c r="H459" s="6" t="str">
        <v>Miscellaneous Retail Trade</v>
      </c>
      <c r="I459" s="6" t="str">
        <v>47170X</v>
      </c>
      <c r="J459" s="6" t="str">
        <v>iStorez Inc</v>
      </c>
      <c r="K459" s="6" t="str">
        <v>iStorez Inc</v>
      </c>
      <c r="L459" s="7">
        <f>=DATE(2009,9,2)</f>
        <v>40057.99949074074</v>
      </c>
      <c r="M459" s="7">
        <f>=DATE(2009,9,2)</f>
        <v>40057.99949074074</v>
      </c>
      <c r="W459" s="6" t="str">
        <v>Internet Services &amp; Software</v>
      </c>
      <c r="X459" s="6" t="str">
        <v>Internet Services &amp; Software</v>
      </c>
      <c r="Y459" s="6" t="str">
        <v>Internet Services &amp; Software</v>
      </c>
      <c r="Z459" s="6" t="str">
        <v>Internet Services &amp; Software</v>
      </c>
      <c r="AA459" s="6" t="str">
        <v>Internet Services &amp; Software</v>
      </c>
      <c r="AB459" s="6" t="str">
        <v>Internet Services &amp; Software</v>
      </c>
      <c r="AH459" s="6" t="str">
        <v>False</v>
      </c>
      <c r="AI459" s="6" t="str">
        <v>2009</v>
      </c>
      <c r="AJ459" s="6" t="str">
        <v>Completed</v>
      </c>
      <c r="AM459" s="6" t="str">
        <v>Not Applicable</v>
      </c>
      <c r="AO459" s="6" t="str">
        <v>US - theFind Inc acquired iStorez.com, a Sunnyvale-based provider of online shopping and inquiry services which includes allowing the clients to create their own online mall, have access to coupons, deals, sales and promotions from retailers. Terms were not disclosed.</v>
      </c>
    </row>
    <row r="460">
      <c r="A460" s="6" t="str">
        <v>38259P</v>
      </c>
      <c r="B460" s="6" t="str">
        <v>United States</v>
      </c>
      <c r="C460" s="6" t="str">
        <v>Google Inc</v>
      </c>
      <c r="D460" s="6" t="str">
        <v>Alphabet Inc</v>
      </c>
      <c r="F460" s="6" t="str">
        <v>United States</v>
      </c>
      <c r="G460" s="6" t="str">
        <v>reCAPTCHA</v>
      </c>
      <c r="H460" s="6" t="str">
        <v>Business Services</v>
      </c>
      <c r="I460" s="6" t="str">
        <v>75786Q</v>
      </c>
      <c r="J460" s="6" t="str">
        <v>reCAPTCHA</v>
      </c>
      <c r="K460" s="6" t="str">
        <v>reCAPTCHA</v>
      </c>
      <c r="L460" s="7">
        <f>=DATE(2009,9,16)</f>
        <v>40071.99949074074</v>
      </c>
      <c r="M460" s="7">
        <f>=DATE(2009,9,16)</f>
        <v>40071.99949074074</v>
      </c>
      <c r="W460" s="6" t="str">
        <v>Programming Services;Internet Services &amp; Software</v>
      </c>
      <c r="X460" s="6" t="str">
        <v>Internet Services &amp; Software;Networking Systems (LAN,WAN)</v>
      </c>
      <c r="Y460" s="6" t="str">
        <v>Internet Services &amp; Software;Networking Systems (LAN,WAN)</v>
      </c>
      <c r="Z460" s="6" t="str">
        <v>Internet Services &amp; Software;Networking Systems (LAN,WAN)</v>
      </c>
      <c r="AA460" s="6" t="str">
        <v>Computer Consulting Services;Internet Services &amp; Software;Programming Services;Telecommunications Equipment;Primary Business not Hi-Tech</v>
      </c>
      <c r="AB460" s="6" t="str">
        <v>Computer Consulting Services;Primary Business not Hi-Tech;Telecommunications Equipment;Programming Services;Internet Services &amp; Software</v>
      </c>
      <c r="AH460" s="6" t="str">
        <v>False</v>
      </c>
      <c r="AI460" s="6" t="str">
        <v>2009</v>
      </c>
      <c r="AJ460" s="6" t="str">
        <v>Completed</v>
      </c>
      <c r="AM460" s="6" t="str">
        <v>Not Applicable</v>
      </c>
      <c r="AO460" s="6" t="str">
        <v>US - Google Inc acquired reCAPTCHA, a provider of spam and fraud prevention services. Terms were not disclosed.</v>
      </c>
    </row>
    <row r="461">
      <c r="A461" s="6" t="str">
        <v>594918</v>
      </c>
      <c r="B461" s="6" t="str">
        <v>United States</v>
      </c>
      <c r="C461" s="6" t="str">
        <v>Microsoft Corp</v>
      </c>
      <c r="D461" s="6" t="str">
        <v>Microsoft Corp</v>
      </c>
      <c r="F461" s="6" t="str">
        <v>United States</v>
      </c>
      <c r="G461" s="6" t="str">
        <v>Interactive Supercomputing</v>
      </c>
      <c r="H461" s="6" t="str">
        <v>Prepackaged Software</v>
      </c>
      <c r="I461" s="6" t="str">
        <v>47183L</v>
      </c>
      <c r="J461" s="6" t="str">
        <v>Interactive Supercomputing</v>
      </c>
      <c r="K461" s="6" t="str">
        <v>Interactive Supercomputing</v>
      </c>
      <c r="L461" s="7">
        <f>=DATE(2009,9,22)</f>
        <v>40077.99949074074</v>
      </c>
      <c r="M461" s="7">
        <f>=DATE(2009,9,22)</f>
        <v>40077.99949074074</v>
      </c>
      <c r="W461" s="6" t="str">
        <v>Other Peripherals;Internet Services &amp; Software;Applications Software(Business;Computer Consulting Services;Monitors/Terminals;Operating Systems</v>
      </c>
      <c r="X461" s="6" t="str">
        <v>Other Software (inq. Games)</v>
      </c>
      <c r="Y461" s="6" t="str">
        <v>Other Software (inq. Games)</v>
      </c>
      <c r="Z461" s="6" t="str">
        <v>Other Software (inq. Games)</v>
      </c>
      <c r="AA461" s="6" t="str">
        <v>Internet Services &amp; Software;Applications Software(Business;Monitors/Terminals;Computer Consulting Services;Operating Systems;Other Peripherals</v>
      </c>
      <c r="AB461" s="6" t="str">
        <v>Applications Software(Business;Monitors/Terminals;Internet Services &amp; Software;Other Peripherals;Computer Consulting Services;Operating Systems</v>
      </c>
      <c r="AH461" s="6" t="str">
        <v>False</v>
      </c>
      <c r="AI461" s="6" t="str">
        <v>2009</v>
      </c>
      <c r="AJ461" s="6" t="str">
        <v>Completed</v>
      </c>
      <c r="AM461" s="6" t="str">
        <v>Not Applicable</v>
      </c>
      <c r="AO461" s="6" t="str">
        <v>US - Microsoft Corp acquired Interactive Supercomputing, a Waltham-based software development company.</v>
      </c>
    </row>
    <row r="462">
      <c r="A462" s="6" t="str">
        <v>594918</v>
      </c>
      <c r="B462" s="6" t="str">
        <v>United States</v>
      </c>
      <c r="C462" s="6" t="str">
        <v>Microsoft Corp</v>
      </c>
      <c r="D462" s="6" t="str">
        <v>Microsoft Corp</v>
      </c>
      <c r="F462" s="6" t="str">
        <v>United States</v>
      </c>
      <c r="G462" s="6" t="str">
        <v>Electronic Arts Inc</v>
      </c>
      <c r="H462" s="6" t="str">
        <v>Prepackaged Software</v>
      </c>
      <c r="I462" s="6" t="str">
        <v>285512</v>
      </c>
      <c r="J462" s="6" t="str">
        <v>Electronic Arts Inc</v>
      </c>
      <c r="K462" s="6" t="str">
        <v>Electronic Arts Inc</v>
      </c>
      <c r="L462" s="7">
        <f>=DATE(2009,9,23)</f>
        <v>40078.99949074074</v>
      </c>
      <c r="R462" s="8">
        <v>-1088</v>
      </c>
      <c r="S462" s="8">
        <v>4212</v>
      </c>
      <c r="T462" s="8">
        <v>91</v>
      </c>
      <c r="U462" s="8">
        <v>23</v>
      </c>
      <c r="V462" s="8">
        <v>12</v>
      </c>
      <c r="W462" s="6" t="str">
        <v>Other Peripherals;Computer Consulting Services;Operating Systems;Monitors/Terminals;Applications Software(Business;Internet Services &amp; Software</v>
      </c>
      <c r="X462" s="6" t="str">
        <v>Communication/Network Software;Other Software (inq. Games);Internet Services &amp; Software</v>
      </c>
      <c r="Y462" s="6" t="str">
        <v>Internet Services &amp; Software;Communication/Network Software;Other Software (inq. Games)</v>
      </c>
      <c r="Z462" s="6" t="str">
        <v>Other Software (inq. Games);Internet Services &amp; Software;Communication/Network Software</v>
      </c>
      <c r="AA462" s="6" t="str">
        <v>Computer Consulting Services;Applications Software(Business;Other Peripherals;Operating Systems;Monitors/Terminals;Internet Services &amp; Software</v>
      </c>
      <c r="AB462" s="6" t="str">
        <v>Internet Services &amp; Software;Operating Systems;Computer Consulting Services;Applications Software(Business;Other Peripherals;Monitors/Terminals</v>
      </c>
      <c r="AH462" s="6" t="str">
        <v>True</v>
      </c>
      <c r="AJ462" s="6" t="str">
        <v>Dismissed Rumor</v>
      </c>
      <c r="AL462" s="8">
        <v>323.522559</v>
      </c>
      <c r="AM462" s="6" t="str">
        <v>Rumored Deal</v>
      </c>
      <c r="AN462" s="8">
        <v>999</v>
      </c>
      <c r="AO462" s="6" t="str">
        <v>US - Microsoft Corp had been rumored to be planning to acquire the entire share capital of Electronic Arts Inc, a Redwood City-based developer of interactive software.</v>
      </c>
    </row>
    <row r="463">
      <c r="A463" s="6" t="str">
        <v>594918</v>
      </c>
      <c r="B463" s="6" t="str">
        <v>United States</v>
      </c>
      <c r="C463" s="6" t="str">
        <v>Microsoft Corp</v>
      </c>
      <c r="D463" s="6" t="str">
        <v>Microsoft Corp</v>
      </c>
      <c r="F463" s="6" t="str">
        <v>United Kingdom</v>
      </c>
      <c r="G463" s="6" t="str">
        <v>Autonomy Corp PLC</v>
      </c>
      <c r="H463" s="6" t="str">
        <v>Prepackaged Software</v>
      </c>
      <c r="I463" s="6" t="str">
        <v>05329Q</v>
      </c>
      <c r="J463" s="6" t="str">
        <v>Autonomy Corp PLC</v>
      </c>
      <c r="K463" s="6" t="str">
        <v>Autonomy Corp PLC</v>
      </c>
      <c r="L463" s="7">
        <f>=DATE(2009,9,24)</f>
        <v>40079.99949074074</v>
      </c>
      <c r="R463" s="8">
        <v>134.374897105792</v>
      </c>
      <c r="S463" s="8">
        <v>358.908168976985</v>
      </c>
      <c r="T463" s="8">
        <v>527.5139025</v>
      </c>
      <c r="U463" s="8">
        <v>-701.2163595</v>
      </c>
      <c r="V463" s="8">
        <v>115.0656525</v>
      </c>
      <c r="W463" s="6" t="str">
        <v>Monitors/Terminals;Computer Consulting Services;Other Peripherals;Internet Services &amp; Software;Applications Software(Business;Operating Systems</v>
      </c>
      <c r="X463" s="6" t="str">
        <v>Other Software (inq. Games);Other Computer Related Svcs;Computer Consulting Services;Applications Software(Business</v>
      </c>
      <c r="Y463" s="6" t="str">
        <v>Other Software (inq. Games);Computer Consulting Services;Other Computer Related Svcs;Applications Software(Business</v>
      </c>
      <c r="Z463" s="6" t="str">
        <v>Computer Consulting Services;Applications Software(Business;Other Computer Related Svcs;Other Software (inq. Games)</v>
      </c>
      <c r="AA463" s="6" t="str">
        <v>Applications Software(Business;Monitors/Terminals;Internet Services &amp; Software;Operating Systems;Computer Consulting Services;Other Peripherals</v>
      </c>
      <c r="AB463" s="6" t="str">
        <v>Other Peripherals;Computer Consulting Services;Internet Services &amp; Software;Applications Software(Business;Operating Systems;Monitors/Terminals</v>
      </c>
      <c r="AH463" s="6" t="str">
        <v>True</v>
      </c>
      <c r="AJ463" s="6" t="str">
        <v>Dismissed Rumor</v>
      </c>
      <c r="AL463" s="8">
        <v>239.338932</v>
      </c>
      <c r="AM463" s="6" t="str">
        <v>Rumored Deal</v>
      </c>
      <c r="AN463" s="8">
        <v>1659.60291067136</v>
      </c>
      <c r="AO463" s="6" t="str">
        <v>UK - Microsoft Corp of the US was rumored to be planning to launch a tender offer to acquire the entire share capital of Autonomy Corp PLC, a Cambridge-based developer of infrastructure software. The Current status of this deal is unknown.</v>
      </c>
    </row>
    <row r="464">
      <c r="A464" s="6" t="str">
        <v>67020Y</v>
      </c>
      <c r="B464" s="6" t="str">
        <v>United States</v>
      </c>
      <c r="C464" s="6" t="str">
        <v>Nuance Communications Inc</v>
      </c>
      <c r="D464" s="6" t="str">
        <v>Nuance Communications Inc</v>
      </c>
      <c r="F464" s="6" t="str">
        <v>United States</v>
      </c>
      <c r="G464" s="6" t="str">
        <v>eCopy Inc</v>
      </c>
      <c r="H464" s="6" t="str">
        <v>Prepackaged Software</v>
      </c>
      <c r="I464" s="6" t="str">
        <v>27907N</v>
      </c>
      <c r="J464" s="6" t="str">
        <v>eCopy Inc</v>
      </c>
      <c r="K464" s="6" t="str">
        <v>eCopy Inc</v>
      </c>
      <c r="L464" s="7">
        <f>=DATE(2009,9,30)</f>
        <v>40085.99949074074</v>
      </c>
      <c r="M464" s="7">
        <f>=DATE(2009,9,30)</f>
        <v>40085.99949074074</v>
      </c>
      <c r="N464" s="8">
        <v>54</v>
      </c>
      <c r="O464" s="8">
        <v>54</v>
      </c>
      <c r="W464" s="6" t="str">
        <v>Applications Software(Business;Other Computer Related Svcs;Computer Consulting Services;Primary Business not Hi-Tech;Programming Services;Utilities/File Mgmt Software;Internet Services &amp; Software;Communication/Network Software;Networking Systems (LAN,WAN);Desktop Publishing;Applications Software(Home);Database Software/Programming;Other Software (inq. Games)</v>
      </c>
      <c r="X464" s="6" t="str">
        <v>Data Processing Services;Applications Software(Business</v>
      </c>
      <c r="Y464" s="6" t="str">
        <v>Data Processing Services;Applications Software(Business</v>
      </c>
      <c r="Z464" s="6" t="str">
        <v>Data Processing Services;Applications Software(Business</v>
      </c>
      <c r="AA464" s="6" t="str">
        <v>Applications Software(Business;Applications Software(Home);Primary Business not Hi-Tech;Database Software/Programming;Networking Systems (LAN,WAN);Computer Consulting Services;Desktop Publishing;Utilities/File Mgmt Software;Internet Services &amp; Software;Programming Services;Other Computer Related Svcs;Communication/Network Software;Other Software (inq. Games)</v>
      </c>
      <c r="AB464" s="6" t="str">
        <v>Networking Systems (LAN,WAN);Other Software (inq. Games);Computer Consulting Services;Utilities/File Mgmt Software;Communication/Network Software;Desktop Publishing;Internet Services &amp; Software;Other Computer Related Svcs;Database Software/Programming;Applications Software(Business;Primary Business not Hi-Tech;Programming Services;Applications Software(Home)</v>
      </c>
      <c r="AC464" s="8">
        <v>54</v>
      </c>
      <c r="AD464" s="7">
        <f>=DATE(2009,10,5)</f>
        <v>40090.99949074074</v>
      </c>
      <c r="AF464" s="8" t="str">
        <v>54.00</v>
      </c>
      <c r="AG464" s="8" t="str">
        <v>54.00</v>
      </c>
      <c r="AH464" s="6" t="str">
        <v>False</v>
      </c>
      <c r="AI464" s="6" t="str">
        <v>2009</v>
      </c>
      <c r="AJ464" s="6" t="str">
        <v>Completed</v>
      </c>
      <c r="AM464" s="6" t="str">
        <v>Financial Acquiror;Stock Swap</v>
      </c>
      <c r="AO464" s="6" t="str">
        <v>US - Nuance Communications Inc (Nuance) acquired the entire share capital of eCopy Inc, a Nashua-based provider of document imaging solutions and services, in exchange for an estimated USD 54 mil in Nuance common shares.</v>
      </c>
    </row>
    <row r="465">
      <c r="A465" s="6" t="str">
        <v>38259P</v>
      </c>
      <c r="B465" s="6" t="str">
        <v>United States</v>
      </c>
      <c r="C465" s="6" t="str">
        <v>Google Inc</v>
      </c>
      <c r="D465" s="6" t="str">
        <v>Alphabet Inc</v>
      </c>
      <c r="F465" s="6" t="str">
        <v>United States</v>
      </c>
      <c r="G465" s="6" t="str">
        <v>Akamai Technologies Inc</v>
      </c>
      <c r="H465" s="6" t="str">
        <v>Business Services</v>
      </c>
      <c r="I465" s="6" t="str">
        <v>00971T</v>
      </c>
      <c r="J465" s="6" t="str">
        <v>Akamai Technologies Inc</v>
      </c>
      <c r="K465" s="6" t="str">
        <v>Akamai Technologies Inc</v>
      </c>
      <c r="L465" s="7">
        <f>=DATE(2009,10,15)</f>
        <v>40100.99949074074</v>
      </c>
      <c r="R465" s="8">
        <v>105.833</v>
      </c>
      <c r="S465" s="8">
        <v>621.468</v>
      </c>
      <c r="T465" s="8">
        <v>-36.438</v>
      </c>
      <c r="U465" s="8">
        <v>-217.559</v>
      </c>
      <c r="V465" s="8">
        <v>299.543</v>
      </c>
      <c r="W465" s="6" t="str">
        <v>Internet Services &amp; Software;Programming Services</v>
      </c>
      <c r="X465" s="6" t="str">
        <v>Programming Services;Desktop Publishing;Applications Software(Home);Applications Software(Business;Database Software/Programming;Internet Services &amp; Software;Utilities/File Mgmt Software;Other Software (inq. Games);Communication/Network Software</v>
      </c>
      <c r="Y465" s="6" t="str">
        <v>Internet Services &amp; Software;Applications Software(Home);Desktop Publishing;Communication/Network Software;Programming Services;Applications Software(Business;Database Software/Programming;Utilities/File Mgmt Software;Other Software (inq. Games)</v>
      </c>
      <c r="Z465" s="6" t="str">
        <v>Internet Services &amp; Software;Desktop Publishing;Applications Software(Home);Applications Software(Business;Programming Services;Other Software (inq. Games);Communication/Network Software;Database Software/Programming;Utilities/File Mgmt Software</v>
      </c>
      <c r="AA465" s="6" t="str">
        <v>Programming Services;Primary Business not Hi-Tech;Internet Services &amp; Software;Computer Consulting Services;Telecommunications Equipment</v>
      </c>
      <c r="AB465" s="6" t="str">
        <v>Telecommunications Equipment;Programming Services;Computer Consulting Services;Primary Business not Hi-Tech;Internet Services &amp; Software</v>
      </c>
      <c r="AH465" s="6" t="str">
        <v>True</v>
      </c>
      <c r="AJ465" s="6" t="str">
        <v>Dismissed Rumor</v>
      </c>
      <c r="AL465" s="8">
        <v>172.401167</v>
      </c>
      <c r="AM465" s="6" t="str">
        <v>Rumored Deal</v>
      </c>
      <c r="AN465" s="8">
        <v>602.348</v>
      </c>
      <c r="AO465" s="6" t="str">
        <v>US - Google Inc was rumored to be planning to acquire the entire share capital of Akamai Technologies Inc, a Cambridge-based developer of Internet software. The Current status of this deal is unknown.</v>
      </c>
    </row>
    <row r="466">
      <c r="A466" s="6" t="str">
        <v>037833</v>
      </c>
      <c r="B466" s="6" t="str">
        <v>United States</v>
      </c>
      <c r="C466" s="6" t="str">
        <v>Apple Inc</v>
      </c>
      <c r="D466" s="6" t="str">
        <v>Apple Inc</v>
      </c>
      <c r="F466" s="6" t="str">
        <v>United States</v>
      </c>
      <c r="G466" s="6" t="str">
        <v>Placebase</v>
      </c>
      <c r="H466" s="6" t="str">
        <v>Business Services</v>
      </c>
      <c r="I466" s="6" t="str">
        <v>72599W</v>
      </c>
      <c r="J466" s="6" t="str">
        <v>Placebase</v>
      </c>
      <c r="K466" s="6" t="str">
        <v>Placebase</v>
      </c>
      <c r="L466" s="7">
        <f>=DATE(2009,10,31)</f>
        <v>40116.99949074074</v>
      </c>
      <c r="M466" s="7">
        <f>=DATE(2009,10,31)</f>
        <v>40116.99949074074</v>
      </c>
      <c r="W466" s="6" t="str">
        <v>Printers;Other Peripherals;Portable Computers;Other Software (inq. Games);Mainframes &amp; Super Computers;Micro-Computers (PCs);Monitors/Terminals;Disk Drives</v>
      </c>
      <c r="X466" s="6" t="str">
        <v>Internet Services &amp; Software</v>
      </c>
      <c r="Y466" s="6" t="str">
        <v>Internet Services &amp; Software</v>
      </c>
      <c r="Z466" s="6" t="str">
        <v>Internet Services &amp; Software</v>
      </c>
      <c r="AA466" s="6" t="str">
        <v>Micro-Computers (PCs);Mainframes &amp; Super Computers;Other Peripherals;Monitors/Terminals;Printers;Portable Computers;Disk Drives;Other Software (inq. Games)</v>
      </c>
      <c r="AB466" s="6" t="str">
        <v>Mainframes &amp; Super Computers;Disk Drives;Other Software (inq. Games);Printers;Micro-Computers (PCs);Monitors/Terminals;Portable Computers;Other Peripherals</v>
      </c>
      <c r="AH466" s="6" t="str">
        <v>False</v>
      </c>
      <c r="AI466" s="6" t="str">
        <v>2009</v>
      </c>
      <c r="AJ466" s="6" t="str">
        <v>Completed</v>
      </c>
      <c r="AM466" s="6" t="str">
        <v>Not Applicable</v>
      </c>
      <c r="AO466" s="6" t="str">
        <v>US - Apple Inc (Apple) acquired Placebase, a provider of web mapping services. Originally, in October 2009, Apple was rumored to be planning to acquire Placebase.</v>
      </c>
    </row>
    <row r="467">
      <c r="A467" s="6" t="str">
        <v>38259P</v>
      </c>
      <c r="B467" s="6" t="str">
        <v>United States</v>
      </c>
      <c r="C467" s="6" t="str">
        <v>Google Inc</v>
      </c>
      <c r="D467" s="6" t="str">
        <v>Alphabet Inc</v>
      </c>
      <c r="F467" s="6" t="str">
        <v>United States</v>
      </c>
      <c r="G467" s="6" t="str">
        <v>AdMob Inc</v>
      </c>
      <c r="H467" s="6" t="str">
        <v>Advertising Services</v>
      </c>
      <c r="I467" s="6" t="str">
        <v>23930W</v>
      </c>
      <c r="J467" s="6" t="str">
        <v>AdMob Inc</v>
      </c>
      <c r="K467" s="6" t="str">
        <v>AdMob Inc</v>
      </c>
      <c r="L467" s="7">
        <f>=DATE(2009,11,9)</f>
        <v>40125.99949074074</v>
      </c>
      <c r="M467" s="7">
        <f>=DATE(2010,5,27)</f>
        <v>40324.99949074074</v>
      </c>
      <c r="N467" s="8">
        <v>750</v>
      </c>
      <c r="O467" s="8">
        <v>750</v>
      </c>
      <c r="W467" s="6" t="str">
        <v>Programming Services;Internet Services &amp; Software</v>
      </c>
      <c r="X467" s="6" t="str">
        <v>Internet Services &amp; Software;Primary Business not Hi-Tech</v>
      </c>
      <c r="Y467" s="6" t="str">
        <v>Primary Business not Hi-Tech;Internet Services &amp; Software</v>
      </c>
      <c r="Z467" s="6" t="str">
        <v>Primary Business not Hi-Tech;Internet Services &amp; Software</v>
      </c>
      <c r="AA467" s="6" t="str">
        <v>Internet Services &amp; Software;Programming Services;Computer Consulting Services;Primary Business not Hi-Tech;Telecommunications Equipment</v>
      </c>
      <c r="AB467" s="6" t="str">
        <v>Computer Consulting Services;Internet Services &amp; Software;Telecommunications Equipment;Programming Services;Primary Business not Hi-Tech</v>
      </c>
      <c r="AC467" s="8">
        <v>750</v>
      </c>
      <c r="AD467" s="7">
        <f>=DATE(2009,11,9)</f>
        <v>40125.99949074074</v>
      </c>
      <c r="AF467" s="8" t="str">
        <v>750.00</v>
      </c>
      <c r="AH467" s="6" t="str">
        <v>False</v>
      </c>
      <c r="AI467" s="6" t="str">
        <v>2010</v>
      </c>
      <c r="AJ467" s="6" t="str">
        <v>Completed</v>
      </c>
      <c r="AM467" s="6" t="str">
        <v>Stock Swap</v>
      </c>
      <c r="AO467" s="6" t="str">
        <v>US - Google Inc acquired AdMob Inc, a San Mateo-based provider of marketing solution services, for USD 750 mil in common stock.</v>
      </c>
    </row>
    <row r="468">
      <c r="A468" s="6" t="str">
        <v>38259P</v>
      </c>
      <c r="B468" s="6" t="str">
        <v>United States</v>
      </c>
      <c r="C468" s="6" t="str">
        <v>Google Inc</v>
      </c>
      <c r="D468" s="6" t="str">
        <v>Alphabet Inc</v>
      </c>
      <c r="F468" s="6" t="str">
        <v>United States</v>
      </c>
      <c r="G468" s="6" t="str">
        <v>Gizmo5</v>
      </c>
      <c r="H468" s="6" t="str">
        <v>Telecommunications</v>
      </c>
      <c r="I468" s="6" t="str">
        <v>37629Y</v>
      </c>
      <c r="J468" s="6" t="str">
        <v>Gizmo5</v>
      </c>
      <c r="K468" s="6" t="str">
        <v>Gizmo5</v>
      </c>
      <c r="L468" s="7">
        <f>=DATE(2009,11,9)</f>
        <v>40125.99949074074</v>
      </c>
      <c r="M468" s="7">
        <f>=DATE(2009,11,13)</f>
        <v>40129.99949074074</v>
      </c>
      <c r="W468" s="6" t="str">
        <v>Internet Services &amp; Software;Programming Services</v>
      </c>
      <c r="X468" s="6" t="str">
        <v>Internet Services &amp; Software;Telecommunications Equipment;Communication/Network Software</v>
      </c>
      <c r="Y468" s="6" t="str">
        <v>Internet Services &amp; Software;Telecommunications Equipment;Communication/Network Software</v>
      </c>
      <c r="Z468" s="6" t="str">
        <v>Communication/Network Software;Telecommunications Equipment;Internet Services &amp; Software</v>
      </c>
      <c r="AA468" s="6" t="str">
        <v>Primary Business not Hi-Tech;Computer Consulting Services;Programming Services;Telecommunications Equipment;Internet Services &amp; Software</v>
      </c>
      <c r="AB468" s="6" t="str">
        <v>Programming Services;Computer Consulting Services;Telecommunications Equipment;Internet Services &amp; Software;Primary Business not Hi-Tech</v>
      </c>
      <c r="AH468" s="6" t="str">
        <v>False</v>
      </c>
      <c r="AI468" s="6" t="str">
        <v>2009</v>
      </c>
      <c r="AJ468" s="6" t="str">
        <v>Completed</v>
      </c>
      <c r="AM468" s="6" t="str">
        <v>Rumored Deal</v>
      </c>
      <c r="AO468" s="6" t="str">
        <v>US - Google Inc acquired Gizmo5 a San Diego-based provider of Voice over Internet Protocol communications network services. Terms were not disclosed but, according to sources close to the situation, the deal was valued at an estimated USD 30 mil in cash. Originally, in November 2009, Google was rumored to be planning to acquire Gizmo5.</v>
      </c>
    </row>
    <row r="469">
      <c r="A469" s="6" t="str">
        <v>594918</v>
      </c>
      <c r="B469" s="6" t="str">
        <v>United States</v>
      </c>
      <c r="C469" s="6" t="str">
        <v>Microsoft Corp</v>
      </c>
      <c r="D469" s="6" t="str">
        <v>Microsoft Corp</v>
      </c>
      <c r="F469" s="6" t="str">
        <v>United States</v>
      </c>
      <c r="G469" s="6" t="str">
        <v>SourceGear LLC-Teamprise Assets</v>
      </c>
      <c r="H469" s="6" t="str">
        <v>Business Services</v>
      </c>
      <c r="I469" s="6" t="str">
        <v>83771J</v>
      </c>
      <c r="J469" s="6" t="str">
        <v>SourceGear LLC</v>
      </c>
      <c r="K469" s="6" t="str">
        <v>SourceGear LLC</v>
      </c>
      <c r="L469" s="7">
        <f>=DATE(2009,11,9)</f>
        <v>40125.99949074074</v>
      </c>
      <c r="M469" s="7">
        <f>=DATE(2009,11,9)</f>
        <v>40125.99949074074</v>
      </c>
      <c r="W469" s="6" t="str">
        <v>Other Peripherals;Internet Services &amp; Software;Monitors/Terminals;Operating Systems;Computer Consulting Services;Applications Software(Business</v>
      </c>
      <c r="X469" s="6" t="str">
        <v>Programming Services;Applications Software(Business;Database Software/Programming</v>
      </c>
      <c r="Y469" s="6" t="str">
        <v>Programming Services;Database Software/Programming;Applications Software(Business</v>
      </c>
      <c r="Z469" s="6" t="str">
        <v>Applications Software(Business;Database Software/Programming;Programming Services</v>
      </c>
      <c r="AA469" s="6" t="str">
        <v>Other Peripherals;Computer Consulting Services;Operating Systems;Applications Software(Business;Internet Services &amp; Software;Monitors/Terminals</v>
      </c>
      <c r="AB469" s="6" t="str">
        <v>Other Peripherals;Internet Services &amp; Software;Operating Systems;Computer Consulting Services;Applications Software(Business;Monitors/Terminals</v>
      </c>
      <c r="AH469" s="6" t="str">
        <v>False</v>
      </c>
      <c r="AI469" s="6" t="str">
        <v>2009</v>
      </c>
      <c r="AJ469" s="6" t="str">
        <v>Completed</v>
      </c>
      <c r="AM469" s="6" t="str">
        <v>Divestiture</v>
      </c>
      <c r="AO469" s="6" t="str">
        <v>US - Microsoft Corp acquired the Teamprise assets of SourceGear LLC, a Champaign-based developer of programming applications. Terms were not disclosed.</v>
      </c>
    </row>
    <row r="470">
      <c r="A470" s="6" t="str">
        <v>38259P</v>
      </c>
      <c r="B470" s="6" t="str">
        <v>United States</v>
      </c>
      <c r="C470" s="6" t="str">
        <v>Google Inc</v>
      </c>
      <c r="D470" s="6" t="str">
        <v>Alphabet Inc</v>
      </c>
      <c r="F470" s="6" t="str">
        <v>United States</v>
      </c>
      <c r="G470" s="6" t="str">
        <v>Teracent Corp</v>
      </c>
      <c r="H470" s="6" t="str">
        <v>Prepackaged Software</v>
      </c>
      <c r="I470" s="6" t="str">
        <v>86522N</v>
      </c>
      <c r="J470" s="6" t="str">
        <v>Teracent Corp</v>
      </c>
      <c r="K470" s="6" t="str">
        <v>Teracent Corp</v>
      </c>
      <c r="L470" s="7">
        <f>=DATE(2009,11,23)</f>
        <v>40139.99949074074</v>
      </c>
      <c r="M470" s="7">
        <f>=DATE(2009,12,31)</f>
        <v>40177.99949074074</v>
      </c>
      <c r="W470" s="6" t="str">
        <v>Programming Services;Internet Services &amp; Software</v>
      </c>
      <c r="X470" s="6" t="str">
        <v>Internet Services &amp; Software;Communication/Network Software</v>
      </c>
      <c r="Y470" s="6" t="str">
        <v>Internet Services &amp; Software;Communication/Network Software</v>
      </c>
      <c r="Z470" s="6" t="str">
        <v>Communication/Network Software;Internet Services &amp; Software</v>
      </c>
      <c r="AA470" s="6" t="str">
        <v>Computer Consulting Services;Internet Services &amp; Software;Telecommunications Equipment;Primary Business not Hi-Tech;Programming Services</v>
      </c>
      <c r="AB470" s="6" t="str">
        <v>Internet Services &amp; Software;Computer Consulting Services;Telecommunications Equipment;Primary Business not Hi-Tech;Programming Services</v>
      </c>
      <c r="AH470" s="6" t="str">
        <v>False</v>
      </c>
      <c r="AI470" s="6" t="str">
        <v>2009</v>
      </c>
      <c r="AJ470" s="6" t="str">
        <v>Completed</v>
      </c>
      <c r="AM470" s="6" t="str">
        <v>Not Applicable</v>
      </c>
      <c r="AO470" s="6" t="str">
        <v>US - Google Inc acquired Teracent Corp, a San Mateo-based developer of advertising optimization platform. Terms were not disclosed.</v>
      </c>
    </row>
    <row r="471">
      <c r="A471" s="6" t="str">
        <v>38259P</v>
      </c>
      <c r="B471" s="6" t="str">
        <v>United States</v>
      </c>
      <c r="C471" s="6" t="str">
        <v>Google Inc</v>
      </c>
      <c r="D471" s="6" t="str">
        <v>Alphabet Inc</v>
      </c>
      <c r="F471" s="6" t="str">
        <v>United States</v>
      </c>
      <c r="G471" s="6" t="str">
        <v>AppJet Inc</v>
      </c>
      <c r="H471" s="6" t="str">
        <v>Prepackaged Software</v>
      </c>
      <c r="I471" s="6" t="str">
        <v>01506C</v>
      </c>
      <c r="J471" s="6" t="str">
        <v>AppJet Inc</v>
      </c>
      <c r="K471" s="6" t="str">
        <v>AppJet Inc</v>
      </c>
      <c r="L471" s="7">
        <f>=DATE(2009,12,4)</f>
        <v>40150.99949074074</v>
      </c>
      <c r="M471" s="7">
        <f>=DATE(2009,12,4)</f>
        <v>40150.99949074074</v>
      </c>
      <c r="W471" s="6" t="str">
        <v>Internet Services &amp; Software;Programming Services</v>
      </c>
      <c r="X471" s="6" t="str">
        <v>Communication/Network Software;Internet Services &amp; Software</v>
      </c>
      <c r="Y471" s="6" t="str">
        <v>Internet Services &amp; Software;Communication/Network Software</v>
      </c>
      <c r="Z471" s="6" t="str">
        <v>Communication/Network Software;Internet Services &amp; Software</v>
      </c>
      <c r="AA471" s="6" t="str">
        <v>Internet Services &amp; Software;Telecommunications Equipment;Programming Services;Computer Consulting Services;Primary Business not Hi-Tech</v>
      </c>
      <c r="AB471" s="6" t="str">
        <v>Programming Services;Internet Services &amp; Software;Primary Business not Hi-Tech;Computer Consulting Services;Telecommunications Equipment</v>
      </c>
      <c r="AH471" s="6" t="str">
        <v>False</v>
      </c>
      <c r="AI471" s="6" t="str">
        <v>2009</v>
      </c>
      <c r="AJ471" s="6" t="str">
        <v>Completed</v>
      </c>
      <c r="AM471" s="6" t="str">
        <v>Not Applicable</v>
      </c>
      <c r="AO471" s="6" t="str">
        <v>US - Google Inc acquired AppJet Inc, a San Francisco-based developer of web-based word processing software. Terms were not disclosed.</v>
      </c>
    </row>
    <row r="472">
      <c r="A472" s="6" t="str">
        <v>037833</v>
      </c>
      <c r="B472" s="6" t="str">
        <v>United States</v>
      </c>
      <c r="C472" s="6" t="str">
        <v>Apple Inc</v>
      </c>
      <c r="D472" s="6" t="str">
        <v>Apple Inc</v>
      </c>
      <c r="F472" s="6" t="str">
        <v>United States</v>
      </c>
      <c r="G472" s="6" t="str">
        <v>la la Media Inc</v>
      </c>
      <c r="H472" s="6" t="str">
        <v>Business Services</v>
      </c>
      <c r="I472" s="6" t="str">
        <v>49755M</v>
      </c>
      <c r="J472" s="6" t="str">
        <v>la la Media Inc</v>
      </c>
      <c r="K472" s="6" t="str">
        <v>la la Media Inc</v>
      </c>
      <c r="L472" s="7">
        <f>=DATE(2009,12,4)</f>
        <v>40150.99949074074</v>
      </c>
      <c r="M472" s="7">
        <f>=DATE(2009,12,6)</f>
        <v>40152.99949074074</v>
      </c>
      <c r="W472" s="6" t="str">
        <v>Other Peripherals;Printers;Mainframes &amp; Super Computers;Disk Drives;Micro-Computers (PCs);Other Software (inq. Games);Portable Computers;Monitors/Terminals</v>
      </c>
      <c r="X472" s="6" t="str">
        <v>Internet Services &amp; Software</v>
      </c>
      <c r="Y472" s="6" t="str">
        <v>Internet Services &amp; Software</v>
      </c>
      <c r="Z472" s="6" t="str">
        <v>Internet Services &amp; Software</v>
      </c>
      <c r="AA472" s="6" t="str">
        <v>Disk Drives;Portable Computers;Printers;Micro-Computers (PCs);Mainframes &amp; Super Computers;Monitors/Terminals;Other Peripherals;Other Software (inq. Games)</v>
      </c>
      <c r="AB472" s="6" t="str">
        <v>Printers;Mainframes &amp; Super Computers;Other Software (inq. Games);Portable Computers;Micro-Computers (PCs);Disk Drives;Other Peripherals;Monitors/Terminals</v>
      </c>
      <c r="AH472" s="6" t="str">
        <v>True</v>
      </c>
      <c r="AI472" s="6" t="str">
        <v>2009</v>
      </c>
      <c r="AJ472" s="6" t="str">
        <v>Completed</v>
      </c>
      <c r="AM472" s="6" t="str">
        <v>Rumored Deal</v>
      </c>
      <c r="AO472" s="6" t="str">
        <v>US - Apple Inc acquired la la Media Inc, a Palo Alto-based provider of online music streaming services.</v>
      </c>
    </row>
    <row r="473">
      <c r="A473" s="6" t="str">
        <v>023135</v>
      </c>
      <c r="B473" s="6" t="str">
        <v>United States</v>
      </c>
      <c r="C473" s="6" t="str">
        <v>Amazon.com Inc</v>
      </c>
      <c r="D473" s="6" t="str">
        <v>Amazon.com Inc</v>
      </c>
      <c r="F473" s="6" t="str">
        <v>France</v>
      </c>
      <c r="G473" s="6" t="str">
        <v>Vente-Privee com SA</v>
      </c>
      <c r="H473" s="6" t="str">
        <v>Miscellaneous Retail Trade</v>
      </c>
      <c r="I473" s="6" t="str">
        <v>92380R</v>
      </c>
      <c r="J473" s="6" t="str">
        <v>Vente-Privee com SA</v>
      </c>
      <c r="K473" s="6" t="str">
        <v>Vente-Privee com SA</v>
      </c>
      <c r="L473" s="7">
        <f>=DATE(2009,12,4)</f>
        <v>40150.99949074074</v>
      </c>
      <c r="W473" s="6" t="str">
        <v>Primary Business not Hi-Tech</v>
      </c>
      <c r="X473" s="6" t="str">
        <v>Internet Services &amp; Software</v>
      </c>
      <c r="Y473" s="6" t="str">
        <v>Internet Services &amp; Software</v>
      </c>
      <c r="Z473" s="6" t="str">
        <v>Internet Services &amp; Software</v>
      </c>
      <c r="AA473" s="6" t="str">
        <v>Primary Business not Hi-Tech</v>
      </c>
      <c r="AB473" s="6" t="str">
        <v>Primary Business not Hi-Tech</v>
      </c>
      <c r="AH473" s="6" t="str">
        <v>True</v>
      </c>
      <c r="AJ473" s="6" t="str">
        <v>Dismissed Rumor</v>
      </c>
      <c r="AM473" s="6" t="str">
        <v>Rumored Deal</v>
      </c>
      <c r="AO473" s="6" t="str">
        <v>FRANCE - Amazon.com Inc of the US was rumored to be planning to acquire vente.privee.com, a La Plaine Saint-Denis-based provider of ecommerce retail services. The Current status of this deal is unknown.</v>
      </c>
    </row>
    <row r="474">
      <c r="A474" s="6" t="str">
        <v>59558H</v>
      </c>
      <c r="B474" s="6" t="str">
        <v>United States</v>
      </c>
      <c r="C474" s="6" t="str">
        <v>Microsoft Corp-Internet Search &amp; Advertising Operations</v>
      </c>
      <c r="D474" s="6" t="str">
        <v>Microsoft Corp</v>
      </c>
      <c r="F474" s="6" t="str">
        <v>United States</v>
      </c>
      <c r="G474" s="6" t="str">
        <v>Yahoo! Inc-Internet Search &amp; Advertising Operations</v>
      </c>
      <c r="H474" s="6" t="str">
        <v>Business Services</v>
      </c>
      <c r="I474" s="6" t="str">
        <v>98700F</v>
      </c>
      <c r="J474" s="6" t="str">
        <v>Yahoo! Inc</v>
      </c>
      <c r="K474" s="6" t="str">
        <v>Yahoo! Inc</v>
      </c>
      <c r="L474" s="7">
        <f>=DATE(2009,12,4)</f>
        <v>40150.99949074074</v>
      </c>
      <c r="M474" s="7">
        <f>=DATE(2009,12,31)</f>
        <v>40177.99949074074</v>
      </c>
      <c r="W474" s="6" t="str">
        <v>Computer Consulting Services;Applications Software(Business;Other Peripherals;Operating Systems;Monitors/Terminals;Internet Services &amp; Software</v>
      </c>
      <c r="X474" s="6" t="str">
        <v>Internet Services &amp; Software</v>
      </c>
      <c r="Y474" s="6" t="str">
        <v>Internet Services &amp; Software</v>
      </c>
      <c r="Z474" s="6" t="str">
        <v>Internet Services &amp; Software</v>
      </c>
      <c r="AA474" s="6" t="str">
        <v>Operating Systems;Monitors/Terminals;Other Peripherals;Internet Services &amp; Software;Applications Software(Business;Computer Consulting Services</v>
      </c>
      <c r="AB474" s="6" t="str">
        <v>Applications Software(Business;Computer Consulting Services;Monitors/Terminals;Operating Systems;Other Peripherals;Internet Services &amp; Software</v>
      </c>
      <c r="AH474" s="6" t="str">
        <v>False</v>
      </c>
      <c r="AI474" s="6" t="str">
        <v>2009</v>
      </c>
      <c r="AJ474" s="6" t="str">
        <v>Completed</v>
      </c>
      <c r="AM474" s="6" t="str">
        <v>Divestiture;Rumored Deal;Joint Venture</v>
      </c>
      <c r="AO474" s="6" t="str">
        <v>US - Microsoft Corp (Microsoft) merged its Internet search and advertising operations with the Internet search and advertising operations (Yahoo operations) of Yahoo! Inc, a Sunnyvale-based provider of Internet search engine services, to form a joint venture. Originally, Microsoft was rumored to be planning to merge its operations with Yahoo operations, to form a joint venture.</v>
      </c>
    </row>
    <row r="475">
      <c r="A475" s="6" t="str">
        <v>594918</v>
      </c>
      <c r="B475" s="6" t="str">
        <v>United States</v>
      </c>
      <c r="C475" s="6" t="str">
        <v>Microsoft Corp</v>
      </c>
      <c r="D475" s="6" t="str">
        <v>Microsoft Corp</v>
      </c>
      <c r="F475" s="6" t="str">
        <v>United States</v>
      </c>
      <c r="G475" s="6" t="str">
        <v>Sentillion Inc</v>
      </c>
      <c r="H475" s="6" t="str">
        <v>Prepackaged Software</v>
      </c>
      <c r="I475" s="6" t="str">
        <v>81828W</v>
      </c>
      <c r="J475" s="6" t="str">
        <v>Sentillion Inc</v>
      </c>
      <c r="K475" s="6" t="str">
        <v>Sentillion Inc</v>
      </c>
      <c r="L475" s="7">
        <f>=DATE(2009,12,10)</f>
        <v>40156.99949074074</v>
      </c>
      <c r="M475" s="7">
        <f>=DATE(2010,2,2)</f>
        <v>40210.99949074074</v>
      </c>
      <c r="W475" s="6" t="str">
        <v>Other Peripherals;Internet Services &amp; Software;Computer Consulting Services;Applications Software(Business;Operating Systems;Monitors/Terminals</v>
      </c>
      <c r="X475" s="6" t="str">
        <v>Other Software (inq. Games)</v>
      </c>
      <c r="Y475" s="6" t="str">
        <v>Other Software (inq. Games)</v>
      </c>
      <c r="Z475" s="6" t="str">
        <v>Other Software (inq. Games)</v>
      </c>
      <c r="AA475" s="6" t="str">
        <v>Internet Services &amp; Software;Computer Consulting Services;Applications Software(Business;Operating Systems;Monitors/Terminals;Other Peripherals</v>
      </c>
      <c r="AB475" s="6" t="str">
        <v>Internet Services &amp; Software;Operating Systems;Other Peripherals;Monitors/Terminals;Applications Software(Business;Computer Consulting Services</v>
      </c>
      <c r="AH475" s="6" t="str">
        <v>False</v>
      </c>
      <c r="AI475" s="6" t="str">
        <v>2010</v>
      </c>
      <c r="AJ475" s="6" t="str">
        <v>Completed</v>
      </c>
      <c r="AM475" s="6" t="str">
        <v>Not Applicable</v>
      </c>
      <c r="AO475" s="6" t="str">
        <v>US - Microsoft Corp acquired Sentillion Inc, an Andover-based developer of software. Terms were not disclosed.</v>
      </c>
    </row>
    <row r="476">
      <c r="A476" s="6" t="str">
        <v>594918</v>
      </c>
      <c r="B476" s="6" t="str">
        <v>United States</v>
      </c>
      <c r="C476" s="6" t="str">
        <v>Microsoft Corp</v>
      </c>
      <c r="D476" s="6" t="str">
        <v>Microsoft Corp</v>
      </c>
      <c r="F476" s="6" t="str">
        <v>Canada</v>
      </c>
      <c r="G476" s="6" t="str">
        <v>Opalis Software Inc</v>
      </c>
      <c r="H476" s="6" t="str">
        <v>Prepackaged Software</v>
      </c>
      <c r="I476" s="6" t="str">
        <v>68350P</v>
      </c>
      <c r="J476" s="6" t="str">
        <v>Microsoft Corp</v>
      </c>
      <c r="K476" s="6" t="str">
        <v>Microsoft Corp</v>
      </c>
      <c r="L476" s="7">
        <f>=DATE(2009,12,11)</f>
        <v>40157.99949074074</v>
      </c>
      <c r="M476" s="7">
        <f>=DATE(2009,12,11)</f>
        <v>40157.99949074074</v>
      </c>
      <c r="W476" s="6" t="str">
        <v>Monitors/Terminals;Other Peripherals;Computer Consulting Services;Operating Systems;Internet Services &amp; Software;Applications Software(Business</v>
      </c>
      <c r="X476" s="6" t="str">
        <v>Other Software (inq. Games)</v>
      </c>
      <c r="Y476" s="6" t="str">
        <v>Monitors/Terminals;Computer Consulting Services;Internet Services &amp; Software;Applications Software(Business;Operating Systems;Other Peripherals</v>
      </c>
      <c r="Z476" s="6" t="str">
        <v>Monitors/Terminals;Computer Consulting Services;Other Peripherals;Applications Software(Business;Internet Services &amp; Software;Operating Systems</v>
      </c>
      <c r="AA476" s="6" t="str">
        <v>Computer Consulting Services;Operating Systems;Internet Services &amp; Software;Monitors/Terminals;Other Peripherals;Applications Software(Business</v>
      </c>
      <c r="AB476" s="6" t="str">
        <v>Internet Services &amp; Software;Other Peripherals;Operating Systems;Monitors/Terminals;Computer Consulting Services;Applications Software(Business</v>
      </c>
      <c r="AH476" s="6" t="str">
        <v>False</v>
      </c>
      <c r="AI476" s="6" t="str">
        <v>2009</v>
      </c>
      <c r="AJ476" s="6" t="str">
        <v>Completed</v>
      </c>
      <c r="AM476" s="6" t="str">
        <v>Rumored Deal</v>
      </c>
      <c r="AO476" s="6" t="str">
        <v>CANADA - Microsoft Corp (Microsoft) of the US acquired Opalis Software Inc (Opalis), a Mississauga-based developer of IT process automation software. Terms were not disclosed. Originally, Microsoft was rumored to be planning to acquire Opalis.</v>
      </c>
    </row>
    <row r="477">
      <c r="A477" s="6" t="str">
        <v>38259P</v>
      </c>
      <c r="B477" s="6" t="str">
        <v>United States</v>
      </c>
      <c r="C477" s="6" t="str">
        <v>Google Inc</v>
      </c>
      <c r="D477" s="6" t="str">
        <v>Alphabet Inc</v>
      </c>
      <c r="F477" s="6" t="str">
        <v>United States</v>
      </c>
      <c r="G477" s="6" t="str">
        <v>Yelp! Inc</v>
      </c>
      <c r="H477" s="6" t="str">
        <v>Business Services</v>
      </c>
      <c r="I477" s="6" t="str">
        <v>99257T</v>
      </c>
      <c r="J477" s="6" t="str">
        <v>Yelp! Inc</v>
      </c>
      <c r="K477" s="6" t="str">
        <v>Yelp! Inc</v>
      </c>
      <c r="L477" s="7">
        <f>=DATE(2009,12,18)</f>
        <v>40164.99949074074</v>
      </c>
      <c r="W477" s="6" t="str">
        <v>Internet Services &amp; Software;Programming Services</v>
      </c>
      <c r="X477" s="6" t="str">
        <v>Internet Services &amp; Software</v>
      </c>
      <c r="Y477" s="6" t="str">
        <v>Internet Services &amp; Software</v>
      </c>
      <c r="Z477" s="6" t="str">
        <v>Internet Services &amp; Software</v>
      </c>
      <c r="AA477" s="6" t="str">
        <v>Telecommunications Equipment;Programming Services;Primary Business not Hi-Tech;Computer Consulting Services;Internet Services &amp; Software</v>
      </c>
      <c r="AB477" s="6" t="str">
        <v>Computer Consulting Services;Programming Services;Primary Business not Hi-Tech;Telecommunications Equipment;Internet Services &amp; Software</v>
      </c>
      <c r="AH477" s="6" t="str">
        <v>True</v>
      </c>
      <c r="AJ477" s="6" t="str">
        <v>Dismissed Rumor</v>
      </c>
      <c r="AM477" s="6" t="str">
        <v>Rumored Deal</v>
      </c>
      <c r="AO477" s="6" t="str">
        <v>US - Google Inc was rumored to be planning to acquire Yelp! Inc, a San Fracisco-based provider of internet search engine services. Terms were not disclosed, but according to sources familiar with the transaction, the deal was valued at an estimated USD 500 mil. The Current status of this deal is unknown.</v>
      </c>
    </row>
    <row r="478">
      <c r="A478" s="6" t="str">
        <v>38259P</v>
      </c>
      <c r="B478" s="6" t="str">
        <v>United States</v>
      </c>
      <c r="C478" s="6" t="str">
        <v>Google Inc</v>
      </c>
      <c r="D478" s="6" t="str">
        <v>Alphabet Inc</v>
      </c>
      <c r="F478" s="6" t="str">
        <v>Vietnam</v>
      </c>
      <c r="G478" s="6" t="str">
        <v>Socbay.com</v>
      </c>
      <c r="H478" s="6" t="str">
        <v>Business Services</v>
      </c>
      <c r="I478" s="6" t="str">
        <v>83781Q</v>
      </c>
      <c r="J478" s="6" t="str">
        <v>Naiscorp Information Technology Services JSC</v>
      </c>
      <c r="K478" s="6" t="str">
        <v>Naiscorp Information Technology Services JSC</v>
      </c>
      <c r="L478" s="7">
        <f>=DATE(2009,12,21)</f>
        <v>40167.99949074074</v>
      </c>
      <c r="W478" s="6" t="str">
        <v>Programming Services;Internet Services &amp; Software</v>
      </c>
      <c r="X478" s="6" t="str">
        <v>Internet Services &amp; Software</v>
      </c>
      <c r="Y478" s="6" t="str">
        <v>Computer Consulting Services;Other Computer Related Svcs;Internet Services &amp; Software;Data Processing Services;Other Software (inq. Games)</v>
      </c>
      <c r="Z478" s="6" t="str">
        <v>Internet Services &amp; Software;Other Software (inq. Games);Computer Consulting Services;Data Processing Services;Other Computer Related Svcs</v>
      </c>
      <c r="AA478" s="6" t="str">
        <v>Computer Consulting Services;Programming Services;Primary Business not Hi-Tech;Internet Services &amp; Software;Telecommunications Equipment</v>
      </c>
      <c r="AB478" s="6" t="str">
        <v>Computer Consulting Services;Programming Services;Telecommunications Equipment;Primary Business not Hi-Tech;Internet Services &amp; Software</v>
      </c>
      <c r="AH478" s="6" t="str">
        <v>False</v>
      </c>
      <c r="AJ478" s="6" t="str">
        <v>Pending</v>
      </c>
      <c r="AM478" s="6" t="str">
        <v>Divestiture</v>
      </c>
      <c r="AO478" s="6" t="str">
        <v>VIETNAM - Google Inc of the US planned to acquire Socbay.com, a provider of internet search engine services, from Naiscorp Information Technology Services JSC.</v>
      </c>
    </row>
    <row r="479">
      <c r="A479" s="6" t="str">
        <v>67020Y</v>
      </c>
      <c r="B479" s="6" t="str">
        <v>United States</v>
      </c>
      <c r="C479" s="6" t="str">
        <v>Nuance Communications Inc</v>
      </c>
      <c r="D479" s="6" t="str">
        <v>Nuance Communications Inc</v>
      </c>
      <c r="F479" s="6" t="str">
        <v>United Kingdom</v>
      </c>
      <c r="G479" s="6" t="str">
        <v>SpinVox Ltd</v>
      </c>
      <c r="H479" s="6" t="str">
        <v>Telecommunications</v>
      </c>
      <c r="I479" s="6" t="str">
        <v>78863H</v>
      </c>
      <c r="J479" s="6" t="str">
        <v>SpinVox Ltd</v>
      </c>
      <c r="K479" s="6" t="str">
        <v>SpinVox Ltd</v>
      </c>
      <c r="L479" s="7">
        <f>=DATE(2009,12,30)</f>
        <v>40176.99949074074</v>
      </c>
      <c r="M479" s="7">
        <f>=DATE(2009,12,30)</f>
        <v>40176.99949074074</v>
      </c>
      <c r="N479" s="8">
        <v>80.3236277156447</v>
      </c>
      <c r="O479" s="8">
        <v>80.3236277156447</v>
      </c>
      <c r="R479" s="8">
        <v>-72.0750223280738</v>
      </c>
      <c r="S479" s="8">
        <v>4.08256425523469</v>
      </c>
      <c r="W479" s="6" t="str">
        <v>Internet Services &amp; Software;Desktop Publishing;Primary Business not Hi-Tech;Applications Software(Business;Utilities/File Mgmt Software;Database Software/Programming;Programming Services;Other Computer Related Svcs;Applications Software(Home);Networking Systems (LAN,WAN);Communication/Network Software;Other Software (inq. Games);Computer Consulting Services</v>
      </c>
      <c r="X479" s="6" t="str">
        <v>Communication/Network Software;Internet Services &amp; Software</v>
      </c>
      <c r="Y479" s="6" t="str">
        <v>Internet Services &amp; Software;Communication/Network Software</v>
      </c>
      <c r="Z479" s="6" t="str">
        <v>Communication/Network Software;Internet Services &amp; Software</v>
      </c>
      <c r="AA479" s="6" t="str">
        <v>Internet Services &amp; Software;Applications Software(Home);Computer Consulting Services;Other Computer Related Svcs;Database Software/Programming;Other Software (inq. Games);Networking Systems (LAN,WAN);Desktop Publishing;Utilities/File Mgmt Software;Primary Business not Hi-Tech;Applications Software(Business;Communication/Network Software;Programming Services</v>
      </c>
      <c r="AB479" s="6" t="str">
        <v>Communication/Network Software;Programming Services;Utilities/File Mgmt Software;Applications Software(Home);Other Software (inq. Games);Other Computer Related Svcs;Database Software/Programming;Internet Services &amp; Software;Networking Systems (LAN,WAN);Primary Business not Hi-Tech;Computer Consulting Services;Desktop Publishing;Applications Software(Business</v>
      </c>
      <c r="AC479" s="8">
        <v>80.3236277156447</v>
      </c>
      <c r="AD479" s="7">
        <f>=DATE(2009,12,30)</f>
        <v>40176.99949074074</v>
      </c>
      <c r="AH479" s="6" t="str">
        <v>True</v>
      </c>
      <c r="AI479" s="6" t="str">
        <v>2009</v>
      </c>
      <c r="AJ479" s="6" t="str">
        <v>Completed</v>
      </c>
      <c r="AM479" s="6" t="str">
        <v>Financial Acquiror</v>
      </c>
      <c r="AN479" s="8">
        <v>7.32360821673117</v>
      </c>
      <c r="AO479" s="6" t="str">
        <v>UK - Nuance Communications Inc (Nuance) of the US acquired SpinVox Ltd, a Buckinghamshire-based provider of voice-to-text services, for GBP 49.987 mil (USD 80.329 mil). The consideration consisted of GBP 41.07 mil (USD 66 mil) in cash and the issuance of 2.3 mil common shares valued at GBP 8.917 mil (USD 14.33) mil. The shares were valued based on Nuance's closing stock price of GBP 3.877 (USD 6.23) on 29 December 2009, the last full trading day prior to the announcement.</v>
      </c>
    </row>
    <row r="480">
      <c r="A480" s="6" t="str">
        <v>037833</v>
      </c>
      <c r="B480" s="6" t="str">
        <v>United States</v>
      </c>
      <c r="C480" s="6" t="str">
        <v>Apple Inc</v>
      </c>
      <c r="D480" s="6" t="str">
        <v>Apple Inc</v>
      </c>
      <c r="F480" s="6" t="str">
        <v>United States</v>
      </c>
      <c r="G480" s="6" t="str">
        <v>Quattro Wireless Inc</v>
      </c>
      <c r="H480" s="6" t="str">
        <v>Advertising Services</v>
      </c>
      <c r="I480" s="6" t="str">
        <v>75544Y</v>
      </c>
      <c r="J480" s="6" t="str">
        <v>Quattro Wireless Inc</v>
      </c>
      <c r="K480" s="6" t="str">
        <v>Quattro Wireless Inc</v>
      </c>
      <c r="L480" s="7">
        <f>=DATE(2010,1,5)</f>
        <v>40182.99949074074</v>
      </c>
      <c r="M480" s="7">
        <f>=DATE(2010,1,5)</f>
        <v>40182.99949074074</v>
      </c>
      <c r="W480" s="6" t="str">
        <v>Disk Drives;Other Software (inq. Games);Monitors/Terminals;Other Peripherals;Micro-Computers (PCs);Portable Computers;Printers;Mainframes &amp; Super Computers</v>
      </c>
      <c r="X480" s="6" t="str">
        <v>Cellular Communications;Primary Business not Hi-Tech</v>
      </c>
      <c r="Y480" s="6" t="str">
        <v>Cellular Communications;Primary Business not Hi-Tech</v>
      </c>
      <c r="Z480" s="6" t="str">
        <v>Primary Business not Hi-Tech;Cellular Communications</v>
      </c>
      <c r="AA480" s="6" t="str">
        <v>Disk Drives;Monitors/Terminals;Printers;Portable Computers;Micro-Computers (PCs);Other Peripherals;Other Software (inq. Games);Mainframes &amp; Super Computers</v>
      </c>
      <c r="AB480" s="6" t="str">
        <v>Printers;Other Peripherals;Monitors/Terminals;Disk Drives;Other Software (inq. Games);Micro-Computers (PCs);Mainframes &amp; Super Computers;Portable Computers</v>
      </c>
      <c r="AH480" s="6" t="str">
        <v>True</v>
      </c>
      <c r="AI480" s="6" t="str">
        <v>2010</v>
      </c>
      <c r="AJ480" s="6" t="str">
        <v>Completed</v>
      </c>
      <c r="AM480" s="6" t="str">
        <v>Not Applicable</v>
      </c>
      <c r="AO480" s="6" t="str">
        <v>US - Apple Inc acquired Quattro Wireless Inc, a Waltham-based provider of mobile marketing solution services.</v>
      </c>
    </row>
    <row r="481">
      <c r="A481" s="6" t="str">
        <v>052660</v>
      </c>
      <c r="B481" s="6" t="str">
        <v>United States</v>
      </c>
      <c r="C481" s="6" t="str">
        <v>AuthenTec Inc</v>
      </c>
      <c r="D481" s="6" t="str">
        <v>AuthenTec Inc</v>
      </c>
      <c r="F481" s="6" t="str">
        <v>United States</v>
      </c>
      <c r="G481" s="6" t="str">
        <v>UPEK Inc</v>
      </c>
      <c r="H481" s="6" t="str">
        <v>Electronic and Electrical Equipment</v>
      </c>
      <c r="I481" s="6" t="str">
        <v>90415Z</v>
      </c>
      <c r="J481" s="6" t="str">
        <v>UPEK Inc</v>
      </c>
      <c r="K481" s="6" t="str">
        <v>UPEK Inc</v>
      </c>
      <c r="L481" s="7">
        <f>=DATE(2010,1,29)</f>
        <v>40206.99949074074</v>
      </c>
      <c r="M481" s="7">
        <f>=DATE(2010,9,7)</f>
        <v>40427.99949074074</v>
      </c>
      <c r="N481" s="8">
        <v>31.984</v>
      </c>
      <c r="O481" s="8">
        <v>31.984</v>
      </c>
      <c r="W481" s="6" t="str">
        <v>Search, Detection, Navigation;Other Electronics;Semiconductors</v>
      </c>
      <c r="X481" s="6" t="str">
        <v>Other Software (inq. Games);Applications Software(Business;Other Electronics;Semiconductors</v>
      </c>
      <c r="Y481" s="6" t="str">
        <v>Semiconductors;Other Electronics;Other Software (inq. Games);Applications Software(Business</v>
      </c>
      <c r="Z481" s="6" t="str">
        <v>Other Software (inq. Games);Semiconductors;Applications Software(Business;Other Electronics</v>
      </c>
      <c r="AA481" s="6" t="str">
        <v>Other Electronics;Semiconductors;Search, Detection, Navigation</v>
      </c>
      <c r="AB481" s="6" t="str">
        <v>Semiconductors;Search, Detection, Navigation;Other Electronics</v>
      </c>
      <c r="AC481" s="8">
        <v>31.984</v>
      </c>
      <c r="AD481" s="7">
        <f>=DATE(2010,9,7)</f>
        <v>40427.99949074074</v>
      </c>
      <c r="AF481" s="8" t="str">
        <v>31.98</v>
      </c>
      <c r="AG481" s="8" t="str">
        <v>31.98</v>
      </c>
      <c r="AH481" s="6" t="str">
        <v>False</v>
      </c>
      <c r="AI481" s="6" t="str">
        <v>2010</v>
      </c>
      <c r="AJ481" s="6" t="str">
        <v>Completed</v>
      </c>
      <c r="AM481" s="6" t="str">
        <v>Unsolicited Deal;Proxy Fight</v>
      </c>
      <c r="AO481" s="6" t="str">
        <v>US - AuthenTec Inc acquired the entire share capital of UPEK Inc, an Emeryville-based manufacturer of biometric products, for USD 31.984 mil. The consideration consisted of the issuance of 5.9 mil new common shares valued at USD 10.384 mil and USD 21.6 mil in promissory notes. The shares were valued based on AuthenTec's closing stock price of USD 1.76 on 6 September 2010, the last full trading day prior to the announcement. Originally, UPEK launched an unsolicited offer to acquire the entire share capital of AuthenTec.</v>
      </c>
    </row>
    <row r="482">
      <c r="A482" s="6" t="str">
        <v>023135</v>
      </c>
      <c r="B482" s="6" t="str">
        <v>United States</v>
      </c>
      <c r="C482" s="6" t="str">
        <v>Amazon.com Inc</v>
      </c>
      <c r="D482" s="6" t="str">
        <v>Amazon.com Inc</v>
      </c>
      <c r="F482" s="6" t="str">
        <v>United States</v>
      </c>
      <c r="G482" s="6" t="str">
        <v>Touchco Inc</v>
      </c>
      <c r="H482" s="6" t="str">
        <v>Electronic and Electrical Equipment</v>
      </c>
      <c r="I482" s="6" t="str">
        <v>86414C</v>
      </c>
      <c r="J482" s="6" t="str">
        <v>Touchco Inc</v>
      </c>
      <c r="K482" s="6" t="str">
        <v>Touchco Inc</v>
      </c>
      <c r="L482" s="7">
        <f>=DATE(2010,1,31)</f>
        <v>40208.99949074074</v>
      </c>
      <c r="M482" s="7">
        <f>=DATE(2010,1,31)</f>
        <v>40208.99949074074</v>
      </c>
      <c r="W482" s="6" t="str">
        <v>Primary Business not Hi-Tech</v>
      </c>
      <c r="X482" s="6" t="str">
        <v>Database Software/Programming;Other Electronics;Micro-Computers (PCs);Other Computer Related Svcs</v>
      </c>
      <c r="Y482" s="6" t="str">
        <v>Database Software/Programming;Other Computer Related Svcs;Other Electronics;Micro-Computers (PCs)</v>
      </c>
      <c r="Z482" s="6" t="str">
        <v>Micro-Computers (PCs);Database Software/Programming;Other Electronics;Other Computer Related Svcs</v>
      </c>
      <c r="AA482" s="6" t="str">
        <v>Primary Business not Hi-Tech</v>
      </c>
      <c r="AB482" s="6" t="str">
        <v>Primary Business not Hi-Tech</v>
      </c>
      <c r="AH482" s="6" t="str">
        <v>True</v>
      </c>
      <c r="AI482" s="6" t="str">
        <v>2010</v>
      </c>
      <c r="AJ482" s="6" t="str">
        <v>Completed</v>
      </c>
      <c r="AM482" s="6" t="str">
        <v>Not Applicable</v>
      </c>
      <c r="AO482" s="6" t="str">
        <v>US - Amazon.com Inc (Amazon) acquired Touchco Inc, a New York City-based manufacturer and developer of touch screen electronic devices. Terms were not disclosed. On completion, Touchco was merged into Amazon's Kindle hardware division in California.</v>
      </c>
    </row>
    <row r="483">
      <c r="A483" s="6" t="str">
        <v>30303M</v>
      </c>
      <c r="B483" s="6" t="str">
        <v>United States</v>
      </c>
      <c r="C483" s="6" t="str">
        <v>Facebook Inc</v>
      </c>
      <c r="D483" s="6" t="str">
        <v>Facebook Inc</v>
      </c>
      <c r="F483" s="6" t="str">
        <v>Malaysia</v>
      </c>
      <c r="G483" s="6" t="str">
        <v>Octazen Solutions</v>
      </c>
      <c r="H483" s="6" t="str">
        <v>Prepackaged Software</v>
      </c>
      <c r="I483" s="6" t="str">
        <v>44602K</v>
      </c>
      <c r="J483" s="6" t="str">
        <v>Octazen Solutions</v>
      </c>
      <c r="K483" s="6" t="str">
        <v>Octazen Solutions</v>
      </c>
      <c r="L483" s="7">
        <f>=DATE(2010,2,1)</f>
        <v>40209.99949074074</v>
      </c>
      <c r="M483" s="7">
        <f>=DATE(2010,2,1)</f>
        <v>40209.99949074074</v>
      </c>
      <c r="W483" s="6" t="str">
        <v>Internet Services &amp; Software</v>
      </c>
      <c r="X483" s="6" t="str">
        <v>Communication/Network Software;Internet Services &amp; Software</v>
      </c>
      <c r="Y483" s="6" t="str">
        <v>Internet Services &amp; Software;Communication/Network Software</v>
      </c>
      <c r="Z483" s="6" t="str">
        <v>Internet Services &amp; Software;Communication/Network Software</v>
      </c>
      <c r="AA483" s="6" t="str">
        <v>Internet Services &amp; Software</v>
      </c>
      <c r="AB483" s="6" t="str">
        <v>Internet Services &amp; Software</v>
      </c>
      <c r="AH483" s="6" t="str">
        <v>True</v>
      </c>
      <c r="AI483" s="6" t="str">
        <v>2010</v>
      </c>
      <c r="AJ483" s="6" t="str">
        <v>Completed</v>
      </c>
      <c r="AM483" s="6" t="str">
        <v>Financial Acquiror</v>
      </c>
      <c r="AO483" s="6" t="str">
        <v>MALAYSIA - Facebook Inc of the US acquired Octazen Solutions, a developer of contact importer software. Terms were not disclosed.</v>
      </c>
    </row>
    <row r="484">
      <c r="A484" s="6" t="str">
        <v>00507V</v>
      </c>
      <c r="B484" s="6" t="str">
        <v>United States</v>
      </c>
      <c r="C484" s="6" t="str">
        <v>Activision Blizzard Inc</v>
      </c>
      <c r="D484" s="6" t="str">
        <v>Vivendi SE</v>
      </c>
      <c r="F484" s="6" t="str">
        <v>United States</v>
      </c>
      <c r="G484" s="6" t="str">
        <v>Activision Blizzard Inc</v>
      </c>
      <c r="H484" s="6" t="str">
        <v>Prepackaged Software</v>
      </c>
      <c r="I484" s="6" t="str">
        <v>00507V</v>
      </c>
      <c r="J484" s="6" t="str">
        <v>Vivendi SE</v>
      </c>
      <c r="K484" s="6" t="str">
        <v>Vivendi SE</v>
      </c>
      <c r="L484" s="7">
        <f>=DATE(2010,2,10)</f>
        <v>40218.99949074074</v>
      </c>
      <c r="M484" s="7">
        <f>=DATE(2010,12,31)</f>
        <v>40542.99949074074</v>
      </c>
      <c r="N484" s="8">
        <v>966</v>
      </c>
      <c r="O484" s="8">
        <v>966</v>
      </c>
      <c r="P484" s="8" t="str">
        <v>11,397.44</v>
      </c>
      <c r="R484" s="8">
        <v>-287</v>
      </c>
      <c r="S484" s="8">
        <v>1557</v>
      </c>
      <c r="T484" s="8">
        <v>-246</v>
      </c>
      <c r="U484" s="8">
        <v>-145</v>
      </c>
      <c r="V484" s="8">
        <v>813</v>
      </c>
      <c r="W484" s="6" t="str">
        <v>Other Software (inq. Games);Other Computer Systems;Operating Systems</v>
      </c>
      <c r="X484" s="6" t="str">
        <v>Operating Systems;Other Computer Systems;Other Software (inq. Games)</v>
      </c>
      <c r="Y484" s="6" t="str">
        <v>Primary Business not Hi-Tech;Other Software (inq. Games);Internet Services &amp; Software</v>
      </c>
      <c r="Z484" s="6" t="str">
        <v>Primary Business not Hi-Tech;Internet Services &amp; Software;Other Software (inq. Games)</v>
      </c>
      <c r="AA484" s="6" t="str">
        <v>Internet Services &amp; Software;Other Software (inq. Games);Primary Business not Hi-Tech</v>
      </c>
      <c r="AB484" s="6" t="str">
        <v>Primary Business not Hi-Tech;Other Software (inq. Games);Internet Services &amp; Software</v>
      </c>
      <c r="AC484" s="8">
        <v>966</v>
      </c>
      <c r="AD484" s="7">
        <f>=DATE(2010,12,31)</f>
        <v>40542.99949074074</v>
      </c>
      <c r="AF484" s="8" t="str">
        <v>11,397.44</v>
      </c>
      <c r="AG484" s="8" t="str">
        <v>11,397.44</v>
      </c>
      <c r="AH484" s="6" t="str">
        <v>True</v>
      </c>
      <c r="AI484" s="6" t="str">
        <v>2010</v>
      </c>
      <c r="AJ484" s="6" t="str">
        <v>Completed</v>
      </c>
      <c r="AL484" s="8">
        <v>86</v>
      </c>
      <c r="AM484" s="6" t="str">
        <v>Open Market Purchase;Repurchase</v>
      </c>
      <c r="AN484" s="8">
        <v>9106</v>
      </c>
      <c r="AO484" s="6" t="str">
        <v>US - In 31 December 2010, Activision Blizzard Inc (Activision), a Santa Monica-based developer and wholesaler of interactive entertainment software, completed the repurchase of an estimated USD 966 mil of the company's entire share capital, in open market transactions. Originally, in 10 February 2010, the board of Activision authorized the repurchase of up to USD 1 bil of the company's entire share capital.</v>
      </c>
    </row>
    <row r="485">
      <c r="A485" s="6" t="str">
        <v>594918</v>
      </c>
      <c r="B485" s="6" t="str">
        <v>United States</v>
      </c>
      <c r="C485" s="6" t="str">
        <v>Microsoft Corp</v>
      </c>
      <c r="D485" s="6" t="str">
        <v>Microsoft Corp</v>
      </c>
      <c r="F485" s="6" t="str">
        <v>United States</v>
      </c>
      <c r="G485" s="6" t="str">
        <v>CrowdStar Inc</v>
      </c>
      <c r="H485" s="6" t="str">
        <v>Prepackaged Software</v>
      </c>
      <c r="I485" s="6" t="str">
        <v>22788T</v>
      </c>
      <c r="J485" s="6" t="str">
        <v>CrowdStar Inc</v>
      </c>
      <c r="K485" s="6" t="str">
        <v>CrowdStar Inc</v>
      </c>
      <c r="L485" s="7">
        <f>=DATE(2010,2,11)</f>
        <v>40219.99949074074</v>
      </c>
      <c r="W485" s="6" t="str">
        <v>Computer Consulting Services;Internet Services &amp; Software;Operating Systems;Monitors/Terminals;Other Peripherals;Applications Software(Business</v>
      </c>
      <c r="X485" s="6" t="str">
        <v>Internet Services &amp; Software;Communication/Network Software</v>
      </c>
      <c r="Y485" s="6" t="str">
        <v>Communication/Network Software;Internet Services &amp; Software</v>
      </c>
      <c r="Z485" s="6" t="str">
        <v>Communication/Network Software;Internet Services &amp; Software</v>
      </c>
      <c r="AA485" s="6" t="str">
        <v>Applications Software(Business;Operating Systems;Monitors/Terminals;Computer Consulting Services;Internet Services &amp; Software;Other Peripherals</v>
      </c>
      <c r="AB485" s="6" t="str">
        <v>Other Peripherals;Applications Software(Business;Monitors/Terminals;Computer Consulting Services;Operating Systems;Internet Services &amp; Software</v>
      </c>
      <c r="AH485" s="6" t="str">
        <v>False</v>
      </c>
      <c r="AJ485" s="6" t="str">
        <v>Dismissed Rumor</v>
      </c>
      <c r="AM485" s="6" t="str">
        <v>Rumored Deal</v>
      </c>
      <c r="AO485" s="6" t="str">
        <v>US - Microsoft Corp was rumored to be planning to acquire CrowdStar, a developer of internet gaming software. The Current status of this deal is unknown.</v>
      </c>
    </row>
    <row r="486">
      <c r="A486" s="6" t="str">
        <v>38259P</v>
      </c>
      <c r="B486" s="6" t="str">
        <v>United States</v>
      </c>
      <c r="C486" s="6" t="str">
        <v>Google Inc</v>
      </c>
      <c r="D486" s="6" t="str">
        <v>Alphabet Inc</v>
      </c>
      <c r="F486" s="6" t="str">
        <v>United States</v>
      </c>
      <c r="G486" s="6" t="str">
        <v>Mechanical Zoo Inc</v>
      </c>
      <c r="H486" s="6" t="str">
        <v>Business Services</v>
      </c>
      <c r="I486" s="6" t="str">
        <v>58357C</v>
      </c>
      <c r="J486" s="6" t="str">
        <v>Mechanical Zoo Inc</v>
      </c>
      <c r="K486" s="6" t="str">
        <v>Mechanical Zoo Inc</v>
      </c>
      <c r="L486" s="7">
        <f>=DATE(2010,2,11)</f>
        <v>40219.99949074074</v>
      </c>
      <c r="M486" s="7">
        <f>=DATE(2010,2,11)</f>
        <v>40219.99949074074</v>
      </c>
      <c r="W486" s="6" t="str">
        <v>Internet Services &amp; Software;Programming Services</v>
      </c>
      <c r="X486" s="6" t="str">
        <v>Internet Services &amp; Software</v>
      </c>
      <c r="Y486" s="6" t="str">
        <v>Internet Services &amp; Software</v>
      </c>
      <c r="Z486" s="6" t="str">
        <v>Internet Services &amp; Software</v>
      </c>
      <c r="AA486" s="6" t="str">
        <v>Programming Services;Computer Consulting Services;Telecommunications Equipment;Primary Business not Hi-Tech;Internet Services &amp; Software</v>
      </c>
      <c r="AB486" s="6" t="str">
        <v>Internet Services &amp; Software;Programming Services;Computer Consulting Services;Telecommunications Equipment;Primary Business not Hi-Tech</v>
      </c>
      <c r="AH486" s="6" t="str">
        <v>False</v>
      </c>
      <c r="AI486" s="6" t="str">
        <v>2010</v>
      </c>
      <c r="AJ486" s="6" t="str">
        <v>Completed</v>
      </c>
      <c r="AM486" s="6" t="str">
        <v>Not Applicable</v>
      </c>
      <c r="AO486" s="6" t="str">
        <v>US - Google Inc acquired Mechanical Zoo Inc (Mechanical), a San Francisco-based provider of internet search engine services. Terms were not disclosed, but according to sources familiar with the transaction, the deal was valued at an estimated USD 50 mil. The transaction included Mechanical's Aardvark service and the vark.com domain.</v>
      </c>
    </row>
    <row r="487">
      <c r="A487" s="6" t="str">
        <v>67020Y</v>
      </c>
      <c r="B487" s="6" t="str">
        <v>United States</v>
      </c>
      <c r="C487" s="6" t="str">
        <v>Nuance Communications Inc</v>
      </c>
      <c r="D487" s="6" t="str">
        <v>Nuance Communications Inc</v>
      </c>
      <c r="F487" s="6" t="str">
        <v>United States</v>
      </c>
      <c r="G487" s="6" t="str">
        <v>MacSpeech Inc</v>
      </c>
      <c r="H487" s="6" t="str">
        <v>Prepackaged Software</v>
      </c>
      <c r="I487" s="6" t="str">
        <v>55691V</v>
      </c>
      <c r="J487" s="6" t="str">
        <v>MacSpeech Inc</v>
      </c>
      <c r="K487" s="6" t="str">
        <v>MacSpeech Inc</v>
      </c>
      <c r="L487" s="7">
        <f>=DATE(2010,2,16)</f>
        <v>40224.99949074074</v>
      </c>
      <c r="M487" s="7">
        <f>=DATE(2010,2,16)</f>
        <v>40224.99949074074</v>
      </c>
      <c r="W487" s="6" t="str">
        <v>Desktop Publishing;Utilities/File Mgmt Software;Communication/Network Software;Programming Services;Primary Business not Hi-Tech;Networking Systems (LAN,WAN);Database Software/Programming;Applications Software(Business;Other Software (inq. Games);Other Computer Related Svcs;Applications Software(Home);Internet Services &amp; Software;Computer Consulting Services</v>
      </c>
      <c r="X487" s="6" t="str">
        <v>Internet Services &amp; Software;Other Software (inq. Games)</v>
      </c>
      <c r="Y487" s="6" t="str">
        <v>Internet Services &amp; Software;Other Software (inq. Games)</v>
      </c>
      <c r="Z487" s="6" t="str">
        <v>Other Software (inq. Games);Internet Services &amp; Software</v>
      </c>
      <c r="AA487" s="6" t="str">
        <v>Utilities/File Mgmt Software;Applications Software(Home);Desktop Publishing;Networking Systems (LAN,WAN);Other Computer Related Svcs;Database Software/Programming;Other Software (inq. Games);Communication/Network Software;Computer Consulting Services;Internet Services &amp; Software;Applications Software(Business;Programming Services;Primary Business not Hi-Tech</v>
      </c>
      <c r="AB487" s="6" t="str">
        <v>Computer Consulting Services;Applications Software(Home);Communication/Network Software;Networking Systems (LAN,WAN);Programming Services;Internet Services &amp; Software;Primary Business not Hi-Tech;Applications Software(Business;Utilities/File Mgmt Software;Other Computer Related Svcs;Desktop Publishing;Other Software (inq. Games);Database Software/Programming</v>
      </c>
      <c r="AH487" s="6" t="str">
        <v>False</v>
      </c>
      <c r="AI487" s="6" t="str">
        <v>2010</v>
      </c>
      <c r="AJ487" s="6" t="str">
        <v>Completed</v>
      </c>
      <c r="AM487" s="6" t="str">
        <v>Financial Acquiror</v>
      </c>
      <c r="AO487" s="6" t="str">
        <v>US - Nuance Communications Inc acquired MacSpeech Inc, a Salem-based developer of speech recognition software.</v>
      </c>
    </row>
    <row r="488">
      <c r="A488" s="6" t="str">
        <v>38259P</v>
      </c>
      <c r="B488" s="6" t="str">
        <v>United States</v>
      </c>
      <c r="C488" s="6" t="str">
        <v>Google Inc</v>
      </c>
      <c r="D488" s="6" t="str">
        <v>Alphabet Inc</v>
      </c>
      <c r="F488" s="6" t="str">
        <v>United States</v>
      </c>
      <c r="G488" s="6" t="str">
        <v>reMail</v>
      </c>
      <c r="H488" s="6" t="str">
        <v>Prepackaged Software</v>
      </c>
      <c r="I488" s="6" t="str">
        <v>76394T</v>
      </c>
      <c r="J488" s="6" t="str">
        <v>reMail</v>
      </c>
      <c r="K488" s="6" t="str">
        <v>reMail</v>
      </c>
      <c r="L488" s="7">
        <f>=DATE(2010,2,17)</f>
        <v>40225.99949074074</v>
      </c>
      <c r="M488" s="7">
        <f>=DATE(2010,2,17)</f>
        <v>40225.99949074074</v>
      </c>
      <c r="W488" s="6" t="str">
        <v>Programming Services;Internet Services &amp; Software</v>
      </c>
      <c r="X488" s="6" t="str">
        <v>Other Software (inq. Games)</v>
      </c>
      <c r="Y488" s="6" t="str">
        <v>Other Software (inq. Games)</v>
      </c>
      <c r="Z488" s="6" t="str">
        <v>Other Software (inq. Games)</v>
      </c>
      <c r="AA488" s="6" t="str">
        <v>Primary Business not Hi-Tech;Computer Consulting Services;Telecommunications Equipment;Programming Services;Internet Services &amp; Software</v>
      </c>
      <c r="AB488" s="6" t="str">
        <v>Computer Consulting Services;Programming Services;Telecommunications Equipment;Primary Business not Hi-Tech;Internet Services &amp; Software</v>
      </c>
      <c r="AH488" s="6" t="str">
        <v>False</v>
      </c>
      <c r="AI488" s="6" t="str">
        <v>2010</v>
      </c>
      <c r="AJ488" s="6" t="str">
        <v>Completed</v>
      </c>
      <c r="AM488" s="6" t="str">
        <v>Not Applicable</v>
      </c>
      <c r="AO488" s="6" t="str">
        <v>US - Google Inc acquired reMail, a San Francisco-based developer of mobile email search application software. Terms were not disclosed.</v>
      </c>
    </row>
    <row r="489">
      <c r="A489" s="6" t="str">
        <v>052660</v>
      </c>
      <c r="B489" s="6" t="str">
        <v>United States</v>
      </c>
      <c r="C489" s="6" t="str">
        <v>AuthenTec Inc</v>
      </c>
      <c r="D489" s="6" t="str">
        <v>AuthenTec Inc</v>
      </c>
      <c r="F489" s="6" t="str">
        <v>United States</v>
      </c>
      <c r="G489" s="6" t="str">
        <v>SafeNet Inc-Embedded Security Business</v>
      </c>
      <c r="H489" s="6" t="str">
        <v>Prepackaged Software</v>
      </c>
      <c r="I489" s="6" t="str">
        <v>78953Q</v>
      </c>
      <c r="J489" s="6" t="str">
        <v>Vector Capital Corp</v>
      </c>
      <c r="K489" s="6" t="str">
        <v>SafeNet Inc</v>
      </c>
      <c r="L489" s="7">
        <f>=DATE(2010,2,26)</f>
        <v>40234.99949074074</v>
      </c>
      <c r="M489" s="7">
        <f>=DATE(2010,2,26)</f>
        <v>40234.99949074074</v>
      </c>
      <c r="N489" s="8">
        <v>13.799</v>
      </c>
      <c r="O489" s="8">
        <v>13.799</v>
      </c>
      <c r="R489" s="8">
        <v>7.043</v>
      </c>
      <c r="S489" s="8">
        <v>19.258</v>
      </c>
      <c r="T489" s="8">
        <v>-5.07</v>
      </c>
      <c r="U489" s="8">
        <v>-0.094</v>
      </c>
      <c r="V489" s="8">
        <v>5.406</v>
      </c>
      <c r="W489" s="6" t="str">
        <v>Search, Detection, Navigation;Other Electronics;Semiconductors</v>
      </c>
      <c r="X489" s="6" t="str">
        <v>Applications Software(Business</v>
      </c>
      <c r="Y489" s="6" t="str">
        <v>Other Electronics;Communication/Network Software;Internet Services &amp; Software;Semiconductors;Applications Software(Business;Other Computer Systems;Other Software (inq. Games)</v>
      </c>
      <c r="Z489" s="6" t="str">
        <v>Primary Business not Hi-Tech</v>
      </c>
      <c r="AA489" s="6" t="str">
        <v>Search, Detection, Navigation;Other Electronics;Semiconductors</v>
      </c>
      <c r="AB489" s="6" t="str">
        <v>Other Electronics;Semiconductors;Search, Detection, Navigation</v>
      </c>
      <c r="AC489" s="8">
        <v>13.799</v>
      </c>
      <c r="AD489" s="7">
        <f>=DATE(2010,2,26)</f>
        <v>40234.99949074074</v>
      </c>
      <c r="AH489" s="6" t="str">
        <v>True</v>
      </c>
      <c r="AI489" s="6" t="str">
        <v>2010</v>
      </c>
      <c r="AJ489" s="6" t="str">
        <v>Completed</v>
      </c>
      <c r="AM489" s="6" t="str">
        <v>Divestiture</v>
      </c>
      <c r="AN489" s="8">
        <v>11.102</v>
      </c>
      <c r="AO489" s="6" t="str">
        <v>US - AuthenTec Inc (AuthenTec) acquired the embedded security business of SafeNet Inc, a Belcamp-based developer of network security and remote access client software and solutions, from Vector Capital Corp, for an estimated USD 13.799 mil. The consideration consisted of an estimated USD 8.5 mil in cash, the issuance of 1.211 mil AuthenTec common shares, valued at USD 2.799 mil and up to USD 2.5 mil in profit related payment.</v>
      </c>
    </row>
    <row r="490">
      <c r="A490" s="6" t="str">
        <v>67020Y</v>
      </c>
      <c r="B490" s="6" t="str">
        <v>United States</v>
      </c>
      <c r="C490" s="6" t="str">
        <v>Nuance Communications Inc</v>
      </c>
      <c r="D490" s="6" t="str">
        <v>Nuance Communications Inc</v>
      </c>
      <c r="F490" s="6" t="str">
        <v>United States</v>
      </c>
      <c r="G490" s="6" t="str">
        <v>Language &amp; Computing Inc</v>
      </c>
      <c r="H490" s="6" t="str">
        <v>Prepackaged Software</v>
      </c>
      <c r="I490" s="6" t="str">
        <v>51583Q</v>
      </c>
      <c r="J490" s="6" t="str">
        <v>Language &amp; Computing Inc</v>
      </c>
      <c r="K490" s="6" t="str">
        <v>Language &amp; Computing Inc</v>
      </c>
      <c r="L490" s="7">
        <f>=DATE(2010,3,1)</f>
        <v>40237.99949074074</v>
      </c>
      <c r="M490" s="7">
        <f>=DATE(2010,3,1)</f>
        <v>40237.99949074074</v>
      </c>
      <c r="N490" s="8">
        <v>13.39</v>
      </c>
      <c r="O490" s="8">
        <v>13.39</v>
      </c>
      <c r="W490" s="6" t="str">
        <v>Other Software (inq. Games);Database Software/Programming;Applications Software(Business;Internet Services &amp; Software;Applications Software(Home);Primary Business not Hi-Tech;Other Computer Related Svcs;Communication/Network Software;Desktop Publishing;Networking Systems (LAN,WAN);Computer Consulting Services;Programming Services;Utilities/File Mgmt Software</v>
      </c>
      <c r="X490" s="6" t="str">
        <v>Other Software (inq. Games)</v>
      </c>
      <c r="Y490" s="6" t="str">
        <v>Other Software (inq. Games)</v>
      </c>
      <c r="Z490" s="6" t="str">
        <v>Other Software (inq. Games)</v>
      </c>
      <c r="AA490" s="6" t="str">
        <v>Primary Business not Hi-Tech;Utilities/File Mgmt Software;Other Software (inq. Games);Networking Systems (LAN,WAN);Applications Software(Home);Communication/Network Software;Computer Consulting Services;Internet Services &amp; Software;Other Computer Related Svcs;Programming Services;Applications Software(Business;Desktop Publishing;Database Software/Programming</v>
      </c>
      <c r="AB490" s="6" t="str">
        <v>Communication/Network Software;Applications Software(Business;Internet Services &amp; Software;Database Software/Programming;Programming Services;Other Computer Related Svcs;Applications Software(Home);Networking Systems (LAN,WAN);Computer Consulting Services;Other Software (inq. Games);Primary Business not Hi-Tech;Utilities/File Mgmt Software;Desktop Publishing</v>
      </c>
      <c r="AC490" s="8">
        <v>13.39</v>
      </c>
      <c r="AD490" s="7">
        <f>=DATE(2010,3,1)</f>
        <v>40237.99949074074</v>
      </c>
      <c r="AH490" s="6" t="str">
        <v>False</v>
      </c>
      <c r="AI490" s="6" t="str">
        <v>2010</v>
      </c>
      <c r="AJ490" s="6" t="str">
        <v>Completed</v>
      </c>
      <c r="AM490" s="6" t="str">
        <v>Financial Acquiror</v>
      </c>
      <c r="AO490" s="6" t="str">
        <v>US - Nuance Communications Inc acquired an undisclosed minority stake in Language &amp; Computing Inc, a Bethesda-based developer of natural language processing software, from Gewestelijke Investerings Maatschappij voor Vlaanderen {GIMV}, for USD 13.39 mil.</v>
      </c>
    </row>
    <row r="491">
      <c r="A491" s="6" t="str">
        <v>38259P</v>
      </c>
      <c r="B491" s="6" t="str">
        <v>United States</v>
      </c>
      <c r="C491" s="6" t="str">
        <v>Google Inc</v>
      </c>
      <c r="D491" s="6" t="str">
        <v>Alphabet Inc</v>
      </c>
      <c r="F491" s="6" t="str">
        <v>United States</v>
      </c>
      <c r="G491" s="6" t="str">
        <v>Picnik.com</v>
      </c>
      <c r="H491" s="6" t="str">
        <v>Prepackaged Software</v>
      </c>
      <c r="I491" s="6" t="str">
        <v>69768R</v>
      </c>
      <c r="J491" s="6" t="str">
        <v>Picnik.com</v>
      </c>
      <c r="K491" s="6" t="str">
        <v>Picnik.com</v>
      </c>
      <c r="L491" s="7">
        <f>=DATE(2010,3,1)</f>
        <v>40237.99949074074</v>
      </c>
      <c r="M491" s="7">
        <f>=DATE(2010,3,1)</f>
        <v>40237.99949074074</v>
      </c>
      <c r="N491" s="8">
        <v>5</v>
      </c>
      <c r="O491" s="8">
        <v>5</v>
      </c>
      <c r="W491" s="6" t="str">
        <v>Programming Services;Internet Services &amp; Software</v>
      </c>
      <c r="X491" s="6" t="str">
        <v>Internet Services &amp; Software</v>
      </c>
      <c r="Y491" s="6" t="str">
        <v>Internet Services &amp; Software</v>
      </c>
      <c r="Z491" s="6" t="str">
        <v>Internet Services &amp; Software</v>
      </c>
      <c r="AA491" s="6" t="str">
        <v>Programming Services;Telecommunications Equipment;Primary Business not Hi-Tech;Internet Services &amp; Software;Computer Consulting Services</v>
      </c>
      <c r="AB491" s="6" t="str">
        <v>Computer Consulting Services;Primary Business not Hi-Tech;Telecommunications Equipment;Internet Services &amp; Software;Programming Services</v>
      </c>
      <c r="AC491" s="8">
        <v>5</v>
      </c>
      <c r="AD491" s="7">
        <f>=DATE(2010,3,1)</f>
        <v>40237.99949074074</v>
      </c>
      <c r="AH491" s="6" t="str">
        <v>False</v>
      </c>
      <c r="AI491" s="6" t="str">
        <v>2010</v>
      </c>
      <c r="AJ491" s="6" t="str">
        <v>Completed</v>
      </c>
      <c r="AM491" s="6" t="str">
        <v>Divestiture</v>
      </c>
      <c r="AO491" s="6" t="str">
        <v>US - Google Inc acquired Picnik.com, a Seattle-based provider of online photo editing services, for an estimated USD 5 mil.</v>
      </c>
    </row>
    <row r="492">
      <c r="A492" s="6" t="str">
        <v>38259P</v>
      </c>
      <c r="B492" s="6" t="str">
        <v>United States</v>
      </c>
      <c r="C492" s="6" t="str">
        <v>Google Inc</v>
      </c>
      <c r="D492" s="6" t="str">
        <v>Alphabet Inc</v>
      </c>
      <c r="F492" s="6" t="str">
        <v>United States</v>
      </c>
      <c r="G492" s="6" t="str">
        <v>DocVerse Inc</v>
      </c>
      <c r="H492" s="6" t="str">
        <v>Prepackaged Software</v>
      </c>
      <c r="I492" s="6" t="str">
        <v>25602Z</v>
      </c>
      <c r="J492" s="6" t="str">
        <v>DocVerse Inc</v>
      </c>
      <c r="K492" s="6" t="str">
        <v>DocVerse Inc</v>
      </c>
      <c r="L492" s="7">
        <f>=DATE(2010,3,5)</f>
        <v>40241.99949074074</v>
      </c>
      <c r="M492" s="7">
        <f>=DATE(2010,3,5)</f>
        <v>40241.99949074074</v>
      </c>
      <c r="W492" s="6" t="str">
        <v>Programming Services;Internet Services &amp; Software</v>
      </c>
      <c r="X492" s="6" t="str">
        <v>Internet Services &amp; Software;Communication/Network Software</v>
      </c>
      <c r="Y492" s="6" t="str">
        <v>Internet Services &amp; Software;Communication/Network Software</v>
      </c>
      <c r="Z492" s="6" t="str">
        <v>Internet Services &amp; Software;Communication/Network Software</v>
      </c>
      <c r="AA492" s="6" t="str">
        <v>Internet Services &amp; Software;Programming Services;Primary Business not Hi-Tech;Computer Consulting Services;Telecommunications Equipment</v>
      </c>
      <c r="AB492" s="6" t="str">
        <v>Programming Services;Primary Business not Hi-Tech;Telecommunications Equipment;Internet Services &amp; Software;Computer Consulting Services</v>
      </c>
      <c r="AH492" s="6" t="str">
        <v>False</v>
      </c>
      <c r="AI492" s="6" t="str">
        <v>2010</v>
      </c>
      <c r="AJ492" s="6" t="str">
        <v>Completed</v>
      </c>
      <c r="AM492" s="6" t="str">
        <v>Rumored Deal</v>
      </c>
      <c r="AO492" s="6" t="str">
        <v>US - Google Inc (Google) acquired DocVerse Inc (DocVerse), a San Francisco-based developer of document sharing and collaboration software. Terms were not disclosed, but according to sources close to the situation, the deal was valued at an estimated USD 25 mil. Originally, Google was rumored to be planning to acquire DocVerse.</v>
      </c>
    </row>
    <row r="493">
      <c r="A493" s="6" t="str">
        <v>38259P</v>
      </c>
      <c r="B493" s="6" t="str">
        <v>United States</v>
      </c>
      <c r="C493" s="6" t="str">
        <v>Google Inc</v>
      </c>
      <c r="D493" s="6" t="str">
        <v>Alphabet Inc</v>
      </c>
      <c r="F493" s="6" t="str">
        <v>United States</v>
      </c>
      <c r="G493" s="6" t="str">
        <v>Nuance Communications Inc</v>
      </c>
      <c r="H493" s="6" t="str">
        <v>Prepackaged Software</v>
      </c>
      <c r="I493" s="6" t="str">
        <v>67020Y</v>
      </c>
      <c r="J493" s="6" t="str">
        <v>Nuance Communications Inc</v>
      </c>
      <c r="K493" s="6" t="str">
        <v>Nuance Communications Inc</v>
      </c>
      <c r="L493" s="7">
        <f>=DATE(2010,3,5)</f>
        <v>40241.99949074074</v>
      </c>
      <c r="R493" s="8">
        <v>-4.278</v>
      </c>
      <c r="S493" s="8">
        <v>262.977</v>
      </c>
      <c r="T493" s="8">
        <v>-6.431</v>
      </c>
      <c r="U493" s="8">
        <v>-159.447</v>
      </c>
      <c r="V493" s="8">
        <v>65.052</v>
      </c>
      <c r="W493" s="6" t="str">
        <v>Internet Services &amp; Software;Programming Services</v>
      </c>
      <c r="X493" s="6" t="str">
        <v>Desktop Publishing;Applications Software(Home);Communication/Network Software;Networking Systems (LAN,WAN);Other Computer Related Svcs;Database Software/Programming;Programming Services;Computer Consulting Services;Utilities/File Mgmt Software;Applications Software(Business;Internet Services &amp; Software;Other Software (inq. Games);Primary Business not Hi-Tech</v>
      </c>
      <c r="Y493" s="6" t="str">
        <v>Applications Software(Home);Networking Systems (LAN,WAN);Database Software/Programming;Primary Business not Hi-Tech;Programming Services;Utilities/File Mgmt Software;Other Computer Related Svcs;Computer Consulting Services;Applications Software(Business;Internet Services &amp; Software;Communication/Network Software;Desktop Publishing;Other Software (inq. Games)</v>
      </c>
      <c r="Z493" s="6" t="str">
        <v>Primary Business not Hi-Tech;Networking Systems (LAN,WAN);Applications Software(Business;Internet Services &amp; Software;Other Software (inq. Games);Communication/Network Software;Computer Consulting Services;Desktop Publishing;Applications Software(Home);Utilities/File Mgmt Software;Programming Services;Database Software/Programming;Other Computer Related Svcs</v>
      </c>
      <c r="AA493" s="6" t="str">
        <v>Internet Services &amp; Software;Primary Business not Hi-Tech;Programming Services;Computer Consulting Services;Telecommunications Equipment</v>
      </c>
      <c r="AB493" s="6" t="str">
        <v>Telecommunications Equipment;Internet Services &amp; Software;Programming Services;Computer Consulting Services;Primary Business not Hi-Tech</v>
      </c>
      <c r="AH493" s="6" t="str">
        <v>True</v>
      </c>
      <c r="AJ493" s="6" t="str">
        <v>Dismissed Rumor</v>
      </c>
      <c r="AL493" s="8">
        <v>283.960393</v>
      </c>
      <c r="AM493" s="6" t="str">
        <v>Rumored Deal</v>
      </c>
      <c r="AN493" s="8">
        <v>2743.415</v>
      </c>
      <c r="AO493" s="6" t="str">
        <v>US - Google Inc was rumored to be planning to acquire the entire share capital of Nuance Communications Inc, a Burlington-based developer of speech and imaging software. The Current status of this deal is unknown.</v>
      </c>
    </row>
    <row r="494">
      <c r="A494" s="6" t="str">
        <v>38259P</v>
      </c>
      <c r="B494" s="6" t="str">
        <v>United States</v>
      </c>
      <c r="C494" s="6" t="str">
        <v>Google Inc</v>
      </c>
      <c r="D494" s="6" t="str">
        <v>Alphabet Inc</v>
      </c>
      <c r="F494" s="6" t="str">
        <v>United States</v>
      </c>
      <c r="G494" s="6" t="str">
        <v>Episodic Inc</v>
      </c>
      <c r="H494" s="6" t="str">
        <v>Business Services</v>
      </c>
      <c r="I494" s="6" t="str">
        <v>30031L</v>
      </c>
      <c r="J494" s="6" t="str">
        <v>Episodic Inc</v>
      </c>
      <c r="K494" s="6" t="str">
        <v>Episodic Inc</v>
      </c>
      <c r="L494" s="7">
        <f>=DATE(2010,4,2)</f>
        <v>40269.99949074074</v>
      </c>
      <c r="M494" s="7">
        <f>=DATE(2010,4,2)</f>
        <v>40269.99949074074</v>
      </c>
      <c r="W494" s="6" t="str">
        <v>Internet Services &amp; Software;Programming Services</v>
      </c>
      <c r="X494" s="6" t="str">
        <v>Internet Services &amp; Software</v>
      </c>
      <c r="Y494" s="6" t="str">
        <v>Internet Services &amp; Software</v>
      </c>
      <c r="Z494" s="6" t="str">
        <v>Internet Services &amp; Software</v>
      </c>
      <c r="AA494" s="6" t="str">
        <v>Internet Services &amp; Software;Computer Consulting Services;Primary Business not Hi-Tech;Programming Services;Telecommunications Equipment</v>
      </c>
      <c r="AB494" s="6" t="str">
        <v>Internet Services &amp; Software;Primary Business not Hi-Tech;Programming Services;Computer Consulting Services;Telecommunications Equipment</v>
      </c>
      <c r="AH494" s="6" t="str">
        <v>False</v>
      </c>
      <c r="AI494" s="6" t="str">
        <v>2010</v>
      </c>
      <c r="AJ494" s="6" t="str">
        <v>Completed</v>
      </c>
      <c r="AM494" s="6" t="str">
        <v>Not Applicable</v>
      </c>
      <c r="AO494" s="6" t="str">
        <v>US - Google Inc acquired Episodic Inc, a San Francisco-based provider of online video publishing services.</v>
      </c>
    </row>
    <row r="495">
      <c r="A495" s="6" t="str">
        <v>893929</v>
      </c>
      <c r="B495" s="6" t="str">
        <v>United States</v>
      </c>
      <c r="C495" s="6" t="str">
        <v>Transcend Services Inc</v>
      </c>
      <c r="D495" s="6" t="str">
        <v>Transcend Services Inc</v>
      </c>
      <c r="F495" s="6" t="str">
        <v>United States</v>
      </c>
      <c r="G495" s="6" t="str">
        <v>Spheris Inc</v>
      </c>
      <c r="H495" s="6" t="str">
        <v>Business Services</v>
      </c>
      <c r="I495" s="6" t="str">
        <v>84852L</v>
      </c>
      <c r="J495" s="6" t="str">
        <v>Spheris Inc</v>
      </c>
      <c r="K495" s="6" t="str">
        <v>Spheris Inc</v>
      </c>
      <c r="L495" s="7">
        <f>=DATE(2010,4,9)</f>
        <v>40276.99949074074</v>
      </c>
      <c r="N495" s="8">
        <v>78.25</v>
      </c>
      <c r="O495" s="8">
        <v>78.25</v>
      </c>
      <c r="W495" s="6" t="str">
        <v>Data Processing Services;Other Computer Related Svcs</v>
      </c>
      <c r="X495" s="6" t="str">
        <v>Data Processing Services</v>
      </c>
      <c r="Y495" s="6" t="str">
        <v>Data Processing Services</v>
      </c>
      <c r="Z495" s="6" t="str">
        <v>Data Processing Services</v>
      </c>
      <c r="AA495" s="6" t="str">
        <v>Other Computer Related Svcs;Data Processing Services</v>
      </c>
      <c r="AB495" s="6" t="str">
        <v>Data Processing Services;Other Computer Related Svcs</v>
      </c>
      <c r="AC495" s="8">
        <v>78.25</v>
      </c>
      <c r="AD495" s="7">
        <f>=DATE(2010,4,9)</f>
        <v>40276.99949074074</v>
      </c>
      <c r="AH495" s="6" t="str">
        <v>False</v>
      </c>
      <c r="AJ495" s="6" t="str">
        <v>Withdrawn</v>
      </c>
      <c r="AM495" s="6" t="str">
        <v>Not Applicable</v>
      </c>
      <c r="AO495" s="6" t="str">
        <v>US - Transcend Services Inc withdrew its plan to acquire Spheris Inc, a Franklin-based provider of medical transcription services, for USD 78.25 mil.</v>
      </c>
    </row>
    <row r="496">
      <c r="A496" s="6" t="str">
        <v>38259P</v>
      </c>
      <c r="B496" s="6" t="str">
        <v>United States</v>
      </c>
      <c r="C496" s="6" t="str">
        <v>Google Inc</v>
      </c>
      <c r="D496" s="6" t="str">
        <v>Alphabet Inc</v>
      </c>
      <c r="F496" s="6" t="str">
        <v>United Kingdom</v>
      </c>
      <c r="G496" s="6" t="str">
        <v>Plink Search Ltd</v>
      </c>
      <c r="H496" s="6" t="str">
        <v>Prepackaged Software</v>
      </c>
      <c r="I496" s="6" t="str">
        <v>27852J</v>
      </c>
      <c r="J496" s="6" t="str">
        <v>Plink Search Ltd</v>
      </c>
      <c r="K496" s="6" t="str">
        <v>Plink Search Ltd</v>
      </c>
      <c r="L496" s="7">
        <f>=DATE(2010,4,12)</f>
        <v>40279.99949074074</v>
      </c>
      <c r="M496" s="7">
        <f>=DATE(2010,4,12)</f>
        <v>40279.99949074074</v>
      </c>
      <c r="W496" s="6" t="str">
        <v>Internet Services &amp; Software;Programming Services</v>
      </c>
      <c r="X496" s="6" t="str">
        <v>Internet Services &amp; Software;Communication/Network Software</v>
      </c>
      <c r="Y496" s="6" t="str">
        <v>Communication/Network Software;Internet Services &amp; Software</v>
      </c>
      <c r="Z496" s="6" t="str">
        <v>Internet Services &amp; Software;Communication/Network Software</v>
      </c>
      <c r="AA496" s="6" t="str">
        <v>Programming Services;Computer Consulting Services;Telecommunications Equipment;Internet Services &amp; Software;Primary Business not Hi-Tech</v>
      </c>
      <c r="AB496" s="6" t="str">
        <v>Computer Consulting Services;Programming Services;Internet Services &amp; Software;Telecommunications Equipment;Primary Business not Hi-Tech</v>
      </c>
      <c r="AH496" s="6" t="str">
        <v>False</v>
      </c>
      <c r="AI496" s="6" t="str">
        <v>2010</v>
      </c>
      <c r="AJ496" s="6" t="str">
        <v>Completed</v>
      </c>
      <c r="AM496" s="6" t="str">
        <v>Not Applicable</v>
      </c>
      <c r="AO496" s="6" t="str">
        <v>UK - Google Inc acquired Plink Search Ltd, a London-based developer of visual search engines. Terms were not disclosed.</v>
      </c>
    </row>
    <row r="497">
      <c r="A497" s="6" t="str">
        <v>38259P</v>
      </c>
      <c r="B497" s="6" t="str">
        <v>United States</v>
      </c>
      <c r="C497" s="6" t="str">
        <v>Google Inc</v>
      </c>
      <c r="D497" s="6" t="str">
        <v>Alphabet Inc</v>
      </c>
      <c r="F497" s="6" t="str">
        <v>United States</v>
      </c>
      <c r="G497" s="6" t="str">
        <v>Agnilux Inc</v>
      </c>
      <c r="H497" s="6" t="str">
        <v>Business Services</v>
      </c>
      <c r="I497" s="6" t="str">
        <v>63955J</v>
      </c>
      <c r="J497" s="6" t="str">
        <v>Apple Inc</v>
      </c>
      <c r="K497" s="6" t="str">
        <v>Apple Inc</v>
      </c>
      <c r="L497" s="7">
        <f>=DATE(2010,4,21)</f>
        <v>40288.99949074074</v>
      </c>
      <c r="M497" s="7">
        <f>=DATE(2010,4,21)</f>
        <v>40288.99949074074</v>
      </c>
      <c r="W497" s="6" t="str">
        <v>Programming Services;Internet Services &amp; Software</v>
      </c>
      <c r="X497" s="6" t="str">
        <v>Computer Consulting Services;Other Computer Related Svcs;Other Software (inq. Games);Applications Software(Business;Data Processing Services</v>
      </c>
      <c r="Y497" s="6" t="str">
        <v>Portable Computers;Mainframes &amp; Super Computers;Other Software (inq. Games);Other Peripherals;Disk Drives;Micro-Computers (PCs);Printers;Monitors/Terminals</v>
      </c>
      <c r="Z497" s="6" t="str">
        <v>Micro-Computers (PCs);Other Software (inq. Games);Portable Computers;Printers;Disk Drives;Mainframes &amp; Super Computers;Other Peripherals;Monitors/Terminals</v>
      </c>
      <c r="AA497" s="6" t="str">
        <v>Internet Services &amp; Software;Primary Business not Hi-Tech;Computer Consulting Services;Programming Services;Telecommunications Equipment</v>
      </c>
      <c r="AB497" s="6" t="str">
        <v>Internet Services &amp; Software;Primary Business not Hi-Tech;Telecommunications Equipment;Programming Services;Computer Consulting Services</v>
      </c>
      <c r="AH497" s="6" t="str">
        <v>False</v>
      </c>
      <c r="AI497" s="6" t="str">
        <v>2010</v>
      </c>
      <c r="AJ497" s="6" t="str">
        <v>Completed</v>
      </c>
      <c r="AM497" s="6" t="str">
        <v>Divestiture</v>
      </c>
      <c r="AO497" s="6" t="str">
        <v>US - Google Inc acquired Agnilux Inc, a San Jose-based provider of information technology services, from Apple Inc. Terms were not disclosed.</v>
      </c>
    </row>
    <row r="498">
      <c r="A498" s="6" t="str">
        <v>037833</v>
      </c>
      <c r="B498" s="6" t="str">
        <v>United States</v>
      </c>
      <c r="C498" s="6" t="str">
        <v>Apple Inc</v>
      </c>
      <c r="D498" s="6" t="str">
        <v>Apple Inc</v>
      </c>
      <c r="F498" s="6" t="str">
        <v>United Kingdom</v>
      </c>
      <c r="G498" s="6" t="str">
        <v>ARM Holdings PLC</v>
      </c>
      <c r="H498" s="6" t="str">
        <v>Electronic and Electrical Equipment</v>
      </c>
      <c r="I498" s="6" t="str">
        <v>5P4723</v>
      </c>
      <c r="J498" s="6" t="str">
        <v>ARM Holdings PLC</v>
      </c>
      <c r="K498" s="6" t="str">
        <v>ARM Holdings PLC</v>
      </c>
      <c r="L498" s="7">
        <f>=DATE(2010,4,22)</f>
        <v>40289.99949074074</v>
      </c>
      <c r="R498" s="8">
        <v>76.2536626838933</v>
      </c>
      <c r="S498" s="8">
        <v>481.978836139493</v>
      </c>
      <c r="T498" s="8">
        <v>-14.9937432</v>
      </c>
      <c r="U498" s="8">
        <v>-187.9334234</v>
      </c>
      <c r="V498" s="8">
        <v>148.5361334</v>
      </c>
      <c r="W498" s="6" t="str">
        <v>Other Peripherals;Other Software (inq. Games);Disk Drives;Portable Computers;Micro-Computers (PCs);Mainframes &amp; Super Computers;Printers;Monitors/Terminals</v>
      </c>
      <c r="X498" s="6" t="str">
        <v>Semiconductors</v>
      </c>
      <c r="Y498" s="6" t="str">
        <v>Semiconductors</v>
      </c>
      <c r="Z498" s="6" t="str">
        <v>Semiconductors</v>
      </c>
      <c r="AA498" s="6" t="str">
        <v>Other Software (inq. Games);Other Peripherals;Disk Drives;Printers;Portable Computers;Micro-Computers (PCs);Mainframes &amp; Super Computers;Monitors/Terminals</v>
      </c>
      <c r="AB498" s="6" t="str">
        <v>Other Software (inq. Games);Portable Computers;Disk Drives;Other Peripherals;Mainframes &amp; Super Computers;Micro-Computers (PCs);Monitors/Terminals;Printers</v>
      </c>
      <c r="AH498" s="6" t="str">
        <v>True</v>
      </c>
      <c r="AJ498" s="6" t="str">
        <v>Dismissed Rumor</v>
      </c>
      <c r="AM498" s="6" t="str">
        <v>Rumored Deal</v>
      </c>
      <c r="AN498" s="8">
        <v>866.650978486951</v>
      </c>
      <c r="AO498" s="6" t="str">
        <v>UK - Apple Inc of US was rumored to be in negotiations to acquire ARM Holdings PLC, a Moorbridge-based manufacturer and wholesaler of RISC microprocessors. The Current status of this deal is unknown.</v>
      </c>
    </row>
    <row r="499">
      <c r="A499" s="6" t="str">
        <v>01864J</v>
      </c>
      <c r="B499" s="6" t="str">
        <v>United States</v>
      </c>
      <c r="C499" s="6" t="str">
        <v>Avanade Inc</v>
      </c>
      <c r="D499" s="6" t="str">
        <v>Accenture PLC</v>
      </c>
      <c r="F499" s="6" t="str">
        <v>United States</v>
      </c>
      <c r="G499" s="6" t="str">
        <v>Ascentium Corp-US Microsoft Dynamics CRM Business</v>
      </c>
      <c r="H499" s="6" t="str">
        <v>Business Services</v>
      </c>
      <c r="I499" s="6" t="str">
        <v>04440V</v>
      </c>
      <c r="J499" s="6" t="str">
        <v>Ascentium Corp</v>
      </c>
      <c r="K499" s="6" t="str">
        <v>Ascentium Corp</v>
      </c>
      <c r="L499" s="7">
        <f>=DATE(2010,4,23)</f>
        <v>40290.99949074074</v>
      </c>
      <c r="M499" s="7">
        <f>=DATE(2010,5,18)</f>
        <v>40315.99949074074</v>
      </c>
      <c r="W499" s="6" t="str">
        <v>Computer Consulting Services;Other Software (inq. Games);Other Computer Related Svcs</v>
      </c>
      <c r="X499" s="6" t="str">
        <v>Applications Software(Business;Computer Consulting Services;Internet Services &amp; Software</v>
      </c>
      <c r="Y499" s="6" t="str">
        <v>Internet Services &amp; Software;Computer Consulting Services;Applications Software(Business</v>
      </c>
      <c r="Z499" s="6" t="str">
        <v>Applications Software(Business;Internet Services &amp; Software;Computer Consulting Services</v>
      </c>
      <c r="AA499" s="6" t="str">
        <v>Other Software (inq. Games);Workstations;Communication/Network Software;Utilities/File Mgmt Software;Applications Software(Business;Data Commun(Exclude networking;Applications Software(Home);Primary Business not Hi-Tech;CAD/CAM/CAE/Graphics Systems;Other Computer Related Svcs;Networking Systems (LAN,WAN);Internet Services &amp; Software;Operating Systems;Other Computer Systems;Turnkey Systems;Desktop Publishing;Data Processing Services;Computer Consulting Services</v>
      </c>
      <c r="AB499" s="6" t="str">
        <v>Other Computer Systems;Desktop Publishing;Applications Software(Business;Other Software (inq. Games);Primary Business not Hi-Tech;Utilities/File Mgmt Software;Other Computer Related Svcs;Applications Software(Home);Internet Services &amp; Software;Communication/Network Software;Data Processing Services;CAD/CAM/CAE/Graphics Systems;Turnkey Systems;Computer Consulting Services;Data Commun(Exclude networking;Operating Systems;Workstations;Networking Systems (LAN,WAN)</v>
      </c>
      <c r="AH499" s="6" t="str">
        <v>False</v>
      </c>
      <c r="AI499" s="6" t="str">
        <v>2010</v>
      </c>
      <c r="AJ499" s="6" t="str">
        <v>Completed</v>
      </c>
      <c r="AM499" s="6" t="str">
        <v>Divestiture</v>
      </c>
      <c r="AO499" s="6" t="str">
        <v>US - Avanade Inc, a 51:49 joint venture between Accenture PLC and Microsoft Corp, acquired the US Microsoft Dynamics CRM Business of Ascentium Corp (Ascentium), a Bellevue-based developer of online marketing software. Terms were not disclosed. The transaction included Ascentium's wholly-owned Ascentium Federal Inc unit.</v>
      </c>
    </row>
    <row r="500">
      <c r="A500" s="6" t="str">
        <v>037833</v>
      </c>
      <c r="B500" s="6" t="str">
        <v>United States</v>
      </c>
      <c r="C500" s="6" t="str">
        <v>Apple Inc</v>
      </c>
      <c r="D500" s="6" t="str">
        <v>Apple Inc</v>
      </c>
      <c r="F500" s="6" t="str">
        <v>United States</v>
      </c>
      <c r="G500" s="6" t="str">
        <v>Intrinsity Inc</v>
      </c>
      <c r="H500" s="6" t="str">
        <v>Electronic and Electrical Equipment</v>
      </c>
      <c r="I500" s="6" t="str">
        <v>46198N</v>
      </c>
      <c r="J500" s="6" t="str">
        <v>Intrinsity Inc</v>
      </c>
      <c r="K500" s="6" t="str">
        <v>Intrinsity Inc</v>
      </c>
      <c r="L500" s="7">
        <f>=DATE(2010,4,28)</f>
        <v>40295.99949074074</v>
      </c>
      <c r="W500" s="6" t="str">
        <v>Micro-Computers (PCs);Disk Drives;Portable Computers;Monitors/Terminals;Other Software (inq. Games);Mainframes &amp; Super Computers;Printers;Other Peripherals</v>
      </c>
      <c r="X500" s="6" t="str">
        <v>Semiconductors</v>
      </c>
      <c r="Y500" s="6" t="str">
        <v>Semiconductors</v>
      </c>
      <c r="Z500" s="6" t="str">
        <v>Semiconductors</v>
      </c>
      <c r="AA500" s="6" t="str">
        <v>Other Peripherals;Other Software (inq. Games);Disk Drives;Monitors/Terminals;Mainframes &amp; Super Computers;Portable Computers;Printers;Micro-Computers (PCs)</v>
      </c>
      <c r="AB500" s="6" t="str">
        <v>Disk Drives;Monitors/Terminals;Micro-Computers (PCs);Mainframes &amp; Super Computers;Portable Computers;Printers;Other Peripherals;Other Software (inq. Games)</v>
      </c>
      <c r="AH500" s="6" t="str">
        <v>True</v>
      </c>
      <c r="AJ500" s="6" t="str">
        <v>Dismissed Rumor</v>
      </c>
      <c r="AM500" s="6" t="str">
        <v>Rumored Deal</v>
      </c>
      <c r="AO500" s="6" t="str">
        <v>US - Apple Inc was rumored to be planning to acquire Intrinsity Inc, an Austin-based manufacturer of semiconductors. The Current status of this deal is unknown.</v>
      </c>
    </row>
    <row r="501">
      <c r="A501" s="6" t="str">
        <v>38259P</v>
      </c>
      <c r="B501" s="6" t="str">
        <v>United States</v>
      </c>
      <c r="C501" s="6" t="str">
        <v>Google Inc</v>
      </c>
      <c r="D501" s="6" t="str">
        <v>Alphabet Inc</v>
      </c>
      <c r="F501" s="6" t="str">
        <v>Israel</v>
      </c>
      <c r="G501" s="6" t="str">
        <v>LabPixies</v>
      </c>
      <c r="H501" s="6" t="str">
        <v>Prepackaged Software</v>
      </c>
      <c r="I501" s="6" t="str">
        <v>50749F</v>
      </c>
      <c r="J501" s="6" t="str">
        <v>LabPixies</v>
      </c>
      <c r="K501" s="6" t="str">
        <v>LabPixies</v>
      </c>
      <c r="L501" s="7">
        <f>=DATE(2010,4,28)</f>
        <v>40295.99949074074</v>
      </c>
      <c r="M501" s="7">
        <f>=DATE(2010,4,28)</f>
        <v>40295.99949074074</v>
      </c>
      <c r="N501" s="8">
        <v>25.0066773504273</v>
      </c>
      <c r="O501" s="8">
        <v>25.0066773504273</v>
      </c>
      <c r="W501" s="6" t="str">
        <v>Programming Services;Internet Services &amp; Software</v>
      </c>
      <c r="X501" s="6" t="str">
        <v>Other Software (inq. Games)</v>
      </c>
      <c r="Y501" s="6" t="str">
        <v>Other Software (inq. Games)</v>
      </c>
      <c r="Z501" s="6" t="str">
        <v>Other Software (inq. Games)</v>
      </c>
      <c r="AA501" s="6" t="str">
        <v>Computer Consulting Services;Primary Business not Hi-Tech;Telecommunications Equipment;Internet Services &amp; Software;Programming Services</v>
      </c>
      <c r="AB501" s="6" t="str">
        <v>Primary Business not Hi-Tech;Telecommunications Equipment;Internet Services &amp; Software;Programming Services;Computer Consulting Services</v>
      </c>
      <c r="AC501" s="8">
        <v>25.0066773504273</v>
      </c>
      <c r="AD501" s="7">
        <f>=DATE(2010,4,28)</f>
        <v>40295.99949074074</v>
      </c>
      <c r="AH501" s="6" t="str">
        <v>False</v>
      </c>
      <c r="AI501" s="6" t="str">
        <v>2010</v>
      </c>
      <c r="AJ501" s="6" t="str">
        <v>Completed</v>
      </c>
      <c r="AM501" s="6" t="str">
        <v>Divestiture</v>
      </c>
      <c r="AO501" s="6" t="str">
        <v>ISRAEL - Google Inc of US acquired LabPixies, a developer of web and mobile application software, for ILS 93.625 mil (USD 25 mil).</v>
      </c>
    </row>
    <row r="502">
      <c r="A502" s="6" t="str">
        <v>037833</v>
      </c>
      <c r="B502" s="6" t="str">
        <v>United States</v>
      </c>
      <c r="C502" s="6" t="str">
        <v>Apple Inc</v>
      </c>
      <c r="D502" s="6" t="str">
        <v>Apple Inc</v>
      </c>
      <c r="F502" s="6" t="str">
        <v>United States</v>
      </c>
      <c r="G502" s="6" t="str">
        <v>SIRI Inc</v>
      </c>
      <c r="H502" s="6" t="str">
        <v>Prepackaged Software</v>
      </c>
      <c r="I502" s="6" t="str">
        <v>78967T</v>
      </c>
      <c r="J502" s="6" t="str">
        <v>SIRI Inc</v>
      </c>
      <c r="K502" s="6" t="str">
        <v>SIRI Inc</v>
      </c>
      <c r="L502" s="7">
        <f>=DATE(2010,4,28)</f>
        <v>40295.99949074074</v>
      </c>
      <c r="M502" s="7">
        <f>=DATE(2010,4,28)</f>
        <v>40295.99949074074</v>
      </c>
      <c r="W502" s="6" t="str">
        <v>Other Software (inq. Games);Disk Drives;Printers;Other Peripherals;Portable Computers;Micro-Computers (PCs);Monitors/Terminals;Mainframes &amp; Super Computers</v>
      </c>
      <c r="X502" s="6" t="str">
        <v>Internet Services &amp; Software;Communication/Network Software</v>
      </c>
      <c r="Y502" s="6" t="str">
        <v>Communication/Network Software;Internet Services &amp; Software</v>
      </c>
      <c r="Z502" s="6" t="str">
        <v>Internet Services &amp; Software;Communication/Network Software</v>
      </c>
      <c r="AA502" s="6" t="str">
        <v>Disk Drives;Monitors/Terminals;Portable Computers;Micro-Computers (PCs);Other Peripherals;Mainframes &amp; Super Computers;Printers;Other Software (inq. Games)</v>
      </c>
      <c r="AB502" s="6" t="str">
        <v>Mainframes &amp; Super Computers;Printers;Micro-Computers (PCs);Other Software (inq. Games);Monitors/Terminals;Disk Drives;Other Peripherals;Portable Computers</v>
      </c>
      <c r="AH502" s="6" t="str">
        <v>True</v>
      </c>
      <c r="AI502" s="6" t="str">
        <v>2010</v>
      </c>
      <c r="AJ502" s="6" t="str">
        <v>Completed</v>
      </c>
      <c r="AM502" s="6" t="str">
        <v>Not Applicable</v>
      </c>
      <c r="AO502" s="6" t="str">
        <v>US - Apple Inc acquired SIRI Inc, a San Jose-based developer of mobile internet software. Terms were not disclosed.</v>
      </c>
    </row>
    <row r="503">
      <c r="A503" s="6" t="str">
        <v>38259P</v>
      </c>
      <c r="B503" s="6" t="str">
        <v>United States</v>
      </c>
      <c r="C503" s="6" t="str">
        <v>Google Inc</v>
      </c>
      <c r="D503" s="6" t="str">
        <v>Alphabet Inc</v>
      </c>
      <c r="F503" s="6" t="str">
        <v>Canada</v>
      </c>
      <c r="G503" s="6" t="str">
        <v>BumpTop</v>
      </c>
      <c r="H503" s="6" t="str">
        <v>Prepackaged Software</v>
      </c>
      <c r="I503" s="6" t="str">
        <v>12051P</v>
      </c>
      <c r="J503" s="6" t="str">
        <v>BumpTop</v>
      </c>
      <c r="K503" s="6" t="str">
        <v>BumpTop</v>
      </c>
      <c r="L503" s="7">
        <f>=DATE(2010,5,2)</f>
        <v>40299.99949074074</v>
      </c>
      <c r="M503" s="7">
        <f>=DATE(2010,5,2)</f>
        <v>40299.99949074074</v>
      </c>
      <c r="W503" s="6" t="str">
        <v>Programming Services;Internet Services &amp; Software</v>
      </c>
      <c r="X503" s="6" t="str">
        <v>Other Software (inq. Games)</v>
      </c>
      <c r="Y503" s="6" t="str">
        <v>Other Software (inq. Games)</v>
      </c>
      <c r="Z503" s="6" t="str">
        <v>Other Software (inq. Games)</v>
      </c>
      <c r="AA503" s="6" t="str">
        <v>Internet Services &amp; Software;Computer Consulting Services;Telecommunications Equipment;Primary Business not Hi-Tech;Programming Services</v>
      </c>
      <c r="AB503" s="6" t="str">
        <v>Internet Services &amp; Software;Telecommunications Equipment;Primary Business not Hi-Tech;Computer Consulting Services;Programming Services</v>
      </c>
      <c r="AH503" s="6" t="str">
        <v>False</v>
      </c>
      <c r="AI503" s="6" t="str">
        <v>2010</v>
      </c>
      <c r="AJ503" s="6" t="str">
        <v>Completed</v>
      </c>
      <c r="AM503" s="6" t="str">
        <v>Not Applicable</v>
      </c>
      <c r="AO503" s="6" t="str">
        <v>CANADA - Google Inc of the US acquired Bump Technologies Inc, a Toronto-based developer of 3D environment software.</v>
      </c>
    </row>
    <row r="504">
      <c r="A504" s="6" t="str">
        <v>17406P</v>
      </c>
      <c r="B504" s="6" t="str">
        <v>United States</v>
      </c>
      <c r="C504" s="6" t="str">
        <v>ChoiceVendor Inc</v>
      </c>
      <c r="D504" s="6" t="str">
        <v>ChoiceVendor Inc</v>
      </c>
      <c r="F504" s="6" t="str">
        <v>United States</v>
      </c>
      <c r="G504" s="6" t="str">
        <v>VendorCity</v>
      </c>
      <c r="H504" s="6" t="str">
        <v>Business Services</v>
      </c>
      <c r="I504" s="6" t="str">
        <v>92428L</v>
      </c>
      <c r="J504" s="6" t="str">
        <v>VendorCity</v>
      </c>
      <c r="K504" s="6" t="str">
        <v>VendorCity</v>
      </c>
      <c r="L504" s="7">
        <f>=DATE(2010,5,3)</f>
        <v>40300.99949074074</v>
      </c>
      <c r="M504" s="7">
        <f>=DATE(2010,5,3)</f>
        <v>40300.99949074074</v>
      </c>
      <c r="W504" s="6" t="str">
        <v>Internet Services &amp; Software</v>
      </c>
      <c r="X504" s="6" t="str">
        <v>Internet Services &amp; Software</v>
      </c>
      <c r="Y504" s="6" t="str">
        <v>Internet Services &amp; Software</v>
      </c>
      <c r="Z504" s="6" t="str">
        <v>Internet Services &amp; Software</v>
      </c>
      <c r="AA504" s="6" t="str">
        <v>Internet Services &amp; Software</v>
      </c>
      <c r="AB504" s="6" t="str">
        <v>Internet Services &amp; Software</v>
      </c>
      <c r="AH504" s="6" t="str">
        <v>False</v>
      </c>
      <c r="AI504" s="6" t="str">
        <v>2010</v>
      </c>
      <c r="AJ504" s="6" t="str">
        <v>Completed</v>
      </c>
      <c r="AM504" s="6" t="str">
        <v>Not Applicable</v>
      </c>
      <c r="AO504" s="6" t="str">
        <v>US - ChoiceVendor Inc has acquired VendorCity, a San Francisco, California-based company which provides online reviews of business-to-business (B2B) recommendation.</v>
      </c>
    </row>
    <row r="505">
      <c r="A505" s="6" t="str">
        <v>37861C</v>
      </c>
      <c r="B505" s="6" t="str">
        <v>United States</v>
      </c>
      <c r="C505" s="6" t="str">
        <v>Google Acquisition Holdings Inc</v>
      </c>
      <c r="D505" s="6" t="str">
        <v>Alphabet Inc</v>
      </c>
      <c r="F505" s="6" t="str">
        <v>Sweden</v>
      </c>
      <c r="G505" s="6" t="str">
        <v>Global IP Solutions (GIPS) Holding AB</v>
      </c>
      <c r="H505" s="6" t="str">
        <v>Prepackaged Software</v>
      </c>
      <c r="I505" s="6" t="str">
        <v>37903C</v>
      </c>
      <c r="J505" s="6" t="str">
        <v>Global IP Solutions (GIPS) Holding AB</v>
      </c>
      <c r="K505" s="6" t="str">
        <v>Global IP Solutions (GIPS) Holding AB</v>
      </c>
      <c r="L505" s="7">
        <f>=DATE(2010,5,18)</f>
        <v>40315.99949074074</v>
      </c>
      <c r="M505" s="7">
        <f>=DATE(2010,6,28)</f>
        <v>40356.99949074074</v>
      </c>
      <c r="N505" s="8">
        <v>59.6453097975379</v>
      </c>
      <c r="O505" s="8">
        <v>59.6453097975379</v>
      </c>
      <c r="P505" s="8" t="str">
        <v>55.49</v>
      </c>
      <c r="R505" s="8">
        <v>-7.35202927292534</v>
      </c>
      <c r="S505" s="8">
        <v>12.7492248819865</v>
      </c>
      <c r="U505" s="8">
        <v>-1.951900929</v>
      </c>
      <c r="V505" s="8">
        <v>-4.064747339</v>
      </c>
      <c r="W505" s="6" t="str">
        <v>Primary Business not Hi-Tech</v>
      </c>
      <c r="X505" s="6" t="str">
        <v>Other Software (inq. Games);Communication/Network Software</v>
      </c>
      <c r="Y505" s="6" t="str">
        <v>Communication/Network Software;Other Software (inq. Games)</v>
      </c>
      <c r="Z505" s="6" t="str">
        <v>Other Software (inq. Games);Communication/Network Software</v>
      </c>
      <c r="AA505" s="6" t="str">
        <v>Programming Services;Internet Services &amp; Software</v>
      </c>
      <c r="AB505" s="6" t="str">
        <v>Internet Services &amp; Software;Computer Consulting Services;Telecommunications Equipment;Primary Business not Hi-Tech;Programming Services</v>
      </c>
      <c r="AC505" s="8">
        <v>59.6453097975379</v>
      </c>
      <c r="AD505" s="7">
        <f>=DATE(2010,5,28)</f>
        <v>40325.99949074074</v>
      </c>
      <c r="AE505" s="8">
        <v>66.1204792125343</v>
      </c>
      <c r="AF505" s="8" t="str">
        <v>65.26</v>
      </c>
      <c r="AG505" s="8" t="str">
        <v>51.36</v>
      </c>
      <c r="AH505" s="6" t="str">
        <v>True</v>
      </c>
      <c r="AI505" s="6" t="str">
        <v>2010</v>
      </c>
      <c r="AJ505" s="6" t="str">
        <v>Completed</v>
      </c>
      <c r="AK505" s="8">
        <v>66.1204792125343</v>
      </c>
      <c r="AL505" s="8">
        <v>32.381574</v>
      </c>
      <c r="AM505" s="6" t="str">
        <v>Tender Offer</v>
      </c>
      <c r="AN505" s="8">
        <v>3.1472584564677</v>
      </c>
      <c r="AO505" s="6" t="str">
        <v>SWEDEN - Google Acquisition Holdings Inc of the US (Google), a unit of Google Inc, acquired a 90.21% interest, or 29.21 mil ordinary shares, in Global IP Solution (GIPS) Holding AB (GIPS), a Stockholm-based developer of media processing software, for SEK 16.056 (USD 2.044) per share, or for a total value of SEK 469.003 mil (USD 59.7 mil). Originally, Google launched launch a tender offer to acquire the entire share capital of GIPS, for SEK 16.056 (USD 2.044) per share, or for a total value of SEK 519.921 mil (USD 66.181 mil). The offer was conditional upon at least 90% of GIPS's shares being tendered. Upon completion, Google was to apply for the delisting of GIPS' shares in the Oslo Stock Exchange.</v>
      </c>
    </row>
    <row r="506">
      <c r="A506" s="6" t="str">
        <v>38259P</v>
      </c>
      <c r="B506" s="6" t="str">
        <v>United States</v>
      </c>
      <c r="C506" s="6" t="str">
        <v>Google Inc</v>
      </c>
      <c r="D506" s="6" t="str">
        <v>Alphabet Inc</v>
      </c>
      <c r="F506" s="6" t="str">
        <v>United States</v>
      </c>
      <c r="G506" s="6" t="str">
        <v>Ruba Inc</v>
      </c>
      <c r="H506" s="6" t="str">
        <v>Business Services</v>
      </c>
      <c r="I506" s="6" t="str">
        <v>78088Q</v>
      </c>
      <c r="J506" s="6" t="str">
        <v>Ruba Inc</v>
      </c>
      <c r="K506" s="6" t="str">
        <v>Ruba Inc</v>
      </c>
      <c r="L506" s="7">
        <f>=DATE(2010,5,21)</f>
        <v>40318.99949074074</v>
      </c>
      <c r="M506" s="7">
        <f>=DATE(2010,5,21)</f>
        <v>40318.99949074074</v>
      </c>
      <c r="W506" s="6" t="str">
        <v>Internet Services &amp; Software;Programming Services</v>
      </c>
      <c r="X506" s="6" t="str">
        <v>Internet Services &amp; Software</v>
      </c>
      <c r="Y506" s="6" t="str">
        <v>Internet Services &amp; Software</v>
      </c>
      <c r="Z506" s="6" t="str">
        <v>Internet Services &amp; Software</v>
      </c>
      <c r="AA506" s="6" t="str">
        <v>Programming Services;Telecommunications Equipment;Computer Consulting Services;Internet Services &amp; Software;Primary Business not Hi-Tech</v>
      </c>
      <c r="AB506" s="6" t="str">
        <v>Primary Business not Hi-Tech;Programming Services;Computer Consulting Services;Internet Services &amp; Software;Telecommunications Equipment</v>
      </c>
      <c r="AH506" s="6" t="str">
        <v>False</v>
      </c>
      <c r="AI506" s="6" t="str">
        <v>2010</v>
      </c>
      <c r="AJ506" s="6" t="str">
        <v>Completed</v>
      </c>
      <c r="AM506" s="6" t="str">
        <v>Not Applicable</v>
      </c>
      <c r="AO506" s="6" t="str">
        <v>US - Google Inc acquired Ruba Inc, a provider of online travel information services. Terms were not disclosed.</v>
      </c>
    </row>
    <row r="507">
      <c r="A507" s="6" t="str">
        <v>38259P</v>
      </c>
      <c r="B507" s="6" t="str">
        <v>United States</v>
      </c>
      <c r="C507" s="6" t="str">
        <v>Google Inc</v>
      </c>
      <c r="D507" s="6" t="str">
        <v>Alphabet Inc</v>
      </c>
      <c r="F507" s="6" t="str">
        <v>United States</v>
      </c>
      <c r="G507" s="6" t="str">
        <v>Simplify Media Inc</v>
      </c>
      <c r="H507" s="6" t="str">
        <v>Business Services</v>
      </c>
      <c r="I507" s="6" t="str">
        <v>83854T</v>
      </c>
      <c r="J507" s="6" t="str">
        <v>Simplify Media Inc</v>
      </c>
      <c r="K507" s="6" t="str">
        <v>Simplify Media Inc</v>
      </c>
      <c r="L507" s="7">
        <f>=DATE(2010,5,21)</f>
        <v>40318.99949074074</v>
      </c>
      <c r="M507" s="7">
        <f>=DATE(2010,5,21)</f>
        <v>40318.99949074074</v>
      </c>
      <c r="W507" s="6" t="str">
        <v>Programming Services;Internet Services &amp; Software</v>
      </c>
      <c r="X507" s="6" t="str">
        <v>Internet Services &amp; Software</v>
      </c>
      <c r="Y507" s="6" t="str">
        <v>Internet Services &amp; Software</v>
      </c>
      <c r="Z507" s="6" t="str">
        <v>Internet Services &amp; Software</v>
      </c>
      <c r="AA507" s="6" t="str">
        <v>Internet Services &amp; Software;Programming Services;Computer Consulting Services;Telecommunications Equipment;Primary Business not Hi-Tech</v>
      </c>
      <c r="AB507" s="6" t="str">
        <v>Primary Business not Hi-Tech;Internet Services &amp; Software;Programming Services;Computer Consulting Services;Telecommunications Equipment</v>
      </c>
      <c r="AH507" s="6" t="str">
        <v>False</v>
      </c>
      <c r="AI507" s="6" t="str">
        <v>2010</v>
      </c>
      <c r="AJ507" s="6" t="str">
        <v>Completed</v>
      </c>
      <c r="AM507" s="6" t="str">
        <v>Not Applicable</v>
      </c>
      <c r="AO507" s="6" t="str">
        <v>US - Google Inc acquired Simplify Media Inc, a Redwood City-based provider of online music, photo and video services.</v>
      </c>
    </row>
    <row r="508">
      <c r="A508" s="6" t="str">
        <v>30303M</v>
      </c>
      <c r="B508" s="6" t="str">
        <v>United States</v>
      </c>
      <c r="C508" s="6" t="str">
        <v>Facebook Inc</v>
      </c>
      <c r="D508" s="6" t="str">
        <v>Facebook Inc</v>
      </c>
      <c r="F508" s="6" t="str">
        <v>United States</v>
      </c>
      <c r="G508" s="6" t="str">
        <v>Sharegrove Inc</v>
      </c>
      <c r="H508" s="6" t="str">
        <v>Business Services</v>
      </c>
      <c r="I508" s="6" t="str">
        <v>81485M</v>
      </c>
      <c r="J508" s="6" t="str">
        <v>Sharegrove Inc</v>
      </c>
      <c r="K508" s="6" t="str">
        <v>Sharegrove Inc</v>
      </c>
      <c r="L508" s="7">
        <f>=DATE(2010,5,26)</f>
        <v>40323.99949074074</v>
      </c>
      <c r="M508" s="7">
        <f>=DATE(2010,5,26)</f>
        <v>40323.99949074074</v>
      </c>
      <c r="W508" s="6" t="str">
        <v>Internet Services &amp; Software</v>
      </c>
      <c r="X508" s="6" t="str">
        <v>Internet Services &amp; Software</v>
      </c>
      <c r="Y508" s="6" t="str">
        <v>Internet Services &amp; Software</v>
      </c>
      <c r="Z508" s="6" t="str">
        <v>Internet Services &amp; Software</v>
      </c>
      <c r="AA508" s="6" t="str">
        <v>Internet Services &amp; Software</v>
      </c>
      <c r="AB508" s="6" t="str">
        <v>Internet Services &amp; Software</v>
      </c>
      <c r="AH508" s="6" t="str">
        <v>True</v>
      </c>
      <c r="AI508" s="6" t="str">
        <v>2010</v>
      </c>
      <c r="AJ508" s="6" t="str">
        <v>Completed</v>
      </c>
      <c r="AM508" s="6" t="str">
        <v>Financial Acquiror</v>
      </c>
      <c r="AO508" s="6" t="str">
        <v>US - Facebook Inc acquired Sharegrove Inc, a San Mateo-based provider of online messaging services. Terms were not disclosed.</v>
      </c>
    </row>
    <row r="509">
      <c r="A509" s="6" t="str">
        <v>67020Y</v>
      </c>
      <c r="B509" s="6" t="str">
        <v>United States</v>
      </c>
      <c r="C509" s="6" t="str">
        <v>Nuance Communications Inc</v>
      </c>
      <c r="D509" s="6" t="str">
        <v>Nuance Communications Inc</v>
      </c>
      <c r="F509" s="6" t="str">
        <v>United States</v>
      </c>
      <c r="G509" s="6" t="str">
        <v>Shapewriter Inc</v>
      </c>
      <c r="H509" s="6" t="str">
        <v>Prepackaged Software</v>
      </c>
      <c r="I509" s="6" t="str">
        <v>83891H</v>
      </c>
      <c r="J509" s="6" t="str">
        <v>Shapewriter Inc</v>
      </c>
      <c r="K509" s="6" t="str">
        <v>Shapewriter Inc</v>
      </c>
      <c r="L509" s="7">
        <f>=DATE(2010,5,28)</f>
        <v>40325.99949074074</v>
      </c>
      <c r="M509" s="7">
        <f>=DATE(2010,5,28)</f>
        <v>40325.99949074074</v>
      </c>
      <c r="W509" s="6" t="str">
        <v>Programming Services;Other Computer Related Svcs;Database Software/Programming;Internet Services &amp; Software;Utilities/File Mgmt Software;Desktop Publishing;Other Software (inq. Games);Applications Software(Home);Communication/Network Software;Applications Software(Business;Primary Business not Hi-Tech;Networking Systems (LAN,WAN);Computer Consulting Services</v>
      </c>
      <c r="X509" s="6" t="str">
        <v>Other Software (inq. Games)</v>
      </c>
      <c r="Y509" s="6" t="str">
        <v>Other Software (inq. Games)</v>
      </c>
      <c r="Z509" s="6" t="str">
        <v>Other Software (inq. Games)</v>
      </c>
      <c r="AA509" s="6" t="str">
        <v>Database Software/Programming;Applications Software(Business;Internet Services &amp; Software;Desktop Publishing;Computer Consulting Services;Other Computer Related Svcs;Primary Business not Hi-Tech;Utilities/File Mgmt Software;Programming Services;Applications Software(Home);Communication/Network Software;Other Software (inq. Games);Networking Systems (LAN,WAN)</v>
      </c>
      <c r="AB509" s="6" t="str">
        <v>Applications Software(Business;Internet Services &amp; Software;Programming Services;Other Software (inq. Games);Computer Consulting Services;Other Computer Related Svcs;Networking Systems (LAN,WAN);Applications Software(Home);Utilities/File Mgmt Software;Desktop Publishing;Database Software/Programming;Communication/Network Software;Primary Business not Hi-Tech</v>
      </c>
      <c r="AH509" s="6" t="str">
        <v>False</v>
      </c>
      <c r="AI509" s="6" t="str">
        <v>2010</v>
      </c>
      <c r="AJ509" s="6" t="str">
        <v>Completed</v>
      </c>
      <c r="AM509" s="6" t="str">
        <v>Financial Acquiror</v>
      </c>
      <c r="AO509" s="6" t="str">
        <v>US - Nuance Communications Inc acquired Shapewriter Inc, a developer of software.</v>
      </c>
    </row>
    <row r="510">
      <c r="A510" s="6" t="str">
        <v>38259P</v>
      </c>
      <c r="B510" s="6" t="str">
        <v>United States</v>
      </c>
      <c r="C510" s="6" t="str">
        <v>Google Inc</v>
      </c>
      <c r="D510" s="6" t="str">
        <v>Alphabet Inc</v>
      </c>
      <c r="F510" s="6" t="str">
        <v>United States</v>
      </c>
      <c r="G510" s="6" t="str">
        <v>Invite Media Inc</v>
      </c>
      <c r="H510" s="6" t="str">
        <v>Business Services</v>
      </c>
      <c r="I510" s="6" t="str">
        <v>47273H</v>
      </c>
      <c r="J510" s="6" t="str">
        <v>Invite Media Inc</v>
      </c>
      <c r="K510" s="6" t="str">
        <v>Invite Media Inc</v>
      </c>
      <c r="L510" s="7">
        <f>=DATE(2010,6,2)</f>
        <v>40330.99949074074</v>
      </c>
      <c r="M510" s="7">
        <f>=DATE(2010,6,2)</f>
        <v>40330.99949074074</v>
      </c>
      <c r="W510" s="6" t="str">
        <v>Internet Services &amp; Software;Programming Services</v>
      </c>
      <c r="X510" s="6" t="str">
        <v>Internet Services &amp; Software</v>
      </c>
      <c r="Y510" s="6" t="str">
        <v>Internet Services &amp; Software</v>
      </c>
      <c r="Z510" s="6" t="str">
        <v>Internet Services &amp; Software</v>
      </c>
      <c r="AA510" s="6" t="str">
        <v>Telecommunications Equipment;Programming Services;Primary Business not Hi-Tech;Internet Services &amp; Software;Computer Consulting Services</v>
      </c>
      <c r="AB510" s="6" t="str">
        <v>Primary Business not Hi-Tech;Programming Services;Internet Services &amp; Software;Computer Consulting Services;Telecommunications Equipment</v>
      </c>
      <c r="AD510" s="7">
        <f>=DATE(2010,6,2)</f>
        <v>40330.99949074074</v>
      </c>
      <c r="AH510" s="6" t="str">
        <v>True</v>
      </c>
      <c r="AI510" s="6" t="str">
        <v>2010</v>
      </c>
      <c r="AJ510" s="6" t="str">
        <v>Completed</v>
      </c>
      <c r="AM510" s="6" t="str">
        <v>Not Applicable</v>
      </c>
      <c r="AO510" s="6" t="str">
        <v>US - Google Inc acquired Invite Media Inc, a New York-based provider of online advertising services. Terms were not disclosed, but multiple sources said the deal is worth USD 70 mil.</v>
      </c>
    </row>
    <row r="511">
      <c r="A511" s="6" t="str">
        <v>38259P</v>
      </c>
      <c r="B511" s="6" t="str">
        <v>United States</v>
      </c>
      <c r="C511" s="6" t="str">
        <v>Google Inc</v>
      </c>
      <c r="D511" s="6" t="str">
        <v>Alphabet Inc</v>
      </c>
      <c r="F511" s="6" t="str">
        <v>United States</v>
      </c>
      <c r="G511" s="6" t="str">
        <v>ITA Software Inc</v>
      </c>
      <c r="H511" s="6" t="str">
        <v>Prepackaged Software</v>
      </c>
      <c r="I511" s="6" t="str">
        <v>46748M</v>
      </c>
      <c r="J511" s="6" t="str">
        <v>ITA Software Inc</v>
      </c>
      <c r="K511" s="6" t="str">
        <v>ITA Software Inc</v>
      </c>
      <c r="L511" s="7">
        <f>=DATE(2010,7,1)</f>
        <v>40359.99949074074</v>
      </c>
      <c r="M511" s="7">
        <f>=DATE(2011,4,12)</f>
        <v>40644.99949074074</v>
      </c>
      <c r="N511" s="8">
        <v>700</v>
      </c>
      <c r="O511" s="8">
        <v>700</v>
      </c>
      <c r="W511" s="6" t="str">
        <v>Internet Services &amp; Software;Programming Services</v>
      </c>
      <c r="X511" s="6" t="str">
        <v>Other Software (inq. Games)</v>
      </c>
      <c r="Y511" s="6" t="str">
        <v>Other Software (inq. Games)</v>
      </c>
      <c r="Z511" s="6" t="str">
        <v>Other Software (inq. Games)</v>
      </c>
      <c r="AA511" s="6" t="str">
        <v>Internet Services &amp; Software;Computer Consulting Services;Telecommunications Equipment;Programming Services;Primary Business not Hi-Tech</v>
      </c>
      <c r="AB511" s="6" t="str">
        <v>Primary Business not Hi-Tech;Programming Services;Internet Services &amp; Software;Computer Consulting Services;Telecommunications Equipment</v>
      </c>
      <c r="AC511" s="8">
        <v>700</v>
      </c>
      <c r="AD511" s="7">
        <f>=DATE(2010,7,1)</f>
        <v>40359.99949074074</v>
      </c>
      <c r="AH511" s="6" t="str">
        <v>False</v>
      </c>
      <c r="AI511" s="6" t="str">
        <v>2011</v>
      </c>
      <c r="AJ511" s="6" t="str">
        <v>Completed</v>
      </c>
      <c r="AM511" s="6" t="str">
        <v>Rumored Deal</v>
      </c>
      <c r="AO511" s="6" t="str">
        <v>US - Google Inc acquired ITA Software Inc (ITA), a Cambridge-based software development company, for USD 700 mil in cash. Originally, in April 2010, Google was rumored to be planning to acquire ITA.</v>
      </c>
    </row>
    <row r="512">
      <c r="A512" s="6" t="str">
        <v>023135</v>
      </c>
      <c r="B512" s="6" t="str">
        <v>United States</v>
      </c>
      <c r="C512" s="6" t="str">
        <v>Amazon.com Inc</v>
      </c>
      <c r="D512" s="6" t="str">
        <v>Amazon.com Inc</v>
      </c>
      <c r="F512" s="6" t="str">
        <v>United States</v>
      </c>
      <c r="G512" s="6" t="str">
        <v>Woot Inc</v>
      </c>
      <c r="H512" s="6" t="str">
        <v>Miscellaneous Retail Trade</v>
      </c>
      <c r="I512" s="6" t="str">
        <v>98103N</v>
      </c>
      <c r="J512" s="6" t="str">
        <v>Woot Inc</v>
      </c>
      <c r="K512" s="6" t="str">
        <v>Woot Inc</v>
      </c>
      <c r="L512" s="7">
        <f>=DATE(2010,7,1)</f>
        <v>40359.99949074074</v>
      </c>
      <c r="M512" s="7">
        <f>=DATE(2010,7,1)</f>
        <v>40359.99949074074</v>
      </c>
      <c r="W512" s="6" t="str">
        <v>Primary Business not Hi-Tech</v>
      </c>
      <c r="X512" s="6" t="str">
        <v>Internet Services &amp; Software</v>
      </c>
      <c r="Y512" s="6" t="str">
        <v>Internet Services &amp; Software</v>
      </c>
      <c r="Z512" s="6" t="str">
        <v>Internet Services &amp; Software</v>
      </c>
      <c r="AA512" s="6" t="str">
        <v>Primary Business not Hi-Tech</v>
      </c>
      <c r="AB512" s="6" t="str">
        <v>Primary Business not Hi-Tech</v>
      </c>
      <c r="AH512" s="6" t="str">
        <v>True</v>
      </c>
      <c r="AI512" s="6" t="str">
        <v>2010</v>
      </c>
      <c r="AJ512" s="6" t="str">
        <v>Completed</v>
      </c>
      <c r="AM512" s="6" t="str">
        <v>Not Applicable</v>
      </c>
      <c r="AO512" s="6" t="str">
        <v>US - Amazon.com Inc acquired Woot Inc, a Carrollton-based provider of ecommerce retail services.</v>
      </c>
    </row>
    <row r="513">
      <c r="A513" s="6" t="str">
        <v>30303M</v>
      </c>
      <c r="B513" s="6" t="str">
        <v>United States</v>
      </c>
      <c r="C513" s="6" t="str">
        <v>Facebook Inc</v>
      </c>
      <c r="D513" s="6" t="str">
        <v>Facebook Inc</v>
      </c>
      <c r="F513" s="6" t="str">
        <v>United States</v>
      </c>
      <c r="G513" s="6" t="str">
        <v>Nextstop.com</v>
      </c>
      <c r="H513" s="6" t="str">
        <v>Business Services</v>
      </c>
      <c r="I513" s="6" t="str">
        <v>65835V</v>
      </c>
      <c r="J513" s="6" t="str">
        <v>Nextstop.com</v>
      </c>
      <c r="K513" s="6" t="str">
        <v>Nextstop.com</v>
      </c>
      <c r="L513" s="7">
        <f>=DATE(2010,7,8)</f>
        <v>40366.99949074074</v>
      </c>
      <c r="M513" s="7">
        <f>=DATE(2010,7,8)</f>
        <v>40366.99949074074</v>
      </c>
      <c r="W513" s="6" t="str">
        <v>Internet Services &amp; Software</v>
      </c>
      <c r="X513" s="6" t="str">
        <v>Internet Services &amp; Software;Database Software/Programming</v>
      </c>
      <c r="Y513" s="6" t="str">
        <v>Database Software/Programming;Internet Services &amp; Software</v>
      </c>
      <c r="Z513" s="6" t="str">
        <v>Database Software/Programming;Internet Services &amp; Software</v>
      </c>
      <c r="AA513" s="6" t="str">
        <v>Internet Services &amp; Software</v>
      </c>
      <c r="AB513" s="6" t="str">
        <v>Internet Services &amp; Software</v>
      </c>
      <c r="AH513" s="6" t="str">
        <v>True</v>
      </c>
      <c r="AI513" s="6" t="str">
        <v>2010</v>
      </c>
      <c r="AJ513" s="6" t="str">
        <v>Completed</v>
      </c>
      <c r="AM513" s="6" t="str">
        <v>Financial Acquiror</v>
      </c>
      <c r="AO513" s="6" t="str">
        <v>US - Facebook Inc acquired Nextstop.com, a San Francisco-based provider of travel information and advisory services. Terms were not disclosed.</v>
      </c>
    </row>
    <row r="514">
      <c r="A514" s="6" t="str">
        <v>037833</v>
      </c>
      <c r="B514" s="6" t="str">
        <v>United States</v>
      </c>
      <c r="C514" s="6" t="str">
        <v>Apple Inc</v>
      </c>
      <c r="D514" s="6" t="str">
        <v>Apple Inc</v>
      </c>
      <c r="F514" s="6" t="str">
        <v>Canada</v>
      </c>
      <c r="G514" s="6" t="str">
        <v>Poly9 Inc</v>
      </c>
      <c r="H514" s="6" t="str">
        <v>Business Services</v>
      </c>
      <c r="I514" s="6" t="str">
        <v>73209A</v>
      </c>
      <c r="J514" s="6" t="str">
        <v>Poly9 Inc</v>
      </c>
      <c r="K514" s="6" t="str">
        <v>Poly9 Inc</v>
      </c>
      <c r="L514" s="7">
        <f>=DATE(2010,7,14)</f>
        <v>40372.99949074074</v>
      </c>
      <c r="M514" s="7">
        <f>=DATE(2010,7,14)</f>
        <v>40372.99949074074</v>
      </c>
      <c r="W514" s="6" t="str">
        <v>Mainframes &amp; Super Computers;Portable Computers;Other Software (inq. Games);Monitors/Terminals;Printers;Other Peripherals;Disk Drives;Micro-Computers (PCs)</v>
      </c>
      <c r="X514" s="6" t="str">
        <v>Internet Services &amp; Software</v>
      </c>
      <c r="Y514" s="6" t="str">
        <v>Internet Services &amp; Software</v>
      </c>
      <c r="Z514" s="6" t="str">
        <v>Internet Services &amp; Software</v>
      </c>
      <c r="AA514" s="6" t="str">
        <v>Micro-Computers (PCs);Printers;Portable Computers;Mainframes &amp; Super Computers;Monitors/Terminals;Disk Drives;Other Peripherals;Other Software (inq. Games)</v>
      </c>
      <c r="AB514" s="6" t="str">
        <v>Printers;Disk Drives;Monitors/Terminals;Portable Computers;Other Software (inq. Games);Micro-Computers (PCs);Mainframes &amp; Super Computers;Other Peripherals</v>
      </c>
      <c r="AH514" s="6" t="str">
        <v>False</v>
      </c>
      <c r="AI514" s="6" t="str">
        <v>2010</v>
      </c>
      <c r="AJ514" s="6" t="str">
        <v>Completed</v>
      </c>
      <c r="AM514" s="6" t="str">
        <v>Not Applicable</v>
      </c>
      <c r="AO514" s="6" t="str">
        <v>CANADA - Apple Inc acquired Poly9 Inc, a Quebec-based provider of web mapping services. Terms were not disclosed.</v>
      </c>
    </row>
    <row r="515">
      <c r="A515" s="6" t="str">
        <v>38259P</v>
      </c>
      <c r="B515" s="6" t="str">
        <v>United States</v>
      </c>
      <c r="C515" s="6" t="str">
        <v>Google Inc</v>
      </c>
      <c r="D515" s="6" t="str">
        <v>Alphabet Inc</v>
      </c>
      <c r="F515" s="6" t="str">
        <v>United States</v>
      </c>
      <c r="G515" s="6" t="str">
        <v>Metaweb Technologies Inc</v>
      </c>
      <c r="H515" s="6" t="str">
        <v>Business Services</v>
      </c>
      <c r="I515" s="6" t="str">
        <v>59228N</v>
      </c>
      <c r="J515" s="6" t="str">
        <v>Metaweb Technologies Inc</v>
      </c>
      <c r="K515" s="6" t="str">
        <v>Metaweb Technologies Inc</v>
      </c>
      <c r="L515" s="7">
        <f>=DATE(2010,7,16)</f>
        <v>40374.99949074074</v>
      </c>
      <c r="M515" s="7">
        <f>=DATE(2010,7,16)</f>
        <v>40374.99949074074</v>
      </c>
      <c r="W515" s="6" t="str">
        <v>Internet Services &amp; Software;Programming Services</v>
      </c>
      <c r="X515" s="6" t="str">
        <v>Internet Services &amp; Software</v>
      </c>
      <c r="Y515" s="6" t="str">
        <v>Internet Services &amp; Software</v>
      </c>
      <c r="Z515" s="6" t="str">
        <v>Internet Services &amp; Software</v>
      </c>
      <c r="AA515" s="6" t="str">
        <v>Computer Consulting Services;Internet Services &amp; Software;Programming Services;Telecommunications Equipment;Primary Business not Hi-Tech</v>
      </c>
      <c r="AB515" s="6" t="str">
        <v>Primary Business not Hi-Tech;Telecommunications Equipment;Programming Services;Internet Services &amp; Software;Computer Consulting Services</v>
      </c>
      <c r="AH515" s="6" t="str">
        <v>True</v>
      </c>
      <c r="AI515" s="6" t="str">
        <v>2010</v>
      </c>
      <c r="AJ515" s="6" t="str">
        <v>Completed</v>
      </c>
      <c r="AM515" s="6" t="str">
        <v>Not Applicable</v>
      </c>
      <c r="AO515" s="6" t="str">
        <v>US - Google Inc acquired Metaweb Technologies Inc, a San Francisco-based provider of search engine services. Terms were not disclosed.</v>
      </c>
    </row>
    <row r="516">
      <c r="A516" s="6" t="str">
        <v>67020Y</v>
      </c>
      <c r="B516" s="6" t="str">
        <v>United States</v>
      </c>
      <c r="C516" s="6" t="str">
        <v>Nuance Communications Inc</v>
      </c>
      <c r="D516" s="6" t="str">
        <v>Nuance Communications Inc</v>
      </c>
      <c r="F516" s="6" t="str">
        <v>Australia</v>
      </c>
      <c r="G516" s="6" t="str">
        <v>Information Technologies Australia Pty Ltd</v>
      </c>
      <c r="H516" s="6" t="str">
        <v>Business Services</v>
      </c>
      <c r="I516" s="6" t="str">
        <v>44610V</v>
      </c>
      <c r="J516" s="6" t="str">
        <v>Information Technologies Australia Pty Ltd</v>
      </c>
      <c r="K516" s="6" t="str">
        <v>Information Technologies Australia Pty Ltd</v>
      </c>
      <c r="L516" s="7">
        <f>=DATE(2010,7,21)</f>
        <v>40379.99949074074</v>
      </c>
      <c r="M516" s="7">
        <f>=DATE(2010,7,21)</f>
        <v>40379.99949074074</v>
      </c>
      <c r="W516" s="6" t="str">
        <v>Other Computer Related Svcs;Primary Business not Hi-Tech;Applications Software(Business;Database Software/Programming;Networking Systems (LAN,WAN);Internet Services &amp; Software;Programming Services;Desktop Publishing;Utilities/File Mgmt Software;Communication/Network Software;Applications Software(Home);Other Software (inq. Games);Computer Consulting Services</v>
      </c>
      <c r="X516" s="6" t="str">
        <v>Other Computer Related Svcs;Data Processing Services</v>
      </c>
      <c r="Y516" s="6" t="str">
        <v>Other Computer Related Svcs;Data Processing Services</v>
      </c>
      <c r="Z516" s="6" t="str">
        <v>Data Processing Services;Other Computer Related Svcs</v>
      </c>
      <c r="AA516" s="6" t="str">
        <v>Other Computer Related Svcs;Communication/Network Software;Desktop Publishing;Networking Systems (LAN,WAN);Primary Business not Hi-Tech;Other Software (inq. Games);Applications Software(Business;Utilities/File Mgmt Software;Programming Services;Applications Software(Home);Internet Services &amp; Software;Database Software/Programming;Computer Consulting Services</v>
      </c>
      <c r="AB516" s="6" t="str">
        <v>Desktop Publishing;Utilities/File Mgmt Software;Database Software/Programming;Networking Systems (LAN,WAN);Applications Software(Home);Communication/Network Software;Other Software (inq. Games);Primary Business not Hi-Tech;Computer Consulting Services;Programming Services;Applications Software(Business;Other Computer Related Svcs;Internet Services &amp; Software</v>
      </c>
      <c r="AH516" s="6" t="str">
        <v>False</v>
      </c>
      <c r="AI516" s="6" t="str">
        <v>2010</v>
      </c>
      <c r="AJ516" s="6" t="str">
        <v>Completed</v>
      </c>
      <c r="AM516" s="6" t="str">
        <v>Financial Acquiror</v>
      </c>
      <c r="AO516" s="6" t="str">
        <v>AUSTRALIA - Nuance Communications Inc of US acquired Information Technologies Australia Pty Ltd, a provider of call center services.</v>
      </c>
    </row>
    <row r="517">
      <c r="A517" s="6" t="str">
        <v>53578A</v>
      </c>
      <c r="B517" s="6" t="str">
        <v>United States</v>
      </c>
      <c r="C517" s="6" t="str">
        <v>LinkedIn Corp</v>
      </c>
      <c r="D517" s="6" t="str">
        <v>LinkedIn Corp</v>
      </c>
      <c r="F517" s="6" t="str">
        <v>United States</v>
      </c>
      <c r="G517" s="6" t="str">
        <v>mSpoke Inc</v>
      </c>
      <c r="H517" s="6" t="str">
        <v>Business Services</v>
      </c>
      <c r="I517" s="6" t="str">
        <v>55703M</v>
      </c>
      <c r="J517" s="6" t="str">
        <v>mSpoke Inc</v>
      </c>
      <c r="K517" s="6" t="str">
        <v>mSpoke Inc</v>
      </c>
      <c r="L517" s="7">
        <f>=DATE(2010,8,4)</f>
        <v>40393.99949074074</v>
      </c>
      <c r="M517" s="7">
        <f>=DATE(2010,8,4)</f>
        <v>40393.99949074074</v>
      </c>
      <c r="W517" s="6" t="str">
        <v>Internet Services &amp; Software</v>
      </c>
      <c r="X517" s="6" t="str">
        <v>Other Software (inq. Games);Data Processing Services;Computer Consulting Services;Other Computer Related Svcs</v>
      </c>
      <c r="Y517" s="6" t="str">
        <v>Other Software (inq. Games);Computer Consulting Services;Other Computer Related Svcs;Data Processing Services</v>
      </c>
      <c r="Z517" s="6" t="str">
        <v>Data Processing Services;Other Software (inq. Games);Other Computer Related Svcs;Computer Consulting Services</v>
      </c>
      <c r="AA517" s="6" t="str">
        <v>Internet Services &amp; Software</v>
      </c>
      <c r="AB517" s="6" t="str">
        <v>Internet Services &amp; Software</v>
      </c>
      <c r="AH517" s="6" t="str">
        <v>False</v>
      </c>
      <c r="AI517" s="6" t="str">
        <v>2010</v>
      </c>
      <c r="AJ517" s="6" t="str">
        <v>Completed</v>
      </c>
      <c r="AM517" s="6" t="str">
        <v>Financial Acquiror</v>
      </c>
      <c r="AO517" s="6" t="str">
        <v>US - LinkedIn Corp acquired mSpoke Inc, a Pittsburgh-based provider of media technology services. Terms were not disclosed.</v>
      </c>
    </row>
    <row r="518">
      <c r="A518" s="6" t="str">
        <v>38259P</v>
      </c>
      <c r="B518" s="6" t="str">
        <v>United States</v>
      </c>
      <c r="C518" s="6" t="str">
        <v>Google Inc</v>
      </c>
      <c r="D518" s="6" t="str">
        <v>Alphabet Inc</v>
      </c>
      <c r="F518" s="6" t="str">
        <v>United States</v>
      </c>
      <c r="G518" s="6" t="str">
        <v>Slide Inc</v>
      </c>
      <c r="H518" s="6" t="str">
        <v>Prepackaged Software</v>
      </c>
      <c r="I518" s="6" t="str">
        <v>83887K</v>
      </c>
      <c r="J518" s="6" t="str">
        <v>Slide Inc</v>
      </c>
      <c r="K518" s="6" t="str">
        <v>Slide Inc</v>
      </c>
      <c r="L518" s="7">
        <f>=DATE(2010,8,4)</f>
        <v>40393.99949074074</v>
      </c>
      <c r="M518" s="7">
        <f>=DATE(2010,8,7)</f>
        <v>40396.99949074074</v>
      </c>
      <c r="N518" s="8">
        <v>182</v>
      </c>
      <c r="O518" s="8">
        <v>182</v>
      </c>
      <c r="W518" s="6" t="str">
        <v>Internet Services &amp; Software;Programming Services</v>
      </c>
      <c r="X518" s="6" t="str">
        <v>Communication/Network Software;Internet Services &amp; Software</v>
      </c>
      <c r="Y518" s="6" t="str">
        <v>Internet Services &amp; Software;Communication/Network Software</v>
      </c>
      <c r="Z518" s="6" t="str">
        <v>Communication/Network Software;Internet Services &amp; Software</v>
      </c>
      <c r="AA518" s="6" t="str">
        <v>Primary Business not Hi-Tech;Telecommunications Equipment;Internet Services &amp; Software;Computer Consulting Services;Programming Services</v>
      </c>
      <c r="AB518" s="6" t="str">
        <v>Programming Services;Primary Business not Hi-Tech;Telecommunications Equipment;Computer Consulting Services;Internet Services &amp; Software</v>
      </c>
      <c r="AC518" s="8">
        <v>182</v>
      </c>
      <c r="AD518" s="7">
        <f>=DATE(2010,8,7)</f>
        <v>40396.99949074074</v>
      </c>
      <c r="AH518" s="6" t="str">
        <v>False</v>
      </c>
      <c r="AI518" s="6" t="str">
        <v>2010</v>
      </c>
      <c r="AJ518" s="6" t="str">
        <v>Completed</v>
      </c>
      <c r="AM518" s="6" t="str">
        <v>Rumored Deal</v>
      </c>
      <c r="AO518" s="6" t="str">
        <v>US - Google Inc acquired Slide Inc, a San Francisco-based developer of Internet software, for USD 182 mil/assets. Originally, Google was rumored to be planning to acquire Slide.</v>
      </c>
    </row>
    <row r="519">
      <c r="A519" s="6" t="str">
        <v>037833</v>
      </c>
      <c r="B519" s="6" t="str">
        <v>United States</v>
      </c>
      <c r="C519" s="6" t="str">
        <v>Apple Inc</v>
      </c>
      <c r="D519" s="6" t="str">
        <v>Apple Inc</v>
      </c>
      <c r="F519" s="6" t="str">
        <v>China (Mainland)</v>
      </c>
      <c r="G519" s="6" t="str">
        <v>Handseeing Infirmation Technology Co Ltd</v>
      </c>
      <c r="H519" s="6" t="str">
        <v>Prepackaged Software</v>
      </c>
      <c r="I519" s="6" t="str">
        <v>41089P</v>
      </c>
      <c r="J519" s="6" t="str">
        <v>Handseeing Infirmation Technology Co Ltd</v>
      </c>
      <c r="K519" s="6" t="str">
        <v>Handseeing Infirmation Technology Co Ltd</v>
      </c>
      <c r="L519" s="7">
        <f>=DATE(2010,8,6)</f>
        <v>40395.99949074074</v>
      </c>
      <c r="W519" s="6" t="str">
        <v>Monitors/Terminals;Printers;Mainframes &amp; Super Computers;Portable Computers;Micro-Computers (PCs);Disk Drives;Other Peripherals;Other Software (inq. Games)</v>
      </c>
      <c r="X519" s="6" t="str">
        <v>Applications Software(Business;Communication/Network Software;Other Software (inq. Games)</v>
      </c>
      <c r="Y519" s="6" t="str">
        <v>Applications Software(Business;Other Software (inq. Games);Communication/Network Software</v>
      </c>
      <c r="Z519" s="6" t="str">
        <v>Applications Software(Business;Communication/Network Software;Other Software (inq. Games)</v>
      </c>
      <c r="AA519" s="6" t="str">
        <v>Printers;Portable Computers;Other Peripherals;Monitors/Terminals;Micro-Computers (PCs);Disk Drives;Mainframes &amp; Super Computers;Other Software (inq. Games)</v>
      </c>
      <c r="AB519" s="6" t="str">
        <v>Printers;Disk Drives;Portable Computers;Micro-Computers (PCs);Other Peripherals;Mainframes &amp; Super Computers;Monitors/Terminals;Other Software (inq. Games)</v>
      </c>
      <c r="AH519" s="6" t="str">
        <v>False</v>
      </c>
      <c r="AJ519" s="6" t="str">
        <v>Status Unknown</v>
      </c>
      <c r="AM519" s="6" t="str">
        <v>Not Applicable</v>
      </c>
      <c r="AO519" s="6" t="str">
        <v>CHINA - Apple Inc of US was rumored to acquire the entire share capital of Handseeing Information Technology Co Ltd, a Chengdu-based online game developer company. The Current status of this deal is unknown.</v>
      </c>
    </row>
    <row r="520">
      <c r="A520" s="6" t="str">
        <v>38259P</v>
      </c>
      <c r="B520" s="6" t="str">
        <v>United States</v>
      </c>
      <c r="C520" s="6" t="str">
        <v>Google Inc</v>
      </c>
      <c r="D520" s="6" t="str">
        <v>Alphabet Inc</v>
      </c>
      <c r="F520" s="6" t="str">
        <v>United States</v>
      </c>
      <c r="G520" s="6" t="str">
        <v>Jambool Inc</v>
      </c>
      <c r="H520" s="6" t="str">
        <v>Business Services</v>
      </c>
      <c r="I520" s="6" t="str">
        <v>47298F</v>
      </c>
      <c r="J520" s="6" t="str">
        <v>Jambool Inc</v>
      </c>
      <c r="K520" s="6" t="str">
        <v>Jambool Inc</v>
      </c>
      <c r="L520" s="7">
        <f>=DATE(2010,8,9)</f>
        <v>40398.99949074074</v>
      </c>
      <c r="M520" s="7">
        <f>=DATE(2010,8,13)</f>
        <v>40402.99949074074</v>
      </c>
      <c r="W520" s="6" t="str">
        <v>Internet Services &amp; Software;Programming Services</v>
      </c>
      <c r="X520" s="6" t="str">
        <v>Internet Services &amp; Software</v>
      </c>
      <c r="Y520" s="6" t="str">
        <v>Internet Services &amp; Software</v>
      </c>
      <c r="Z520" s="6" t="str">
        <v>Internet Services &amp; Software</v>
      </c>
      <c r="AA520" s="6" t="str">
        <v>Primary Business not Hi-Tech;Internet Services &amp; Software;Programming Services;Telecommunications Equipment;Computer Consulting Services</v>
      </c>
      <c r="AB520" s="6" t="str">
        <v>Programming Services;Telecommunications Equipment;Primary Business not Hi-Tech;Computer Consulting Services;Internet Services &amp; Software</v>
      </c>
      <c r="AD520" s="7">
        <f>=DATE(2010,8,9)</f>
        <v>40398.99949074074</v>
      </c>
      <c r="AH520" s="6" t="str">
        <v>False</v>
      </c>
      <c r="AI520" s="6" t="str">
        <v>2010</v>
      </c>
      <c r="AJ520" s="6" t="str">
        <v>Completed</v>
      </c>
      <c r="AM520" s="6" t="str">
        <v>Rumored Deal</v>
      </c>
      <c r="AO520" s="6" t="str">
        <v>US - Google Inc (Google) acquired Jambool Inc (Jambool), a San Francisco-based provider of virtual application services. Originally, Google was rumored to be planning to acquire Jambool.</v>
      </c>
    </row>
    <row r="521">
      <c r="A521" s="6" t="str">
        <v>98967F</v>
      </c>
      <c r="B521" s="6" t="str">
        <v>United States</v>
      </c>
      <c r="C521" s="6" t="str">
        <v>ZeniMax Media Inc</v>
      </c>
      <c r="D521" s="6" t="str">
        <v>ZeniMax Media Inc</v>
      </c>
      <c r="F521" s="6" t="str">
        <v>France</v>
      </c>
      <c r="G521" s="6" t="str">
        <v>Arkane Studios</v>
      </c>
      <c r="H521" s="6" t="str">
        <v>Prepackaged Software</v>
      </c>
      <c r="I521" s="6" t="str">
        <v>04087T</v>
      </c>
      <c r="J521" s="6" t="str">
        <v>Arkane Studios</v>
      </c>
      <c r="K521" s="6" t="str">
        <v>Arkane Studios</v>
      </c>
      <c r="L521" s="7">
        <f>=DATE(2010,8,12)</f>
        <v>40401.99949074074</v>
      </c>
      <c r="M521" s="7">
        <f>=DATE(2010,8,12)</f>
        <v>40401.99949074074</v>
      </c>
      <c r="W521" s="6" t="str">
        <v>Other Software (inq. Games)</v>
      </c>
      <c r="X521" s="6" t="str">
        <v>Other Software (inq. Games)</v>
      </c>
      <c r="Y521" s="6" t="str">
        <v>Other Software (inq. Games)</v>
      </c>
      <c r="Z521" s="6" t="str">
        <v>Other Software (inq. Games)</v>
      </c>
      <c r="AA521" s="6" t="str">
        <v>Other Software (inq. Games)</v>
      </c>
      <c r="AB521" s="6" t="str">
        <v>Other Software (inq. Games)</v>
      </c>
      <c r="AH521" s="6" t="str">
        <v>False</v>
      </c>
      <c r="AI521" s="6" t="str">
        <v>2010</v>
      </c>
      <c r="AJ521" s="6" t="str">
        <v>Completed</v>
      </c>
      <c r="AM521" s="6" t="str">
        <v>Not Applicable</v>
      </c>
      <c r="AO521" s="6" t="str">
        <v>FRANCE - ZeniMax Media Inc of the US acquired Arkane Studios, a Lyon-based developer of video games software.</v>
      </c>
    </row>
    <row r="522">
      <c r="A522" s="6" t="str">
        <v>30303M</v>
      </c>
      <c r="B522" s="6" t="str">
        <v>United States</v>
      </c>
      <c r="C522" s="6" t="str">
        <v>Facebook Inc</v>
      </c>
      <c r="D522" s="6" t="str">
        <v>Facebook Inc</v>
      </c>
      <c r="F522" s="6" t="str">
        <v>United States</v>
      </c>
      <c r="G522" s="6" t="str">
        <v>Chai Labs Inc</v>
      </c>
      <c r="H522" s="6" t="str">
        <v>Business Services</v>
      </c>
      <c r="I522" s="6" t="str">
        <v>15605T</v>
      </c>
      <c r="J522" s="6" t="str">
        <v>Chai Labs Inc</v>
      </c>
      <c r="K522" s="6" t="str">
        <v>Chai Labs Inc</v>
      </c>
      <c r="L522" s="7">
        <f>=DATE(2010,8,15)</f>
        <v>40404.99949074074</v>
      </c>
      <c r="M522" s="7">
        <f>=DATE(2010,8,15)</f>
        <v>40404.99949074074</v>
      </c>
      <c r="N522" s="8">
        <v>10</v>
      </c>
      <c r="O522" s="8">
        <v>10</v>
      </c>
      <c r="W522" s="6" t="str">
        <v>Internet Services &amp; Software</v>
      </c>
      <c r="X522" s="6" t="str">
        <v>Internet Services &amp; Software</v>
      </c>
      <c r="Y522" s="6" t="str">
        <v>Internet Services &amp; Software</v>
      </c>
      <c r="Z522" s="6" t="str">
        <v>Internet Services &amp; Software</v>
      </c>
      <c r="AA522" s="6" t="str">
        <v>Internet Services &amp; Software</v>
      </c>
      <c r="AB522" s="6" t="str">
        <v>Internet Services &amp; Software</v>
      </c>
      <c r="AC522" s="8">
        <v>10</v>
      </c>
      <c r="AD522" s="7">
        <f>=DATE(2010,8,15)</f>
        <v>40404.99949074074</v>
      </c>
      <c r="AH522" s="6" t="str">
        <v>True</v>
      </c>
      <c r="AI522" s="6" t="str">
        <v>2010</v>
      </c>
      <c r="AJ522" s="6" t="str">
        <v>Completed</v>
      </c>
      <c r="AM522" s="6" t="str">
        <v>Financial Acquiror</v>
      </c>
      <c r="AO522" s="6" t="str">
        <v>US - Facebook Inc acquired Chai Labs Inc, San Francisco-based provider of Internet search engine services, for an estimated USD 10 mil.</v>
      </c>
    </row>
    <row r="523">
      <c r="A523" s="6" t="str">
        <v>30303M</v>
      </c>
      <c r="B523" s="6" t="str">
        <v>United States</v>
      </c>
      <c r="C523" s="6" t="str">
        <v>Facebook Inc</v>
      </c>
      <c r="D523" s="6" t="str">
        <v>Facebook Inc</v>
      </c>
      <c r="F523" s="6" t="str">
        <v>United States</v>
      </c>
      <c r="G523" s="6" t="str">
        <v>HotPotato Media Inc</v>
      </c>
      <c r="H523" s="6" t="str">
        <v>Business Services</v>
      </c>
      <c r="I523" s="6" t="str">
        <v>44203X</v>
      </c>
      <c r="J523" s="6" t="str">
        <v>HotPotato Media Inc</v>
      </c>
      <c r="K523" s="6" t="str">
        <v>HotPotato Media Inc</v>
      </c>
      <c r="L523" s="7">
        <f>=DATE(2010,8,20)</f>
        <v>40409.99949074074</v>
      </c>
      <c r="M523" s="7">
        <f>=DATE(2010,8,20)</f>
        <v>40409.99949074074</v>
      </c>
      <c r="W523" s="6" t="str">
        <v>Internet Services &amp; Software</v>
      </c>
      <c r="X523" s="6" t="str">
        <v>Internet Services &amp; Software</v>
      </c>
      <c r="Y523" s="6" t="str">
        <v>Internet Services &amp; Software</v>
      </c>
      <c r="Z523" s="6" t="str">
        <v>Internet Services &amp; Software</v>
      </c>
      <c r="AA523" s="6" t="str">
        <v>Internet Services &amp; Software</v>
      </c>
      <c r="AB523" s="6" t="str">
        <v>Internet Services &amp; Software</v>
      </c>
      <c r="AH523" s="6" t="str">
        <v>True</v>
      </c>
      <c r="AI523" s="6" t="str">
        <v>2010</v>
      </c>
      <c r="AJ523" s="6" t="str">
        <v>Completed</v>
      </c>
      <c r="AM523" s="6" t="str">
        <v>Rumored Deal;Financial Acquiror</v>
      </c>
      <c r="AO523" s="6" t="str">
        <v>US - Facebook Inc (FI) acquired HotPotato Media Inc (HM), a provider of online networking services. Originally, in 27 July 2010, FI was rumored to be planning to acquire HM.</v>
      </c>
    </row>
    <row r="524">
      <c r="A524" s="6" t="str">
        <v>38259P</v>
      </c>
      <c r="B524" s="6" t="str">
        <v>United States</v>
      </c>
      <c r="C524" s="6" t="str">
        <v>Google Inc</v>
      </c>
      <c r="D524" s="6" t="str">
        <v>Alphabet Inc</v>
      </c>
      <c r="F524" s="6" t="str">
        <v>United States</v>
      </c>
      <c r="G524" s="6" t="str">
        <v>Like.com</v>
      </c>
      <c r="H524" s="6" t="str">
        <v>Business Services</v>
      </c>
      <c r="I524" s="6" t="str">
        <v>53289H</v>
      </c>
      <c r="J524" s="6" t="str">
        <v>Like.com</v>
      </c>
      <c r="K524" s="6" t="str">
        <v>Like.com</v>
      </c>
      <c r="L524" s="7">
        <f>=DATE(2010,8,20)</f>
        <v>40409.99949074074</v>
      </c>
      <c r="M524" s="7">
        <f>=DATE(2010,8,20)</f>
        <v>40409.99949074074</v>
      </c>
      <c r="W524" s="6" t="str">
        <v>Internet Services &amp; Software;Programming Services</v>
      </c>
      <c r="X524" s="6" t="str">
        <v>Internet Services &amp; Software</v>
      </c>
      <c r="Y524" s="6" t="str">
        <v>Internet Services &amp; Software</v>
      </c>
      <c r="Z524" s="6" t="str">
        <v>Internet Services &amp; Software</v>
      </c>
      <c r="AA524" s="6" t="str">
        <v>Computer Consulting Services;Internet Services &amp; Software;Programming Services;Primary Business not Hi-Tech;Telecommunications Equipment</v>
      </c>
      <c r="AB524" s="6" t="str">
        <v>Primary Business not Hi-Tech;Internet Services &amp; Software;Computer Consulting Services;Programming Services;Telecommunications Equipment</v>
      </c>
      <c r="AH524" s="6" t="str">
        <v>False</v>
      </c>
      <c r="AI524" s="6" t="str">
        <v>2010</v>
      </c>
      <c r="AJ524" s="6" t="str">
        <v>Completed</v>
      </c>
      <c r="AM524" s="6" t="str">
        <v>Rumored Deal</v>
      </c>
      <c r="AO524" s="6" t="str">
        <v>US - Google Inc (GI) acquired Like.com (LC), a San Mateo-based provider of search engine and retail services. Originally, in 16 August 2010, GI was rumored to be planning to acquire LC.</v>
      </c>
    </row>
    <row r="525">
      <c r="A525" s="6" t="str">
        <v>38259P</v>
      </c>
      <c r="B525" s="6" t="str">
        <v>United States</v>
      </c>
      <c r="C525" s="6" t="str">
        <v>Google Inc</v>
      </c>
      <c r="D525" s="6" t="str">
        <v>Alphabet Inc</v>
      </c>
      <c r="F525" s="6" t="str">
        <v>United States</v>
      </c>
      <c r="G525" s="6" t="str">
        <v>Angstro Inc</v>
      </c>
      <c r="H525" s="6" t="str">
        <v>Business Services</v>
      </c>
      <c r="I525" s="6" t="str">
        <v>03498T</v>
      </c>
      <c r="J525" s="6" t="str">
        <v>Angstro Inc</v>
      </c>
      <c r="K525" s="6" t="str">
        <v>Angstro Inc</v>
      </c>
      <c r="L525" s="7">
        <f>=DATE(2010,8,26)</f>
        <v>40415.99949074074</v>
      </c>
      <c r="M525" s="7">
        <f>=DATE(2010,8,26)</f>
        <v>40415.99949074074</v>
      </c>
      <c r="W525" s="6" t="str">
        <v>Programming Services;Internet Services &amp; Software</v>
      </c>
      <c r="X525" s="6" t="str">
        <v>Internet Services &amp; Software</v>
      </c>
      <c r="Y525" s="6" t="str">
        <v>Internet Services &amp; Software</v>
      </c>
      <c r="Z525" s="6" t="str">
        <v>Internet Services &amp; Software</v>
      </c>
      <c r="AA525" s="6" t="str">
        <v>Computer Consulting Services;Primary Business not Hi-Tech;Internet Services &amp; Software;Programming Services;Telecommunications Equipment</v>
      </c>
      <c r="AB525" s="6" t="str">
        <v>Telecommunications Equipment;Primary Business not Hi-Tech;Programming Services;Internet Services &amp; Software;Computer Consulting Services</v>
      </c>
      <c r="AH525" s="6" t="str">
        <v>False</v>
      </c>
      <c r="AI525" s="6" t="str">
        <v>2010</v>
      </c>
      <c r="AJ525" s="6" t="str">
        <v>Completed</v>
      </c>
      <c r="AM525" s="6" t="str">
        <v>Not Applicable</v>
      </c>
      <c r="AO525" s="6" t="str">
        <v>US - Google Inc acquired Angstro Inc, a Palo Alto-based provider of online social networking services. Terms were not disclosed.</v>
      </c>
    </row>
    <row r="526">
      <c r="A526" s="6" t="str">
        <v>38259P</v>
      </c>
      <c r="B526" s="6" t="str">
        <v>United States</v>
      </c>
      <c r="C526" s="6" t="str">
        <v>Google Inc</v>
      </c>
      <c r="D526" s="6" t="str">
        <v>Alphabet Inc</v>
      </c>
      <c r="F526" s="6" t="str">
        <v>Canada</v>
      </c>
      <c r="G526" s="6" t="str">
        <v>SocialDeck Inc</v>
      </c>
      <c r="H526" s="6" t="str">
        <v>Prepackaged Software</v>
      </c>
      <c r="I526" s="6" t="str">
        <v>83895X</v>
      </c>
      <c r="J526" s="6" t="str">
        <v>SocialDeck Inc</v>
      </c>
      <c r="K526" s="6" t="str">
        <v>SocialDeck Inc</v>
      </c>
      <c r="L526" s="7">
        <f>=DATE(2010,8,30)</f>
        <v>40419.99949074074</v>
      </c>
      <c r="M526" s="7">
        <f>=DATE(2010,8,30)</f>
        <v>40419.99949074074</v>
      </c>
      <c r="W526" s="6" t="str">
        <v>Internet Services &amp; Software;Programming Services</v>
      </c>
      <c r="X526" s="6" t="str">
        <v>Internet Services &amp; Software;Communication/Network Software</v>
      </c>
      <c r="Y526" s="6" t="str">
        <v>Internet Services &amp; Software;Communication/Network Software</v>
      </c>
      <c r="Z526" s="6" t="str">
        <v>Internet Services &amp; Software;Communication/Network Software</v>
      </c>
      <c r="AA526" s="6" t="str">
        <v>Computer Consulting Services;Primary Business not Hi-Tech;Telecommunications Equipment;Programming Services;Internet Services &amp; Software</v>
      </c>
      <c r="AB526" s="6" t="str">
        <v>Primary Business not Hi-Tech;Programming Services;Internet Services &amp; Software;Telecommunications Equipment;Computer Consulting Services</v>
      </c>
      <c r="AH526" s="6" t="str">
        <v>True</v>
      </c>
      <c r="AI526" s="6" t="str">
        <v>2010</v>
      </c>
      <c r="AJ526" s="6" t="str">
        <v>Completed</v>
      </c>
      <c r="AM526" s="6" t="str">
        <v>Not Applicable</v>
      </c>
      <c r="AO526" s="6" t="str">
        <v>CANADA - Google Inc of the US acquired SocialDesk Inc, a Waterloo-based developer of mobile social gaming software. Terms were not disclosed.</v>
      </c>
    </row>
    <row r="527">
      <c r="A527" s="6" t="str">
        <v>023135</v>
      </c>
      <c r="B527" s="6" t="str">
        <v>United States</v>
      </c>
      <c r="C527" s="6" t="str">
        <v>Amazon.com Inc</v>
      </c>
      <c r="D527" s="6" t="str">
        <v>Amazon.com Inc</v>
      </c>
      <c r="F527" s="6" t="str">
        <v>United States</v>
      </c>
      <c r="G527" s="6" t="str">
        <v>Amie Street Inc</v>
      </c>
      <c r="H527" s="6" t="str">
        <v>Miscellaneous Retail Trade</v>
      </c>
      <c r="I527" s="6" t="str">
        <v>01288Y</v>
      </c>
      <c r="J527" s="6" t="str">
        <v>Amie Street Inc</v>
      </c>
      <c r="K527" s="6" t="str">
        <v>Amie Street Inc</v>
      </c>
      <c r="L527" s="7">
        <f>=DATE(2010,9,9)</f>
        <v>40429.99949074074</v>
      </c>
      <c r="M527" s="7">
        <f>=DATE(2010,9,9)</f>
        <v>40429.99949074074</v>
      </c>
      <c r="W527" s="6" t="str">
        <v>Primary Business not Hi-Tech</v>
      </c>
      <c r="X527" s="6" t="str">
        <v>Internet Services &amp; Software</v>
      </c>
      <c r="Y527" s="6" t="str">
        <v>Internet Services &amp; Software</v>
      </c>
      <c r="Z527" s="6" t="str">
        <v>Internet Services &amp; Software</v>
      </c>
      <c r="AA527" s="6" t="str">
        <v>Primary Business not Hi-Tech</v>
      </c>
      <c r="AB527" s="6" t="str">
        <v>Primary Business not Hi-Tech</v>
      </c>
      <c r="AH527" s="6" t="str">
        <v>True</v>
      </c>
      <c r="AI527" s="6" t="str">
        <v>2010</v>
      </c>
      <c r="AJ527" s="6" t="str">
        <v>Completed</v>
      </c>
      <c r="AM527" s="6" t="str">
        <v>Not Applicable</v>
      </c>
      <c r="AO527" s="6" t="str">
        <v>US - Amazon.com Inc acquired Amie Street Inc, a New York-based provider of ecommerce retail services. Terms were not disclosed.</v>
      </c>
    </row>
    <row r="528">
      <c r="A528" s="6" t="str">
        <v>38259P</v>
      </c>
      <c r="B528" s="6" t="str">
        <v>United States</v>
      </c>
      <c r="C528" s="6" t="str">
        <v>Google Inc</v>
      </c>
      <c r="D528" s="6" t="str">
        <v>Alphabet Inc</v>
      </c>
      <c r="F528" s="6" t="str">
        <v>Israel</v>
      </c>
      <c r="G528" s="6" t="str">
        <v>MentorWave Technologies Ltd</v>
      </c>
      <c r="H528" s="6" t="str">
        <v>Prepackaged Software</v>
      </c>
      <c r="I528" s="6" t="str">
        <v>58745Q</v>
      </c>
      <c r="J528" s="6" t="str">
        <v>MentorWave Technologies Ltd</v>
      </c>
      <c r="K528" s="6" t="str">
        <v>MentorWave Technologies Ltd</v>
      </c>
      <c r="L528" s="7">
        <f>=DATE(2010,9,13)</f>
        <v>40433.99949074074</v>
      </c>
      <c r="M528" s="7">
        <f>=DATE(2010,9,13)</f>
        <v>40433.99949074074</v>
      </c>
      <c r="W528" s="6" t="str">
        <v>Internet Services &amp; Software;Programming Services</v>
      </c>
      <c r="X528" s="6" t="str">
        <v>Other Software (inq. Games)</v>
      </c>
      <c r="Y528" s="6" t="str">
        <v>Other Software (inq. Games)</v>
      </c>
      <c r="Z528" s="6" t="str">
        <v>Other Software (inq. Games)</v>
      </c>
      <c r="AA528" s="6" t="str">
        <v>Internet Services &amp; Software;Telecommunications Equipment;Computer Consulting Services;Primary Business not Hi-Tech;Programming Services</v>
      </c>
      <c r="AB528" s="6" t="str">
        <v>Telecommunications Equipment;Computer Consulting Services;Internet Services &amp; Software;Programming Services;Primary Business not Hi-Tech</v>
      </c>
      <c r="AD528" s="7">
        <f>=DATE(2010,9,13)</f>
        <v>40433.99949074074</v>
      </c>
      <c r="AH528" s="6" t="str">
        <v>False</v>
      </c>
      <c r="AI528" s="6" t="str">
        <v>2010</v>
      </c>
      <c r="AJ528" s="6" t="str">
        <v>Completed</v>
      </c>
      <c r="AM528" s="6" t="str">
        <v>Not Applicable</v>
      </c>
      <c r="AO528" s="6" t="str">
        <v>ISRAEL - Google Inc of the US acquired MentorWave Technologies Ltd, a Herzelya-based developer of location-based interactive video software. Terms were not disclosed but, according to sources close to the situation, the deal was valued at an estimated ILS 37.63 mil (USD 10 mil).</v>
      </c>
    </row>
    <row r="529">
      <c r="A529" s="6" t="str">
        <v>037833</v>
      </c>
      <c r="B529" s="6" t="str">
        <v>United States</v>
      </c>
      <c r="C529" s="6" t="str">
        <v>Apple Inc</v>
      </c>
      <c r="D529" s="6" t="str">
        <v>Apple Inc</v>
      </c>
      <c r="F529" s="6" t="str">
        <v>Sweden</v>
      </c>
      <c r="G529" s="6" t="str">
        <v>Polar Rose AB</v>
      </c>
      <c r="H529" s="6" t="str">
        <v>Prepackaged Software</v>
      </c>
      <c r="I529" s="6" t="str">
        <v>73133W</v>
      </c>
      <c r="J529" s="6" t="str">
        <v>Nordic Venture Partners ApS</v>
      </c>
      <c r="K529" s="6" t="str">
        <v>Nordic Venture Partners ApS</v>
      </c>
      <c r="L529" s="7">
        <f>=DATE(2010,9,20)</f>
        <v>40440.99949074074</v>
      </c>
      <c r="M529" s="7">
        <f>=DATE(2010,9,20)</f>
        <v>40440.99949074074</v>
      </c>
      <c r="W529" s="6" t="str">
        <v>Micro-Computers (PCs);Printers;Monitors/Terminals;Other Software (inq. Games);Other Peripherals;Disk Drives;Portable Computers;Mainframes &amp; Super Computers</v>
      </c>
      <c r="X529" s="6" t="str">
        <v>Applications Software(Business</v>
      </c>
      <c r="Y529" s="6" t="str">
        <v>Primary Business not Hi-Tech</v>
      </c>
      <c r="Z529" s="6" t="str">
        <v>Primary Business not Hi-Tech</v>
      </c>
      <c r="AA529" s="6" t="str">
        <v>Micro-Computers (PCs);Monitors/Terminals;Disk Drives;Portable Computers;Mainframes &amp; Super Computers;Printers;Other Peripherals;Other Software (inq. Games)</v>
      </c>
      <c r="AB529" s="6" t="str">
        <v>Micro-Computers (PCs);Other Peripherals;Portable Computers;Printers;Monitors/Terminals;Mainframes &amp; Super Computers;Other Software (inq. Games);Disk Drives</v>
      </c>
      <c r="AH529" s="6" t="str">
        <v>True</v>
      </c>
      <c r="AI529" s="6" t="str">
        <v>2010</v>
      </c>
      <c r="AJ529" s="6" t="str">
        <v>Completed</v>
      </c>
      <c r="AM529" s="6" t="str">
        <v>Divestiture</v>
      </c>
      <c r="AO529" s="6" t="str">
        <v>SWEDEN - Apple Inc of US acquired Polar Rose AB, a Malmo-based developer of prepackaged software, from Nordic Venture Partners K/S.</v>
      </c>
    </row>
    <row r="530">
      <c r="A530" s="6" t="str">
        <v>53578A</v>
      </c>
      <c r="B530" s="6" t="str">
        <v>United States</v>
      </c>
      <c r="C530" s="6" t="str">
        <v>LinkedIn Corp</v>
      </c>
      <c r="D530" s="6" t="str">
        <v>LinkedIn Corp</v>
      </c>
      <c r="F530" s="6" t="str">
        <v>United States</v>
      </c>
      <c r="G530" s="6" t="str">
        <v>ChoiceVendor Inc</v>
      </c>
      <c r="H530" s="6" t="str">
        <v>Business Services</v>
      </c>
      <c r="I530" s="6" t="str">
        <v>17406P</v>
      </c>
      <c r="J530" s="6" t="str">
        <v>ChoiceVendor Inc</v>
      </c>
      <c r="K530" s="6" t="str">
        <v>ChoiceVendor Inc</v>
      </c>
      <c r="L530" s="7">
        <f>=DATE(2010,9,23)</f>
        <v>40443.99949074074</v>
      </c>
      <c r="M530" s="7">
        <f>=DATE(2010,9,23)</f>
        <v>40443.99949074074</v>
      </c>
      <c r="W530" s="6" t="str">
        <v>Internet Services &amp; Software</v>
      </c>
      <c r="X530" s="6" t="str">
        <v>Internet Services &amp; Software</v>
      </c>
      <c r="Y530" s="6" t="str">
        <v>Internet Services &amp; Software</v>
      </c>
      <c r="Z530" s="6" t="str">
        <v>Internet Services &amp; Software</v>
      </c>
      <c r="AA530" s="6" t="str">
        <v>Internet Services &amp; Software</v>
      </c>
      <c r="AB530" s="6" t="str">
        <v>Internet Services &amp; Software</v>
      </c>
      <c r="AH530" s="6" t="str">
        <v>False</v>
      </c>
      <c r="AI530" s="6" t="str">
        <v>2010</v>
      </c>
      <c r="AJ530" s="6" t="str">
        <v>Completed</v>
      </c>
      <c r="AM530" s="6" t="str">
        <v>Financial Acquiror</v>
      </c>
      <c r="AO530" s="6" t="str">
        <v>US - LinkedIn Corp acquired ChoiceVendor Inc, a San Francisco-based provider of online real-world ratings and reviews of business-to-business (B2B) services. Terms were not disclosed.</v>
      </c>
    </row>
    <row r="531">
      <c r="A531" s="6" t="str">
        <v>38259P</v>
      </c>
      <c r="B531" s="6" t="str">
        <v>United States</v>
      </c>
      <c r="C531" s="6" t="str">
        <v>Google Inc</v>
      </c>
      <c r="D531" s="6" t="str">
        <v>Alphabet Inc</v>
      </c>
      <c r="F531" s="6" t="str">
        <v>United States</v>
      </c>
      <c r="G531" s="6" t="str">
        <v>BlindType Inc</v>
      </c>
      <c r="H531" s="6" t="str">
        <v>Prepackaged Software</v>
      </c>
      <c r="I531" s="6" t="str">
        <v>09361A</v>
      </c>
      <c r="J531" s="6" t="str">
        <v>BlindType Inc</v>
      </c>
      <c r="K531" s="6" t="str">
        <v>BlindType Inc</v>
      </c>
      <c r="L531" s="7">
        <f>=DATE(2010,10,1)</f>
        <v>40451.99949074074</v>
      </c>
      <c r="M531" s="7">
        <f>=DATE(2010,10,1)</f>
        <v>40451.99949074074</v>
      </c>
      <c r="W531" s="6" t="str">
        <v>Programming Services;Internet Services &amp; Software</v>
      </c>
      <c r="X531" s="6" t="str">
        <v>Applications Software(Business;Communication/Network Software</v>
      </c>
      <c r="Y531" s="6" t="str">
        <v>Applications Software(Business;Communication/Network Software</v>
      </c>
      <c r="Z531" s="6" t="str">
        <v>Communication/Network Software;Applications Software(Business</v>
      </c>
      <c r="AA531" s="6" t="str">
        <v>Internet Services &amp; Software;Telecommunications Equipment;Primary Business not Hi-Tech;Computer Consulting Services;Programming Services</v>
      </c>
      <c r="AB531" s="6" t="str">
        <v>Computer Consulting Services;Internet Services &amp; Software;Programming Services;Primary Business not Hi-Tech;Telecommunications Equipment</v>
      </c>
      <c r="AH531" s="6" t="str">
        <v>False</v>
      </c>
      <c r="AI531" s="6" t="str">
        <v>2010</v>
      </c>
      <c r="AJ531" s="6" t="str">
        <v>Completed</v>
      </c>
      <c r="AM531" s="6" t="str">
        <v>Not Applicable</v>
      </c>
      <c r="AO531" s="6" t="str">
        <v>US - Google Inc acquired BlindType Inc, a San Francisco-based developer of mobile keyboard software. Terms were not disclosed.</v>
      </c>
    </row>
    <row r="532">
      <c r="A532" s="6" t="str">
        <v>023135</v>
      </c>
      <c r="B532" s="6" t="str">
        <v>United States</v>
      </c>
      <c r="C532" s="6" t="str">
        <v>Amazon.com Inc</v>
      </c>
      <c r="D532" s="6" t="str">
        <v>Amazon.com Inc</v>
      </c>
      <c r="F532" s="6" t="str">
        <v>Spain</v>
      </c>
      <c r="G532" s="6" t="str">
        <v>Buy VIP SL</v>
      </c>
      <c r="H532" s="6" t="str">
        <v>Business Services</v>
      </c>
      <c r="I532" s="6" t="str">
        <v>13040H</v>
      </c>
      <c r="J532" s="6" t="str">
        <v>Buy VIP SL</v>
      </c>
      <c r="K532" s="6" t="str">
        <v>Buy VIP SL</v>
      </c>
      <c r="L532" s="7">
        <f>=DATE(2010,10,1)</f>
        <v>40451.99949074074</v>
      </c>
      <c r="W532" s="6" t="str">
        <v>Primary Business not Hi-Tech</v>
      </c>
      <c r="X532" s="6" t="str">
        <v>Networking Systems (LAN,WAN);Internet Services &amp; Software</v>
      </c>
      <c r="Y532" s="6" t="str">
        <v>Networking Systems (LAN,WAN);Internet Services &amp; Software</v>
      </c>
      <c r="Z532" s="6" t="str">
        <v>Internet Services &amp; Software;Networking Systems (LAN,WAN)</v>
      </c>
      <c r="AA532" s="6" t="str">
        <v>Primary Business not Hi-Tech</v>
      </c>
      <c r="AB532" s="6" t="str">
        <v>Primary Business not Hi-Tech</v>
      </c>
      <c r="AD532" s="7">
        <f>=DATE(2010,10,1)</f>
        <v>40451.99949074074</v>
      </c>
      <c r="AH532" s="6" t="str">
        <v>True</v>
      </c>
      <c r="AJ532" s="6" t="str">
        <v>Pending</v>
      </c>
      <c r="AM532" s="6" t="str">
        <v>Not Applicable</v>
      </c>
      <c r="AO532" s="6" t="str">
        <v>SPAIN - Amazon.com Inc of the US planned to acquire the entire share capital of Buy VIP SL, a Pozuelo de Alarcon-based provider of ecommerce retail services, from Bertelsmann Digital Media Investments, a unit of Bertelsmann Stiftung's Bertelsmann AG subsidiary, 3i Group PLC, Debaeque Venture Consultants SL, Kennet Partners Ltd, Intercom Factory SL, Active Capital Partners SA and Digital Assets Deployment SL. Terms were not disclosed, but according to sources close to the situation, the deal was valued at EUR 80 mil (USD 109.036 mil).</v>
      </c>
    </row>
    <row r="533">
      <c r="A533" s="6" t="str">
        <v>594918</v>
      </c>
      <c r="B533" s="6" t="str">
        <v>United States</v>
      </c>
      <c r="C533" s="6" t="str">
        <v>Microsoft Corp</v>
      </c>
      <c r="D533" s="6" t="str">
        <v>Microsoft Corp</v>
      </c>
      <c r="F533" s="6" t="str">
        <v>United States</v>
      </c>
      <c r="G533" s="6" t="str">
        <v>AVIcode Inc</v>
      </c>
      <c r="H533" s="6" t="str">
        <v>Prepackaged Software</v>
      </c>
      <c r="I533" s="6" t="str">
        <v>05045R</v>
      </c>
      <c r="J533" s="6" t="str">
        <v>AVIcode Inc</v>
      </c>
      <c r="K533" s="6" t="str">
        <v>AVIcode Inc</v>
      </c>
      <c r="L533" s="7">
        <f>=DATE(2010,10,6)</f>
        <v>40456.99949074074</v>
      </c>
      <c r="M533" s="7">
        <f>=DATE(2010,10,6)</f>
        <v>40456.99949074074</v>
      </c>
      <c r="W533" s="6" t="str">
        <v>Other Peripherals;Applications Software(Business;Monitors/Terminals;Internet Services &amp; Software;Operating Systems;Computer Consulting Services</v>
      </c>
      <c r="X533" s="6" t="str">
        <v>Other Software (inq. Games)</v>
      </c>
      <c r="Y533" s="6" t="str">
        <v>Other Software (inq. Games)</v>
      </c>
      <c r="Z533" s="6" t="str">
        <v>Other Software (inq. Games)</v>
      </c>
      <c r="AA533" s="6" t="str">
        <v>Operating Systems;Monitors/Terminals;Internet Services &amp; Software;Applications Software(Business;Computer Consulting Services;Other Peripherals</v>
      </c>
      <c r="AB533" s="6" t="str">
        <v>Internet Services &amp; Software;Operating Systems;Other Peripherals;Monitors/Terminals;Applications Software(Business;Computer Consulting Services</v>
      </c>
      <c r="AH533" s="6" t="str">
        <v>False</v>
      </c>
      <c r="AI533" s="6" t="str">
        <v>2010</v>
      </c>
      <c r="AJ533" s="6" t="str">
        <v>Completed</v>
      </c>
      <c r="AM533" s="6" t="str">
        <v>Not Applicable</v>
      </c>
      <c r="AO533" s="6" t="str">
        <v>US - Microsoft Corp acquired the entire share capital of AVIcode Inc, a Baltimore-based developer of monitoring software. Terms were not disclosed.</v>
      </c>
    </row>
    <row r="534">
      <c r="A534" s="6" t="str">
        <v>594918</v>
      </c>
      <c r="B534" s="6" t="str">
        <v>United States</v>
      </c>
      <c r="C534" s="6" t="str">
        <v>Microsoft Corp</v>
      </c>
      <c r="D534" s="6" t="str">
        <v>Microsoft Corp</v>
      </c>
      <c r="F534" s="6" t="str">
        <v>United States</v>
      </c>
      <c r="G534" s="6" t="str">
        <v>Adobe Systems Inc</v>
      </c>
      <c r="H534" s="6" t="str">
        <v>Prepackaged Software</v>
      </c>
      <c r="I534" s="6" t="str">
        <v>00724F</v>
      </c>
      <c r="J534" s="6" t="str">
        <v>Adobe Systems Inc</v>
      </c>
      <c r="K534" s="6" t="str">
        <v>Adobe Systems Inc</v>
      </c>
      <c r="L534" s="7">
        <f>=DATE(2010,10,7)</f>
        <v>40457.99949074074</v>
      </c>
      <c r="R534" s="8">
        <v>386.508</v>
      </c>
      <c r="S534" s="8">
        <v>2945.853</v>
      </c>
      <c r="T534" s="8">
        <v>477.658</v>
      </c>
      <c r="U534" s="8">
        <v>-1497.096</v>
      </c>
      <c r="V534" s="8">
        <v>1117.772</v>
      </c>
      <c r="W534" s="6" t="str">
        <v>Internet Services &amp; Software;Computer Consulting Services;Applications Software(Business;Other Peripherals;Monitors/Terminals;Operating Systems</v>
      </c>
      <c r="X534" s="6" t="str">
        <v>Communication/Network Software;Applications Software(Home);Applications Software(Business;Other Software (inq. Games)</v>
      </c>
      <c r="Y534" s="6" t="str">
        <v>Applications Software(Home);Other Software (inq. Games);Communication/Network Software;Applications Software(Business</v>
      </c>
      <c r="Z534" s="6" t="str">
        <v>Other Software (inq. Games);Applications Software(Business;Communication/Network Software;Applications Software(Home)</v>
      </c>
      <c r="AA534" s="6" t="str">
        <v>Operating Systems;Internet Services &amp; Software;Computer Consulting Services;Other Peripherals;Monitors/Terminals;Applications Software(Business</v>
      </c>
      <c r="AB534" s="6" t="str">
        <v>Applications Software(Business;Operating Systems;Internet Services &amp; Software;Monitors/Terminals;Computer Consulting Services;Other Peripherals</v>
      </c>
      <c r="AH534" s="6" t="str">
        <v>True</v>
      </c>
      <c r="AJ534" s="6" t="str">
        <v>Dismissed Rumor</v>
      </c>
      <c r="AL534" s="8">
        <v>525.224418</v>
      </c>
      <c r="AM534" s="6" t="str">
        <v>Rumored Deal</v>
      </c>
      <c r="AN534" s="8">
        <v>4106.29</v>
      </c>
      <c r="AO534" s="6" t="str">
        <v>US - Microsoft Corp was rumored to be planning to acquire the entire share capital of Adobe Systems Inc, a San Jose-based developer of software. The Current status of this deal is unknown.</v>
      </c>
    </row>
    <row r="535">
      <c r="A535" s="6" t="str">
        <v>38259P</v>
      </c>
      <c r="B535" s="6" t="str">
        <v>United States</v>
      </c>
      <c r="C535" s="6" t="str">
        <v>Google Inc</v>
      </c>
      <c r="D535" s="6" t="str">
        <v>Alphabet Inc</v>
      </c>
      <c r="F535" s="6" t="str">
        <v>United States</v>
      </c>
      <c r="G535" s="6" t="str">
        <v>Everything Is The Best LLC</v>
      </c>
      <c r="H535" s="6" t="str">
        <v>Prepackaged Software</v>
      </c>
      <c r="I535" s="6" t="str">
        <v>30501L</v>
      </c>
      <c r="J535" s="6" t="str">
        <v>Everything Is The Best LLC</v>
      </c>
      <c r="K535" s="6" t="str">
        <v>Everything Is The Best LLC</v>
      </c>
      <c r="L535" s="7">
        <f>=DATE(2010,10,8)</f>
        <v>40458.99949074074</v>
      </c>
      <c r="M535" s="7">
        <f>=DATE(2010,10,8)</f>
        <v>40458.99949074074</v>
      </c>
      <c r="W535" s="6" t="str">
        <v>Internet Services &amp; Software;Programming Services</v>
      </c>
      <c r="X535" s="6" t="str">
        <v>Applications Software(Business</v>
      </c>
      <c r="Y535" s="6" t="str">
        <v>Applications Software(Business</v>
      </c>
      <c r="Z535" s="6" t="str">
        <v>Applications Software(Business</v>
      </c>
      <c r="AA535" s="6" t="str">
        <v>Computer Consulting Services;Programming Services;Internet Services &amp; Software;Telecommunications Equipment;Primary Business not Hi-Tech</v>
      </c>
      <c r="AB535" s="6" t="str">
        <v>Programming Services;Internet Services &amp; Software;Primary Business not Hi-Tech;Computer Consulting Services;Telecommunications Equipment</v>
      </c>
      <c r="AH535" s="6" t="str">
        <v>False</v>
      </c>
      <c r="AI535" s="6" t="str">
        <v>2010</v>
      </c>
      <c r="AJ535" s="6" t="str">
        <v>Completed</v>
      </c>
      <c r="AM535" s="6" t="str">
        <v>Not Applicable</v>
      </c>
      <c r="AO535" s="6" t="str">
        <v>US - Google Inc acquired Everything Is The Best LLC, a Seattle-based developer of mobile software.</v>
      </c>
    </row>
    <row r="536">
      <c r="A536" s="6" t="str">
        <v>037833</v>
      </c>
      <c r="B536" s="6" t="str">
        <v>United States</v>
      </c>
      <c r="C536" s="6" t="str">
        <v>Apple Inc</v>
      </c>
      <c r="D536" s="6" t="str">
        <v>Apple Inc</v>
      </c>
      <c r="F536" s="6" t="str">
        <v>Japan</v>
      </c>
      <c r="G536" s="6" t="str">
        <v>Sony Corp</v>
      </c>
      <c r="H536" s="6" t="str">
        <v>Electronic and Electrical Equipment</v>
      </c>
      <c r="I536" s="6" t="str">
        <v>835699</v>
      </c>
      <c r="J536" s="6" t="str">
        <v>Sony Corp</v>
      </c>
      <c r="K536" s="6" t="str">
        <v>Sony Corp</v>
      </c>
      <c r="L536" s="7">
        <f>=DATE(2010,10,26)</f>
        <v>40476.99949074074</v>
      </c>
      <c r="R536" s="8">
        <v>1512.73816656681</v>
      </c>
      <c r="S536" s="8">
        <v>88042.3726782505</v>
      </c>
      <c r="T536" s="8">
        <v>997.32302</v>
      </c>
      <c r="U536" s="8">
        <v>-10031.90824</v>
      </c>
      <c r="V536" s="8">
        <v>9503.78192</v>
      </c>
      <c r="W536" s="6" t="str">
        <v>Monitors/Terminals;Printers;Micro-Computers (PCs);Other Peripherals;Mainframes &amp; Super Computers;Other Software (inq. Games);Disk Drives;Portable Computers</v>
      </c>
      <c r="X536" s="6" t="str">
        <v>Other Electronics</v>
      </c>
      <c r="Y536" s="6" t="str">
        <v>Other Electronics</v>
      </c>
      <c r="Z536" s="6" t="str">
        <v>Other Electronics</v>
      </c>
      <c r="AA536" s="6" t="str">
        <v>Mainframes &amp; Super Computers;Micro-Computers (PCs);Printers;Other Software (inq. Games);Monitors/Terminals;Disk Drives;Portable Computers;Other Peripherals</v>
      </c>
      <c r="AB536" s="6" t="str">
        <v>Other Software (inq. Games);Portable Computers;Other Peripherals;Mainframes &amp; Super Computers;Monitors/Terminals;Disk Drives;Micro-Computers (PCs);Printers</v>
      </c>
      <c r="AH536" s="6" t="str">
        <v>True</v>
      </c>
      <c r="AJ536" s="6" t="str">
        <v>Dismissed Rumor</v>
      </c>
      <c r="AL536" s="8">
        <v>1003.536464</v>
      </c>
      <c r="AM536" s="6" t="str">
        <v>Rumored Deal</v>
      </c>
      <c r="AN536" s="8">
        <v>9223.00778909527</v>
      </c>
      <c r="AO536" s="6" t="str">
        <v>JAPAN - Apple Inc of US was rumored to be planning to merger with Sony Corp, a Minato, Japan-based manufacturer and wholesaler of electronic products. The Current status of this deal is unknown.</v>
      </c>
    </row>
    <row r="537">
      <c r="A537" s="6" t="str">
        <v>98967F</v>
      </c>
      <c r="B537" s="6" t="str">
        <v>United States</v>
      </c>
      <c r="C537" s="6" t="str">
        <v>ZeniMax Media Inc</v>
      </c>
      <c r="D537" s="6" t="str">
        <v>ZeniMax Media Inc</v>
      </c>
      <c r="F537" s="6" t="str">
        <v>Japan</v>
      </c>
      <c r="G537" s="6" t="str">
        <v>Tango Gameworks</v>
      </c>
      <c r="H537" s="6" t="str">
        <v>Prepackaged Software</v>
      </c>
      <c r="I537" s="6" t="str">
        <v>86144Y</v>
      </c>
      <c r="J537" s="6" t="str">
        <v>Tango Gameworks</v>
      </c>
      <c r="K537" s="6" t="str">
        <v>Tango Gameworks</v>
      </c>
      <c r="L537" s="7">
        <f>=DATE(2010,10,28)</f>
        <v>40478.99949074074</v>
      </c>
      <c r="M537" s="7">
        <f>=DATE(2010,10,28)</f>
        <v>40478.99949074074</v>
      </c>
      <c r="W537" s="6" t="str">
        <v>Other Software (inq. Games)</v>
      </c>
      <c r="X537" s="6" t="str">
        <v>Applications Software(Business;Applications Software(Home)</v>
      </c>
      <c r="Y537" s="6" t="str">
        <v>Applications Software(Business;Applications Software(Home)</v>
      </c>
      <c r="Z537" s="6" t="str">
        <v>Applications Software(Home);Applications Software(Business</v>
      </c>
      <c r="AA537" s="6" t="str">
        <v>Other Software (inq. Games)</v>
      </c>
      <c r="AB537" s="6" t="str">
        <v>Other Software (inq. Games)</v>
      </c>
      <c r="AH537" s="6" t="str">
        <v>False</v>
      </c>
      <c r="AI537" s="6" t="str">
        <v>2010</v>
      </c>
      <c r="AJ537" s="6" t="str">
        <v>Completed</v>
      </c>
      <c r="AM537" s="6" t="str">
        <v>Not Applicable</v>
      </c>
      <c r="AO537" s="6" t="str">
        <v>JAPAN - ZeniMax Media Inc of US acquired the entire share capital in Tango Gameworks, a Koto, Tokyo-based developer of video game software, from Shinji Mikami. Terms were not disclosed.</v>
      </c>
    </row>
    <row r="538">
      <c r="A538" s="6" t="str">
        <v>594918</v>
      </c>
      <c r="B538" s="6" t="str">
        <v>United States</v>
      </c>
      <c r="C538" s="6" t="str">
        <v>Microsoft Corp</v>
      </c>
      <c r="D538" s="6" t="str">
        <v>Microsoft Corp</v>
      </c>
      <c r="F538" s="6" t="str">
        <v>United States</v>
      </c>
      <c r="G538" s="6" t="str">
        <v>Canesta Inc</v>
      </c>
      <c r="H538" s="6" t="str">
        <v>Prepackaged Software</v>
      </c>
      <c r="I538" s="6" t="str">
        <v>13752L</v>
      </c>
      <c r="J538" s="6" t="str">
        <v>Canesta Inc</v>
      </c>
      <c r="K538" s="6" t="str">
        <v>Canesta Inc</v>
      </c>
      <c r="L538" s="7">
        <f>=DATE(2010,10,29)</f>
        <v>40479.99949074074</v>
      </c>
      <c r="M538" s="7">
        <f>=DATE(2010,12,31)</f>
        <v>40542.99949074074</v>
      </c>
      <c r="W538" s="6" t="str">
        <v>Computer Consulting Services;Internet Services &amp; Software;Monitors/Terminals;Other Peripherals;Applications Software(Business;Operating Systems</v>
      </c>
      <c r="X538" s="6" t="str">
        <v>Other Software (inq. Games)</v>
      </c>
      <c r="Y538" s="6" t="str">
        <v>Other Software (inq. Games)</v>
      </c>
      <c r="Z538" s="6" t="str">
        <v>Other Software (inq. Games)</v>
      </c>
      <c r="AA538" s="6" t="str">
        <v>Applications Software(Business;Operating Systems;Computer Consulting Services;Internet Services &amp; Software;Other Peripherals;Monitors/Terminals</v>
      </c>
      <c r="AB538" s="6" t="str">
        <v>Internet Services &amp; Software;Monitors/Terminals;Other Peripherals;Computer Consulting Services;Operating Systems;Applications Software(Business</v>
      </c>
      <c r="AH538" s="6" t="str">
        <v>False</v>
      </c>
      <c r="AI538" s="6" t="str">
        <v>2010</v>
      </c>
      <c r="AJ538" s="6" t="str">
        <v>Completed</v>
      </c>
      <c r="AM538" s="6" t="str">
        <v>Not Applicable</v>
      </c>
      <c r="AO538" s="6" t="str">
        <v>US - Microsoft Corp acquired Canesta Inc, a Sunnyville-based developer of electronic perception software. Terms were not disclosed.</v>
      </c>
    </row>
    <row r="539">
      <c r="A539" s="6" t="str">
        <v>30303M</v>
      </c>
      <c r="B539" s="6" t="str">
        <v>United States</v>
      </c>
      <c r="C539" s="6" t="str">
        <v>Facebook Inc</v>
      </c>
      <c r="D539" s="6" t="str">
        <v>Facebook Inc</v>
      </c>
      <c r="F539" s="6" t="str">
        <v>United States</v>
      </c>
      <c r="G539" s="6" t="str">
        <v>Drop.io Inc</v>
      </c>
      <c r="H539" s="6" t="str">
        <v>Business Services</v>
      </c>
      <c r="I539" s="6" t="str">
        <v>26231X</v>
      </c>
      <c r="J539" s="6" t="str">
        <v>Drop.io Inc</v>
      </c>
      <c r="K539" s="6" t="str">
        <v>Drop.io Inc</v>
      </c>
      <c r="L539" s="7">
        <f>=DATE(2010,10,29)</f>
        <v>40479.99949074074</v>
      </c>
      <c r="M539" s="7">
        <f>=DATE(2010,10,29)</f>
        <v>40479.99949074074</v>
      </c>
      <c r="W539" s="6" t="str">
        <v>Internet Services &amp; Software</v>
      </c>
      <c r="X539" s="6" t="str">
        <v>Internet Services &amp; Software</v>
      </c>
      <c r="Y539" s="6" t="str">
        <v>Internet Services &amp; Software</v>
      </c>
      <c r="Z539" s="6" t="str">
        <v>Internet Services &amp; Software</v>
      </c>
      <c r="AA539" s="6" t="str">
        <v>Internet Services &amp; Software</v>
      </c>
      <c r="AB539" s="6" t="str">
        <v>Internet Services &amp; Software</v>
      </c>
      <c r="AH539" s="6" t="str">
        <v>True</v>
      </c>
      <c r="AI539" s="6" t="str">
        <v>2010</v>
      </c>
      <c r="AJ539" s="6" t="str">
        <v>Completed</v>
      </c>
      <c r="AM539" s="6" t="str">
        <v>Financial Acquiror</v>
      </c>
      <c r="AO539" s="6" t="str">
        <v>US - Facebook Inc, acquired Drop.io Inc, a New York-based provider of online file-sharing services. Terms were not disclosed.</v>
      </c>
    </row>
    <row r="540">
      <c r="A540" s="6" t="str">
        <v>38305P</v>
      </c>
      <c r="B540" s="6" t="str">
        <v>United States</v>
      </c>
      <c r="C540" s="6" t="str">
        <v>Google Ventures</v>
      </c>
      <c r="D540" s="6" t="str">
        <v>Alphabet Inc</v>
      </c>
      <c r="F540" s="6" t="str">
        <v>United States</v>
      </c>
      <c r="G540" s="6" t="str">
        <v>HomeAway Inc</v>
      </c>
      <c r="H540" s="6" t="str">
        <v>Business Services</v>
      </c>
      <c r="I540" s="6" t="str">
        <v>43739Q</v>
      </c>
      <c r="J540" s="6" t="str">
        <v>HomeAway Inc</v>
      </c>
      <c r="K540" s="6" t="str">
        <v>HomeAway Inc</v>
      </c>
      <c r="L540" s="7">
        <f>=DATE(2010,10,29)</f>
        <v>40479.99949074074</v>
      </c>
      <c r="M540" s="7">
        <f>=DATE(2010,10,29)</f>
        <v>40479.99949074074</v>
      </c>
      <c r="R540" s="8">
        <v>27.369</v>
      </c>
      <c r="S540" s="8">
        <v>290.284</v>
      </c>
      <c r="T540" s="8">
        <v>-12.24</v>
      </c>
      <c r="U540" s="8">
        <v>-140.838</v>
      </c>
      <c r="V540" s="8">
        <v>106.512</v>
      </c>
      <c r="W540" s="6" t="str">
        <v>Primary Business not Hi-Tech</v>
      </c>
      <c r="X540" s="6" t="str">
        <v>Internet Services &amp; Software</v>
      </c>
      <c r="Y540" s="6" t="str">
        <v>Internet Services &amp; Software</v>
      </c>
      <c r="Z540" s="6" t="str">
        <v>Internet Services &amp; Software</v>
      </c>
      <c r="AA540" s="6" t="str">
        <v>Internet Services &amp; Software;Programming Services</v>
      </c>
      <c r="AB540" s="6" t="str">
        <v>Computer Consulting Services;Primary Business not Hi-Tech;Telecommunications Equipment;Programming Services;Internet Services &amp; Software</v>
      </c>
      <c r="AH540" s="6" t="str">
        <v>True</v>
      </c>
      <c r="AI540" s="6" t="str">
        <v>2010</v>
      </c>
      <c r="AJ540" s="6" t="str">
        <v>Completed</v>
      </c>
      <c r="AM540" s="6" t="str">
        <v>Financial Acquiror</v>
      </c>
      <c r="AO540" s="6" t="str">
        <v>US - Google Ventures, a unit of Google Inc, acquired an undisclosed minority stake in HomeAway Inc, an Austin based provider of online vacation marketing services.</v>
      </c>
    </row>
    <row r="541">
      <c r="A541" s="6" t="str">
        <v>023135</v>
      </c>
      <c r="B541" s="6" t="str">
        <v>United States</v>
      </c>
      <c r="C541" s="6" t="str">
        <v>Amazon.com Inc</v>
      </c>
      <c r="D541" s="6" t="str">
        <v>Amazon.com Inc</v>
      </c>
      <c r="F541" s="6" t="str">
        <v>United States</v>
      </c>
      <c r="G541" s="6" t="str">
        <v>Quidsi Inc</v>
      </c>
      <c r="H541" s="6" t="str">
        <v>Business Services</v>
      </c>
      <c r="I541" s="6" t="str">
        <v>75731Y</v>
      </c>
      <c r="J541" s="6" t="str">
        <v>Quidsi Inc</v>
      </c>
      <c r="K541" s="6" t="str">
        <v>Quidsi Inc</v>
      </c>
      <c r="L541" s="7">
        <f>=DATE(2010,11,8)</f>
        <v>40489.99949074074</v>
      </c>
      <c r="M541" s="7">
        <f>=DATE(2011,4,27)</f>
        <v>40659.99949074074</v>
      </c>
      <c r="N541" s="8">
        <v>545</v>
      </c>
      <c r="O541" s="8">
        <v>545</v>
      </c>
      <c r="W541" s="6" t="str">
        <v>Primary Business not Hi-Tech</v>
      </c>
      <c r="X541" s="6" t="str">
        <v>Internet Services &amp; Software</v>
      </c>
      <c r="Y541" s="6" t="str">
        <v>Internet Services &amp; Software</v>
      </c>
      <c r="Z541" s="6" t="str">
        <v>Internet Services &amp; Software</v>
      </c>
      <c r="AA541" s="6" t="str">
        <v>Primary Business not Hi-Tech</v>
      </c>
      <c r="AB541" s="6" t="str">
        <v>Primary Business not Hi-Tech</v>
      </c>
      <c r="AC541" s="8">
        <v>545</v>
      </c>
      <c r="AD541" s="7">
        <f>=DATE(2010,11,8)</f>
        <v>40489.99949074074</v>
      </c>
      <c r="AF541" s="8" t="str">
        <v>545.00</v>
      </c>
      <c r="AG541" s="8" t="str">
        <v>545.00</v>
      </c>
      <c r="AH541" s="6" t="str">
        <v>True</v>
      </c>
      <c r="AI541" s="6" t="str">
        <v>2011</v>
      </c>
      <c r="AJ541" s="6" t="str">
        <v>Completed</v>
      </c>
      <c r="AM541" s="6" t="str">
        <v>Rumored Deal</v>
      </c>
      <c r="AO541" s="6" t="str">
        <v>US - Amazon.com Inc (Amazon) acquired the entire share of capital Quidsi Inc (Quidsi), a Jersey City-based provider of ecommerce retail services, from Accel Partners, Bessemer Venture Partners LP, BEV Capital LLC, MentorTech Ventures LLC and New Enterprise Associates, for USD 545 mil. The consideration was to consist of USD 500 mil in cash and the assumption of USD 45 mil in liabilities. The transaction was to include Diapers.com, Soap.com and BeautyBar.com. Originally, in November 2010, Amazon was rumored to be planning to acquire Quidsi.</v>
      </c>
    </row>
    <row r="542">
      <c r="A542" s="6" t="str">
        <v>98967F</v>
      </c>
      <c r="B542" s="6" t="str">
        <v>United States</v>
      </c>
      <c r="C542" s="6" t="str">
        <v>ZeniMax Media Inc</v>
      </c>
      <c r="D542" s="6" t="str">
        <v>ZeniMax Media Inc</v>
      </c>
      <c r="F542" s="6" t="str">
        <v>Sweden</v>
      </c>
      <c r="G542" s="6" t="str">
        <v>Machinegames Uppsala AB</v>
      </c>
      <c r="H542" s="6" t="str">
        <v>Prepackaged Software</v>
      </c>
      <c r="I542" s="6" t="str">
        <v>55715F</v>
      </c>
      <c r="J542" s="6" t="str">
        <v>Machinegames Uppsala AB</v>
      </c>
      <c r="K542" s="6" t="str">
        <v>Machinegames Uppsala AB</v>
      </c>
      <c r="L542" s="7">
        <f>=DATE(2010,11,11)</f>
        <v>40492.99949074074</v>
      </c>
      <c r="M542" s="7">
        <f>=DATE(2010,11,11)</f>
        <v>40492.99949074074</v>
      </c>
      <c r="W542" s="6" t="str">
        <v>Other Software (inq. Games)</v>
      </c>
      <c r="X542" s="6" t="str">
        <v>Other Software (inq. Games)</v>
      </c>
      <c r="Y542" s="6" t="str">
        <v>Other Software (inq. Games)</v>
      </c>
      <c r="Z542" s="6" t="str">
        <v>Other Software (inq. Games)</v>
      </c>
      <c r="AA542" s="6" t="str">
        <v>Other Software (inq. Games)</v>
      </c>
      <c r="AB542" s="6" t="str">
        <v>Other Software (inq. Games)</v>
      </c>
      <c r="AH542" s="6" t="str">
        <v>False</v>
      </c>
      <c r="AI542" s="6" t="str">
        <v>2010</v>
      </c>
      <c r="AJ542" s="6" t="str">
        <v>Completed</v>
      </c>
      <c r="AM542" s="6" t="str">
        <v>Not Applicable</v>
      </c>
      <c r="AO542" s="6" t="str">
        <v>SWEDEN - ZeniMax Media Inc of the US acquired Machinegames Uppsala AB, a Gavle-based developer of interactive entertainment software.</v>
      </c>
    </row>
    <row r="543">
      <c r="A543" s="6" t="str">
        <v>30303M</v>
      </c>
      <c r="B543" s="6" t="str">
        <v>United States</v>
      </c>
      <c r="C543" s="6" t="str">
        <v>Facebook Inc</v>
      </c>
      <c r="D543" s="6" t="str">
        <v>Facebook Inc</v>
      </c>
      <c r="F543" s="6" t="str">
        <v>United States</v>
      </c>
      <c r="G543" s="6" t="str">
        <v>Walletin</v>
      </c>
      <c r="H543" s="6" t="str">
        <v>Prepackaged Software</v>
      </c>
      <c r="I543" s="6" t="str">
        <v>93352Z</v>
      </c>
      <c r="J543" s="6" t="str">
        <v>Walletin</v>
      </c>
      <c r="K543" s="6" t="str">
        <v>Walletin</v>
      </c>
      <c r="L543" s="7">
        <f>=DATE(2010,11,16)</f>
        <v>40497.99949074074</v>
      </c>
      <c r="M543" s="7">
        <f>=DATE(2010,11,16)</f>
        <v>40497.99949074074</v>
      </c>
      <c r="W543" s="6" t="str">
        <v>Internet Services &amp; Software</v>
      </c>
      <c r="X543" s="6" t="str">
        <v>Other Software (inq. Games);Communication/Network Software;Internet Services &amp; Software</v>
      </c>
      <c r="Y543" s="6" t="str">
        <v>Communication/Network Software;Other Software (inq. Games);Internet Services &amp; Software</v>
      </c>
      <c r="Z543" s="6" t="str">
        <v>Communication/Network Software;Other Software (inq. Games);Internet Services &amp; Software</v>
      </c>
      <c r="AA543" s="6" t="str">
        <v>Internet Services &amp; Software</v>
      </c>
      <c r="AB543" s="6" t="str">
        <v>Internet Services &amp; Software</v>
      </c>
      <c r="AH543" s="6" t="str">
        <v>True</v>
      </c>
      <c r="AI543" s="6" t="str">
        <v>2010</v>
      </c>
      <c r="AJ543" s="6" t="str">
        <v>Completed</v>
      </c>
      <c r="AM543" s="6" t="str">
        <v>Financial Acquiror</v>
      </c>
      <c r="AO543" s="6" t="str">
        <v>US - Facebook Inc acquired Walletin, a developer of gaming software.</v>
      </c>
    </row>
    <row r="544">
      <c r="A544" s="6" t="str">
        <v>60616V</v>
      </c>
      <c r="B544" s="6" t="str">
        <v>United States</v>
      </c>
      <c r="C544" s="6" t="str">
        <v>Montage Healthcare Solutions Inc</v>
      </c>
      <c r="D544" s="6" t="str">
        <v>Montage Healthcare Solutions Inc</v>
      </c>
      <c r="F544" s="6" t="str">
        <v>United States</v>
      </c>
      <c r="G544" s="6" t="str">
        <v>iVirtuoso Inc</v>
      </c>
      <c r="H544" s="6" t="str">
        <v>Business Services</v>
      </c>
      <c r="I544" s="6" t="str">
        <v>47333P</v>
      </c>
      <c r="J544" s="6" t="str">
        <v>iVirtuoso Inc</v>
      </c>
      <c r="K544" s="6" t="str">
        <v>iVirtuoso Inc</v>
      </c>
      <c r="L544" s="7">
        <f>=DATE(2010,11,24)</f>
        <v>40505.99949074074</v>
      </c>
      <c r="M544" s="7">
        <f>=DATE(2010,12,31)</f>
        <v>40542.99949074074</v>
      </c>
      <c r="W544" s="6" t="str">
        <v>Internet Services &amp; Software</v>
      </c>
      <c r="X544" s="6" t="str">
        <v>Internet Services &amp; Software;Applications Software(Business</v>
      </c>
      <c r="Y544" s="6" t="str">
        <v>Applications Software(Business;Internet Services &amp; Software</v>
      </c>
      <c r="Z544" s="6" t="str">
        <v>Internet Services &amp; Software;Applications Software(Business</v>
      </c>
      <c r="AA544" s="6" t="str">
        <v>Internet Services &amp; Software</v>
      </c>
      <c r="AB544" s="6" t="str">
        <v>Internet Services &amp; Software</v>
      </c>
      <c r="AH544" s="6" t="str">
        <v>False</v>
      </c>
      <c r="AI544" s="6" t="str">
        <v>2010</v>
      </c>
      <c r="AJ544" s="6" t="str">
        <v>Completed</v>
      </c>
      <c r="AM544" s="6" t="str">
        <v>Not Applicable</v>
      </c>
      <c r="AO544" s="6" t="str">
        <v>US - Montage Healthcare Solutions Inc acquired iVirtuoso Inc, a Washington-based provider of internet-based search engine services.</v>
      </c>
    </row>
    <row r="545">
      <c r="A545" s="6" t="str">
        <v>023135</v>
      </c>
      <c r="B545" s="6" t="str">
        <v>United States</v>
      </c>
      <c r="C545" s="6" t="str">
        <v>Amazon.com Inc</v>
      </c>
      <c r="D545" s="6" t="str">
        <v>Amazon.com Inc</v>
      </c>
      <c r="F545" s="6" t="str">
        <v>United States</v>
      </c>
      <c r="G545" s="6" t="str">
        <v>LivingSocial Inc</v>
      </c>
      <c r="H545" s="6" t="str">
        <v>Business Services</v>
      </c>
      <c r="I545" s="6" t="str">
        <v>53843A</v>
      </c>
      <c r="J545" s="6" t="str">
        <v>LivingSocial Inc</v>
      </c>
      <c r="K545" s="6" t="str">
        <v>LivingSocial Inc</v>
      </c>
      <c r="L545" s="7">
        <f>=DATE(2010,12,2)</f>
        <v>40513.99949074074</v>
      </c>
      <c r="M545" s="7">
        <f>=DATE(2010,12,2)</f>
        <v>40513.99949074074</v>
      </c>
      <c r="N545" s="8">
        <v>175</v>
      </c>
      <c r="O545" s="8">
        <v>175</v>
      </c>
      <c r="W545" s="6" t="str">
        <v>Primary Business not Hi-Tech</v>
      </c>
      <c r="X545" s="6" t="str">
        <v>Internet Services &amp; Software</v>
      </c>
      <c r="Y545" s="6" t="str">
        <v>Internet Services &amp; Software</v>
      </c>
      <c r="Z545" s="6" t="str">
        <v>Internet Services &amp; Software</v>
      </c>
      <c r="AA545" s="6" t="str">
        <v>Primary Business not Hi-Tech</v>
      </c>
      <c r="AB545" s="6" t="str">
        <v>Primary Business not Hi-Tech</v>
      </c>
      <c r="AC545" s="8">
        <v>175</v>
      </c>
      <c r="AD545" s="7">
        <f>=DATE(2010,12,2)</f>
        <v>40513.99949074074</v>
      </c>
      <c r="AH545" s="6" t="str">
        <v>True</v>
      </c>
      <c r="AI545" s="6" t="str">
        <v>2010</v>
      </c>
      <c r="AJ545" s="6" t="str">
        <v>Completed</v>
      </c>
      <c r="AM545" s="6" t="str">
        <v>Rumored Deal</v>
      </c>
      <c r="AO545" s="6" t="str">
        <v>US - Amazon.com Inc (Amazon) acquired an undisclosed minority stake in LivingSocial (Living), a Washington-based provider of e-commerce information services, for USD 175 mil. Originally, Amazon was rumored to be planning to acquire an undisclosed minority stake in Living.</v>
      </c>
    </row>
    <row r="546">
      <c r="A546" s="6" t="str">
        <v>38259P</v>
      </c>
      <c r="B546" s="6" t="str">
        <v>United States</v>
      </c>
      <c r="C546" s="6" t="str">
        <v>Google Inc</v>
      </c>
      <c r="D546" s="6" t="str">
        <v>Alphabet Inc</v>
      </c>
      <c r="F546" s="6" t="str">
        <v>United Kingdom</v>
      </c>
      <c r="G546" s="6" t="str">
        <v>Phonetic Arts Ltd</v>
      </c>
      <c r="H546" s="6" t="str">
        <v>Electronic and Electrical Equipment</v>
      </c>
      <c r="I546" s="6" t="str">
        <v>71896J</v>
      </c>
      <c r="J546" s="6" t="str">
        <v>Phonetic Arts Ltd</v>
      </c>
      <c r="K546" s="6" t="str">
        <v>Phonetic Arts Ltd</v>
      </c>
      <c r="L546" s="7">
        <f>=DATE(2010,12,3)</f>
        <v>40514.99949074074</v>
      </c>
      <c r="M546" s="7">
        <f>=DATE(2010,12,3)</f>
        <v>40514.99949074074</v>
      </c>
      <c r="W546" s="6" t="str">
        <v>Internet Services &amp; Software;Programming Services</v>
      </c>
      <c r="X546" s="6" t="str">
        <v>Superconductors</v>
      </c>
      <c r="Y546" s="6" t="str">
        <v>Superconductors</v>
      </c>
      <c r="Z546" s="6" t="str">
        <v>Superconductors</v>
      </c>
      <c r="AA546" s="6" t="str">
        <v>Computer Consulting Services;Programming Services;Internet Services &amp; Software;Primary Business not Hi-Tech;Telecommunications Equipment</v>
      </c>
      <c r="AB546" s="6" t="str">
        <v>Primary Business not Hi-Tech;Programming Services;Computer Consulting Services;Telecommunications Equipment;Internet Services &amp; Software</v>
      </c>
      <c r="AH546" s="6" t="str">
        <v>False</v>
      </c>
      <c r="AI546" s="6" t="str">
        <v>2010</v>
      </c>
      <c r="AJ546" s="6" t="str">
        <v>Completed</v>
      </c>
      <c r="AM546" s="6" t="str">
        <v>Not Applicable</v>
      </c>
      <c r="AO546" s="6" t="str">
        <v>UK - Google Inc of the US acquired Phonetic Arts Ltd, a Cambridge-based speech synthesis company. Terms were not disclosed.</v>
      </c>
    </row>
    <row r="547">
      <c r="A547" s="6" t="str">
        <v>38259P</v>
      </c>
      <c r="B547" s="6" t="str">
        <v>United States</v>
      </c>
      <c r="C547" s="6" t="str">
        <v>Google Inc</v>
      </c>
      <c r="D547" s="6" t="str">
        <v>Alphabet Inc</v>
      </c>
      <c r="F547" s="6" t="str">
        <v>United States</v>
      </c>
      <c r="G547" s="6" t="str">
        <v>Widevine Technologies Inc</v>
      </c>
      <c r="H547" s="6" t="str">
        <v>Prepackaged Software</v>
      </c>
      <c r="I547" s="6" t="str">
        <v>96781V</v>
      </c>
      <c r="J547" s="6" t="str">
        <v>Widevine Technologies Inc</v>
      </c>
      <c r="K547" s="6" t="str">
        <v>Widevine Technologies Inc</v>
      </c>
      <c r="L547" s="7">
        <f>=DATE(2010,12,3)</f>
        <v>40514.99949074074</v>
      </c>
      <c r="M547" s="7">
        <f>=DATE(2010,12,31)</f>
        <v>40542.99949074074</v>
      </c>
      <c r="W547" s="6" t="str">
        <v>Programming Services;Internet Services &amp; Software</v>
      </c>
      <c r="X547" s="6" t="str">
        <v>Communication/Network Software;Internet Services &amp; Software</v>
      </c>
      <c r="Y547" s="6" t="str">
        <v>Internet Services &amp; Software;Communication/Network Software</v>
      </c>
      <c r="Z547" s="6" t="str">
        <v>Internet Services &amp; Software;Communication/Network Software</v>
      </c>
      <c r="AA547" s="6" t="str">
        <v>Telecommunications Equipment;Programming Services;Internet Services &amp; Software;Primary Business not Hi-Tech;Computer Consulting Services</v>
      </c>
      <c r="AB547" s="6" t="str">
        <v>Primary Business not Hi-Tech;Internet Services &amp; Software;Telecommunications Equipment;Computer Consulting Services;Programming Services</v>
      </c>
      <c r="AH547" s="6" t="str">
        <v>False</v>
      </c>
      <c r="AI547" s="6" t="str">
        <v>2010</v>
      </c>
      <c r="AJ547" s="6" t="str">
        <v>Completed</v>
      </c>
      <c r="AM547" s="6" t="str">
        <v>Not Applicable</v>
      </c>
      <c r="AO547" s="6" t="str">
        <v>US - Google Inc acquired Widevine Technologies Inc, a Seattle-based developer of internet software. Terms were not disclosed.</v>
      </c>
    </row>
    <row r="548">
      <c r="A548" s="6" t="str">
        <v>67020Y</v>
      </c>
      <c r="B548" s="6" t="str">
        <v>United States</v>
      </c>
      <c r="C548" s="6" t="str">
        <v>Nuance Communications Inc</v>
      </c>
      <c r="D548" s="6" t="str">
        <v>Nuance Communications Inc</v>
      </c>
      <c r="F548" s="6" t="str">
        <v>Israel</v>
      </c>
      <c r="G548" s="6" t="str">
        <v>PerSay Ltd</v>
      </c>
      <c r="H548" s="6" t="str">
        <v>Communications Equipment</v>
      </c>
      <c r="I548" s="6" t="str">
        <v>71568N</v>
      </c>
      <c r="J548" s="6" t="str">
        <v>PerSay Ltd</v>
      </c>
      <c r="K548" s="6" t="str">
        <v>PerSay Ltd</v>
      </c>
      <c r="L548" s="7">
        <f>=DATE(2010,12,13)</f>
        <v>40524.99949074074</v>
      </c>
      <c r="M548" s="7">
        <f>=DATE(2010,12,13)</f>
        <v>40524.99949074074</v>
      </c>
      <c r="W548" s="6" t="str">
        <v>Other Software (inq. Games);Applications Software(Home);Other Computer Related Svcs;Computer Consulting Services;Communication/Network Software;Applications Software(Business;Networking Systems (LAN,WAN);Database Software/Programming;Primary Business not Hi-Tech;Utilities/File Mgmt Software;Internet Services &amp; Software;Programming Services;Desktop Publishing</v>
      </c>
      <c r="X548" s="6" t="str">
        <v>Other Telecommunications Equip</v>
      </c>
      <c r="Y548" s="6" t="str">
        <v>Other Telecommunications Equip</v>
      </c>
      <c r="Z548" s="6" t="str">
        <v>Other Telecommunications Equip</v>
      </c>
      <c r="AA548" s="6" t="str">
        <v>Other Software (inq. Games);Primary Business not Hi-Tech;Networking Systems (LAN,WAN);Desktop Publishing;Applications Software(Home);Other Computer Related Svcs;Computer Consulting Services;Utilities/File Mgmt Software;Database Software/Programming;Programming Services;Applications Software(Business;Internet Services &amp; Software;Communication/Network Software</v>
      </c>
      <c r="AB548" s="6" t="str">
        <v>Internet Services &amp; Software;Applications Software(Home);Communication/Network Software;Desktop Publishing;Database Software/Programming;Computer Consulting Services;Utilities/File Mgmt Software;Applications Software(Business;Programming Services;Networking Systems (LAN,WAN);Other Computer Related Svcs;Other Software (inq. Games);Primary Business not Hi-Tech</v>
      </c>
      <c r="AH548" s="6" t="str">
        <v>False</v>
      </c>
      <c r="AI548" s="6" t="str">
        <v>2010</v>
      </c>
      <c r="AJ548" s="6" t="str">
        <v>Completed</v>
      </c>
      <c r="AM548" s="6" t="str">
        <v>Financial Acquiror</v>
      </c>
      <c r="AO548" s="6" t="str">
        <v>ISRAEL - Nuance Communications Inc of the US acquired PerSay Ltd, a Ra Anana-based manufacturer of biometric speaker verification products.</v>
      </c>
    </row>
    <row r="549">
      <c r="A549" s="6" t="str">
        <v>38259P</v>
      </c>
      <c r="B549" s="6" t="str">
        <v>United States</v>
      </c>
      <c r="C549" s="6" t="str">
        <v>Google Inc</v>
      </c>
      <c r="D549" s="6" t="str">
        <v>Alphabet Inc</v>
      </c>
      <c r="F549" s="6" t="str">
        <v>Canada</v>
      </c>
      <c r="G549" s="6" t="str">
        <v>Zetawire Inc</v>
      </c>
      <c r="H549" s="6" t="str">
        <v>Business Services</v>
      </c>
      <c r="I549" s="6" t="str">
        <v>99356R</v>
      </c>
      <c r="J549" s="6" t="str">
        <v>Zetawire Inc</v>
      </c>
      <c r="K549" s="6" t="str">
        <v>Zetawire Inc</v>
      </c>
      <c r="L549" s="7">
        <f>=DATE(2010,12,14)</f>
        <v>40525.99949074074</v>
      </c>
      <c r="M549" s="7">
        <f>=DATE(2010,12,14)</f>
        <v>40525.99949074074</v>
      </c>
      <c r="W549" s="6" t="str">
        <v>Programming Services;Internet Services &amp; Software</v>
      </c>
      <c r="X549" s="6" t="str">
        <v>Applications Software(Business;Primary Business not Hi-Tech;Computer Consulting Services;Communication/Network Software</v>
      </c>
      <c r="Y549" s="6" t="str">
        <v>Primary Business not Hi-Tech;Applications Software(Business;Communication/Network Software;Computer Consulting Services</v>
      </c>
      <c r="Z549" s="6" t="str">
        <v>Computer Consulting Services;Communication/Network Software;Applications Software(Business;Primary Business not Hi-Tech</v>
      </c>
      <c r="AA549" s="6" t="str">
        <v>Computer Consulting Services;Telecommunications Equipment;Programming Services;Internet Services &amp; Software;Primary Business not Hi-Tech</v>
      </c>
      <c r="AB549" s="6" t="str">
        <v>Telecommunications Equipment;Programming Services;Internet Services &amp; Software;Primary Business not Hi-Tech;Computer Consulting Services</v>
      </c>
      <c r="AH549" s="6" t="str">
        <v>False</v>
      </c>
      <c r="AI549" s="6" t="str">
        <v>2010</v>
      </c>
      <c r="AJ549" s="6" t="str">
        <v>Completed</v>
      </c>
      <c r="AM549" s="6" t="str">
        <v>Not Applicable</v>
      </c>
      <c r="AO549" s="6" t="str">
        <v>CANADA - Google Inc of US has acquired Zetawire Inc, Toronto-based provider of mobile payments startup services. Terms were not disclosed.</v>
      </c>
    </row>
    <row r="550">
      <c r="A550" s="6" t="str">
        <v>98787H</v>
      </c>
      <c r="B550" s="6" t="str">
        <v>United States</v>
      </c>
      <c r="C550" s="6" t="str">
        <v>YouTube Inc</v>
      </c>
      <c r="D550" s="6" t="str">
        <v>Alphabet Inc</v>
      </c>
      <c r="F550" s="6" t="str">
        <v>United States</v>
      </c>
      <c r="G550" s="6" t="str">
        <v>Next New Networks</v>
      </c>
      <c r="H550" s="6" t="str">
        <v>Business Services</v>
      </c>
      <c r="I550" s="6" t="str">
        <v>65764X</v>
      </c>
      <c r="J550" s="6" t="str">
        <v>Next New Networks</v>
      </c>
      <c r="K550" s="6" t="str">
        <v>Next New Networks</v>
      </c>
      <c r="L550" s="7">
        <f>=DATE(2010,12,16)</f>
        <v>40527.99949074074</v>
      </c>
      <c r="M550" s="7">
        <f>=DATE(2011,3,7)</f>
        <v>40608.99949074074</v>
      </c>
      <c r="W550" s="6" t="str">
        <v>Internet Services &amp; Software</v>
      </c>
      <c r="X550" s="6" t="str">
        <v>Internet Services &amp; Software</v>
      </c>
      <c r="Y550" s="6" t="str">
        <v>Internet Services &amp; Software</v>
      </c>
      <c r="Z550" s="6" t="str">
        <v>Internet Services &amp; Software</v>
      </c>
      <c r="AA550" s="6" t="str">
        <v>Internet Services &amp; Software;Programming Services</v>
      </c>
      <c r="AB550" s="6" t="str">
        <v>Internet Services &amp; Software;Primary Business not Hi-Tech;Computer Consulting Services;Programming Services;Telecommunications Equipment</v>
      </c>
      <c r="AH550" s="6" t="str">
        <v>False</v>
      </c>
      <c r="AI550" s="6" t="str">
        <v>2011</v>
      </c>
      <c r="AJ550" s="6" t="str">
        <v>Completed</v>
      </c>
      <c r="AM550" s="6" t="str">
        <v>Rumored Deal</v>
      </c>
      <c r="AO550" s="6" t="str">
        <v>US - YouTube Inc, a unit of Google Inc, acquired Next New Networks, a New York-based provider of online micro-television networks services.</v>
      </c>
    </row>
    <row r="551">
      <c r="A551" s="6" t="str">
        <v>38259P</v>
      </c>
      <c r="B551" s="6" t="str">
        <v>United States</v>
      </c>
      <c r="C551" s="6" t="str">
        <v>Google Inc</v>
      </c>
      <c r="D551" s="6" t="str">
        <v>Alphabet Inc</v>
      </c>
      <c r="F551" s="6" t="str">
        <v>United States</v>
      </c>
      <c r="G551" s="6" t="str">
        <v>eBook Technologies Inc</v>
      </c>
      <c r="H551" s="6" t="str">
        <v>Business Services</v>
      </c>
      <c r="I551" s="6" t="str">
        <v>27850C</v>
      </c>
      <c r="J551" s="6" t="str">
        <v>eBook Technologies Inc</v>
      </c>
      <c r="K551" s="6" t="str">
        <v>eBook Technologies Inc</v>
      </c>
      <c r="L551" s="7">
        <f>=DATE(2011,1,12)</f>
        <v>40554.99949074074</v>
      </c>
      <c r="M551" s="7">
        <f>=DATE(2011,1,12)</f>
        <v>40554.99949074074</v>
      </c>
      <c r="W551" s="6" t="str">
        <v>Internet Services &amp; Software;Programming Services</v>
      </c>
      <c r="X551" s="6" t="str">
        <v>Internet Services &amp; Software</v>
      </c>
      <c r="Y551" s="6" t="str">
        <v>Internet Services &amp; Software</v>
      </c>
      <c r="Z551" s="6" t="str">
        <v>Internet Services &amp; Software</v>
      </c>
      <c r="AA551" s="6" t="str">
        <v>Internet Services &amp; Software;Primary Business not Hi-Tech;Computer Consulting Services;Programming Services;Telecommunications Equipment</v>
      </c>
      <c r="AB551" s="6" t="str">
        <v>Telecommunications Equipment;Internet Services &amp; Software;Computer Consulting Services;Programming Services;Primary Business not Hi-Tech</v>
      </c>
      <c r="AH551" s="6" t="str">
        <v>False</v>
      </c>
      <c r="AI551" s="6" t="str">
        <v>2011</v>
      </c>
      <c r="AJ551" s="6" t="str">
        <v>Completed</v>
      </c>
      <c r="AM551" s="6" t="str">
        <v>Not Applicable</v>
      </c>
      <c r="AO551" s="6" t="str">
        <v>US - Google Inc acquired eBook Technologies Inc, a provider of ebook content services. Terms were not disclosed.</v>
      </c>
    </row>
    <row r="552">
      <c r="A552" s="6" t="str">
        <v>023135</v>
      </c>
      <c r="B552" s="6" t="str">
        <v>United States</v>
      </c>
      <c r="C552" s="6" t="str">
        <v>Amazon.com Inc</v>
      </c>
      <c r="D552" s="6" t="str">
        <v>Amazon.com Inc</v>
      </c>
      <c r="F552" s="6" t="str">
        <v>United Kingdom</v>
      </c>
      <c r="G552" s="6" t="str">
        <v>LOVEFiLM International Ltd</v>
      </c>
      <c r="H552" s="6" t="str">
        <v>Motion Picture Production and Distribution</v>
      </c>
      <c r="I552" s="6" t="str">
        <v>54737E</v>
      </c>
      <c r="J552" s="6" t="str">
        <v>Arts Alliance Ltd</v>
      </c>
      <c r="K552" s="6" t="str">
        <v>Arts Alliance Ltd</v>
      </c>
      <c r="L552" s="7">
        <f>=DATE(2011,1,20)</f>
        <v>40562.99949074074</v>
      </c>
      <c r="M552" s="7">
        <f>=DATE(2011,1,28)</f>
        <v>40570.99949074074</v>
      </c>
      <c r="W552" s="6" t="str">
        <v>Primary Business not Hi-Tech</v>
      </c>
      <c r="X552" s="6" t="str">
        <v>Internet Services &amp; Software</v>
      </c>
      <c r="Y552" s="6" t="str">
        <v>Primary Business not Hi-Tech</v>
      </c>
      <c r="Z552" s="6" t="str">
        <v>Primary Business not Hi-Tech</v>
      </c>
      <c r="AA552" s="6" t="str">
        <v>Primary Business not Hi-Tech</v>
      </c>
      <c r="AB552" s="6" t="str">
        <v>Primary Business not Hi-Tech</v>
      </c>
      <c r="AH552" s="6" t="str">
        <v>True</v>
      </c>
      <c r="AI552" s="6" t="str">
        <v>2011</v>
      </c>
      <c r="AJ552" s="6" t="str">
        <v>Completed</v>
      </c>
      <c r="AM552" s="6" t="str">
        <v>Divestiture;Rumored Deal</v>
      </c>
      <c r="AO552" s="6" t="str">
        <v>UK - Amazon.com Inc (Amazon) of the US acquired the remaining 58% interest which it did not already own in LOVEFiLM International Ltd (Lovefilm), a London-based provider of online DVD rental services from Arts Alliance Ltd. Originally, Amazon was rumored to be planning to acquire the remaining 58% interest in Lovefilm. Terms were not disclosed, but according to analyst estimates, the deal was valued at an estimated GBP 200 mil (USD 313.08 mil).</v>
      </c>
    </row>
    <row r="553">
      <c r="A553" s="6" t="str">
        <v>98787H</v>
      </c>
      <c r="B553" s="6" t="str">
        <v>United States</v>
      </c>
      <c r="C553" s="6" t="str">
        <v>YouTube Inc</v>
      </c>
      <c r="D553" s="6" t="str">
        <v>Alphabet Inc</v>
      </c>
      <c r="F553" s="6" t="str">
        <v>United States</v>
      </c>
      <c r="G553" s="6" t="str">
        <v>fflick Inc</v>
      </c>
      <c r="H553" s="6" t="str">
        <v>Business Services</v>
      </c>
      <c r="I553" s="6" t="str">
        <v>30536N</v>
      </c>
      <c r="J553" s="6" t="str">
        <v>fflick Inc</v>
      </c>
      <c r="K553" s="6" t="str">
        <v>fflick Inc</v>
      </c>
      <c r="L553" s="7">
        <f>=DATE(2011,1,25)</f>
        <v>40567.99949074074</v>
      </c>
      <c r="M553" s="7">
        <f>=DATE(2011,1,26)</f>
        <v>40568.99949074074</v>
      </c>
      <c r="N553" s="8">
        <v>10</v>
      </c>
      <c r="O553" s="8">
        <v>10</v>
      </c>
      <c r="W553" s="6" t="str">
        <v>Internet Services &amp; Software</v>
      </c>
      <c r="X553" s="6" t="str">
        <v>Data Processing Services;Internet Services &amp; Software</v>
      </c>
      <c r="Y553" s="6" t="str">
        <v>Internet Services &amp; Software;Data Processing Services</v>
      </c>
      <c r="Z553" s="6" t="str">
        <v>Internet Services &amp; Software;Data Processing Services</v>
      </c>
      <c r="AA553" s="6" t="str">
        <v>Internet Services &amp; Software;Programming Services</v>
      </c>
      <c r="AB553" s="6" t="str">
        <v>Programming Services;Computer Consulting Services;Telecommunications Equipment;Internet Services &amp; Software;Primary Business not Hi-Tech</v>
      </c>
      <c r="AC553" s="8">
        <v>10</v>
      </c>
      <c r="AD553" s="7">
        <f>=DATE(2011,1,25)</f>
        <v>40567.99949074074</v>
      </c>
      <c r="AH553" s="6" t="str">
        <v>False</v>
      </c>
      <c r="AI553" s="6" t="str">
        <v>2011</v>
      </c>
      <c r="AJ553" s="6" t="str">
        <v>Completed</v>
      </c>
      <c r="AM553" s="6" t="str">
        <v>Not Applicable</v>
      </c>
      <c r="AO553" s="6" t="str">
        <v>US - YouTube Inc, a wholly owned unit of Google Inc acquired fflick Inc, a California-based provider of online movie reviews, for an estimated USD 10 mil.</v>
      </c>
    </row>
    <row r="554">
      <c r="A554" s="6" t="str">
        <v>38259P</v>
      </c>
      <c r="B554" s="6" t="str">
        <v>United States</v>
      </c>
      <c r="C554" s="6" t="str">
        <v>Google Inc</v>
      </c>
      <c r="D554" s="6" t="str">
        <v>Alphabet Inc</v>
      </c>
      <c r="F554" s="6" t="str">
        <v>United States</v>
      </c>
      <c r="G554" s="6" t="str">
        <v>SayNow Inc</v>
      </c>
      <c r="H554" s="6" t="str">
        <v>Telecommunications</v>
      </c>
      <c r="I554" s="6" t="str">
        <v>80569K</v>
      </c>
      <c r="J554" s="6" t="str">
        <v>SayNow Inc</v>
      </c>
      <c r="K554" s="6" t="str">
        <v>SayNow Inc</v>
      </c>
      <c r="L554" s="7">
        <f>=DATE(2011,1,25)</f>
        <v>40567.99949074074</v>
      </c>
      <c r="M554" s="7">
        <f>=DATE(2011,1,25)</f>
        <v>40567.99949074074</v>
      </c>
      <c r="W554" s="6" t="str">
        <v>Programming Services;Internet Services &amp; Software</v>
      </c>
      <c r="X554" s="6" t="str">
        <v>Communication/Network Software;Internet Services &amp; Software</v>
      </c>
      <c r="Y554" s="6" t="str">
        <v>Internet Services &amp; Software;Communication/Network Software</v>
      </c>
      <c r="Z554" s="6" t="str">
        <v>Communication/Network Software;Internet Services &amp; Software</v>
      </c>
      <c r="AA554" s="6" t="str">
        <v>Computer Consulting Services;Programming Services;Primary Business not Hi-Tech;Internet Services &amp; Software;Telecommunications Equipment</v>
      </c>
      <c r="AB554" s="6" t="str">
        <v>Internet Services &amp; Software;Computer Consulting Services;Telecommunications Equipment;Primary Business not Hi-Tech;Programming Services</v>
      </c>
      <c r="AH554" s="6" t="str">
        <v>False</v>
      </c>
      <c r="AI554" s="6" t="str">
        <v>2011</v>
      </c>
      <c r="AJ554" s="6" t="str">
        <v>Completed</v>
      </c>
      <c r="AM554" s="6" t="str">
        <v>Not Applicable</v>
      </c>
      <c r="AO554" s="6" t="str">
        <v>US - Google Inc acquired SayNow Inc, a Palo Alto-based provider of phone-based social services. Terms were not disclosed.</v>
      </c>
    </row>
    <row r="555">
      <c r="A555" s="6" t="str">
        <v>53578A</v>
      </c>
      <c r="B555" s="6" t="str">
        <v>United States</v>
      </c>
      <c r="C555" s="6" t="str">
        <v>LinkedIn Corp</v>
      </c>
      <c r="D555" s="6" t="str">
        <v>LinkedIn Corp</v>
      </c>
      <c r="F555" s="6" t="str">
        <v>United States</v>
      </c>
      <c r="G555" s="6" t="str">
        <v>CardMunch Inc</v>
      </c>
      <c r="H555" s="6" t="str">
        <v>Prepackaged Software</v>
      </c>
      <c r="I555" s="6" t="str">
        <v>73696X</v>
      </c>
      <c r="J555" s="6" t="str">
        <v>CardMunch Inc</v>
      </c>
      <c r="K555" s="6" t="str">
        <v>CardMunch Inc</v>
      </c>
      <c r="L555" s="7">
        <f>=DATE(2011,1,26)</f>
        <v>40568.99949074074</v>
      </c>
      <c r="M555" s="7">
        <f>=DATE(2011,1,26)</f>
        <v>40568.99949074074</v>
      </c>
      <c r="W555" s="6" t="str">
        <v>Internet Services &amp; Software</v>
      </c>
      <c r="X555" s="6" t="str">
        <v>Communication/Network Software;Internet Services &amp; Software</v>
      </c>
      <c r="Y555" s="6" t="str">
        <v>Communication/Network Software;Internet Services &amp; Software</v>
      </c>
      <c r="Z555" s="6" t="str">
        <v>Internet Services &amp; Software;Communication/Network Software</v>
      </c>
      <c r="AA555" s="6" t="str">
        <v>Internet Services &amp; Software</v>
      </c>
      <c r="AB555" s="6" t="str">
        <v>Internet Services &amp; Software</v>
      </c>
      <c r="AH555" s="6" t="str">
        <v>False</v>
      </c>
      <c r="AI555" s="6" t="str">
        <v>2011</v>
      </c>
      <c r="AJ555" s="6" t="str">
        <v>Completed</v>
      </c>
      <c r="AM555" s="6" t="str">
        <v>Financial Acquiror</v>
      </c>
      <c r="AO555" s="6" t="str">
        <v>US - LinkedIn Corp acquired CardMunch Inc, a Mountain View-based developer of Internet software.</v>
      </c>
    </row>
    <row r="556">
      <c r="A556" s="6" t="str">
        <v>00507V</v>
      </c>
      <c r="B556" s="6" t="str">
        <v>United States</v>
      </c>
      <c r="C556" s="6" t="str">
        <v>Activision Blizzard Inc</v>
      </c>
      <c r="D556" s="6" t="str">
        <v>Vivendi SE</v>
      </c>
      <c r="F556" s="6" t="str">
        <v>United States</v>
      </c>
      <c r="G556" s="6" t="str">
        <v>Activision Blizzard Inc</v>
      </c>
      <c r="H556" s="6" t="str">
        <v>Prepackaged Software</v>
      </c>
      <c r="I556" s="6" t="str">
        <v>00507V</v>
      </c>
      <c r="J556" s="6" t="str">
        <v>Vivendi SE</v>
      </c>
      <c r="K556" s="6" t="str">
        <v>Vivendi SE</v>
      </c>
      <c r="L556" s="7">
        <f>=DATE(2011,2,9)</f>
        <v>40582.99949074074</v>
      </c>
      <c r="N556" s="8">
        <v>1500</v>
      </c>
      <c r="O556" s="8">
        <v>1500</v>
      </c>
      <c r="R556" s="8">
        <v>417</v>
      </c>
      <c r="S556" s="8">
        <v>4447</v>
      </c>
      <c r="T556" s="8">
        <v>-1053</v>
      </c>
      <c r="U556" s="8">
        <v>-312</v>
      </c>
      <c r="V556" s="8">
        <v>1376</v>
      </c>
      <c r="W556" s="6" t="str">
        <v>Other Software (inq. Games);Operating Systems;Other Computer Systems</v>
      </c>
      <c r="X556" s="6" t="str">
        <v>Operating Systems;Other Computer Systems;Other Software (inq. Games)</v>
      </c>
      <c r="Y556" s="6" t="str">
        <v>Internet Services &amp; Software;Primary Business not Hi-Tech;Other Software (inq. Games)</v>
      </c>
      <c r="Z556" s="6" t="str">
        <v>Primary Business not Hi-Tech;Other Software (inq. Games);Internet Services &amp; Software</v>
      </c>
      <c r="AA556" s="6" t="str">
        <v>Other Software (inq. Games);Internet Services &amp; Software;Primary Business not Hi-Tech</v>
      </c>
      <c r="AB556" s="6" t="str">
        <v>Internet Services &amp; Software;Other Software (inq. Games);Primary Business not Hi-Tech</v>
      </c>
      <c r="AC556" s="8">
        <v>1500</v>
      </c>
      <c r="AD556" s="7">
        <f>=DATE(2011,2,9)</f>
        <v>40582.99949074074</v>
      </c>
      <c r="AH556" s="6" t="str">
        <v>True</v>
      </c>
      <c r="AJ556" s="6" t="str">
        <v>Intended</v>
      </c>
      <c r="AM556" s="6" t="str">
        <v>Repurchase;Open Market Purchase</v>
      </c>
      <c r="AN556" s="8">
        <v>8342</v>
      </c>
      <c r="AO556" s="6" t="str">
        <v>US - In 9 February 2011, the board of Activision Blizzard inc, a Santa Monica-based developer and wholesaler of interactive entertainment software, authorized the repurchase of up to USD 1.5 bil of the company's common stock outstanding in open market transactions.</v>
      </c>
    </row>
    <row r="557">
      <c r="A557" s="6" t="str">
        <v>38259P</v>
      </c>
      <c r="B557" s="6" t="str">
        <v>United States</v>
      </c>
      <c r="C557" s="6" t="str">
        <v>Google Inc</v>
      </c>
      <c r="D557" s="6" t="str">
        <v>Alphabet Inc</v>
      </c>
      <c r="E557" s="6" t="str">
        <v>Facebook Inc</v>
      </c>
      <c r="F557" s="6" t="str">
        <v>United States</v>
      </c>
      <c r="G557" s="6" t="str">
        <v>Twitter Inc</v>
      </c>
      <c r="H557" s="6" t="str">
        <v>Business Services</v>
      </c>
      <c r="I557" s="6" t="str">
        <v>90184L</v>
      </c>
      <c r="J557" s="6" t="str">
        <v>Twitter Inc</v>
      </c>
      <c r="K557" s="6" t="str">
        <v>Twitter Inc</v>
      </c>
      <c r="L557" s="7">
        <f>=DATE(2011,2,10)</f>
        <v>40583.99949074074</v>
      </c>
      <c r="R557" s="8">
        <v>-67.324</v>
      </c>
      <c r="S557" s="8">
        <v>28.278</v>
      </c>
      <c r="T557" s="8">
        <v>114.315</v>
      </c>
      <c r="U557" s="8">
        <v>48.974</v>
      </c>
      <c r="V557" s="8">
        <v>-48.737</v>
      </c>
      <c r="W557" s="6" t="str">
        <v>Programming Services;Internet Services &amp; Software</v>
      </c>
      <c r="X557" s="6" t="str">
        <v>Internet Services &amp; Software</v>
      </c>
      <c r="Y557" s="6" t="str">
        <v>Internet Services &amp; Software</v>
      </c>
      <c r="Z557" s="6" t="str">
        <v>Internet Services &amp; Software</v>
      </c>
      <c r="AA557" s="6" t="str">
        <v>Primary Business not Hi-Tech;Programming Services;Internet Services &amp; Software;Telecommunications Equipment;Computer Consulting Services</v>
      </c>
      <c r="AB557" s="6" t="str">
        <v>Telecommunications Equipment;Internet Services &amp; Software;Programming Services;Primary Business not Hi-Tech;Computer Consulting Services</v>
      </c>
      <c r="AH557" s="6" t="str">
        <v>True</v>
      </c>
      <c r="AJ557" s="6" t="str">
        <v>Withdrawn</v>
      </c>
      <c r="AM557" s="6" t="str">
        <v>Rumored Deal</v>
      </c>
      <c r="AO557" s="6" t="str">
        <v>US - Google Inc discontinued rumors that it was planning to acquire Twitter Inc (Twitter), a San Francisco-based provider of social networking services. Terms were not disclosed but according to sources, transaction was to be valued at an estimated USD 10 bil. Concurrently, Facebook Inc was rumored to be planning to acquire Twitter.</v>
      </c>
    </row>
    <row r="558">
      <c r="A558" s="6" t="str">
        <v>30303M</v>
      </c>
      <c r="B558" s="6" t="str">
        <v>United States</v>
      </c>
      <c r="C558" s="6" t="str">
        <v>Facebook Inc</v>
      </c>
      <c r="D558" s="6" t="str">
        <v>Facebook Inc</v>
      </c>
      <c r="E558" s="6" t="str">
        <v>Google Inc</v>
      </c>
      <c r="F558" s="6" t="str">
        <v>United States</v>
      </c>
      <c r="G558" s="6" t="str">
        <v>Twitter Inc</v>
      </c>
      <c r="H558" s="6" t="str">
        <v>Business Services</v>
      </c>
      <c r="I558" s="6" t="str">
        <v>90184L</v>
      </c>
      <c r="J558" s="6" t="str">
        <v>Twitter Inc</v>
      </c>
      <c r="K558" s="6" t="str">
        <v>Twitter Inc</v>
      </c>
      <c r="L558" s="7">
        <f>=DATE(2011,2,10)</f>
        <v>40583.99949074074</v>
      </c>
      <c r="R558" s="8">
        <v>-67.324</v>
      </c>
      <c r="S558" s="8">
        <v>28.278</v>
      </c>
      <c r="T558" s="8">
        <v>114.315</v>
      </c>
      <c r="U558" s="8">
        <v>48.974</v>
      </c>
      <c r="V558" s="8">
        <v>-48.737</v>
      </c>
      <c r="W558" s="6" t="str">
        <v>Internet Services &amp; Software</v>
      </c>
      <c r="X558" s="6" t="str">
        <v>Internet Services &amp; Software</v>
      </c>
      <c r="Y558" s="6" t="str">
        <v>Internet Services &amp; Software</v>
      </c>
      <c r="Z558" s="6" t="str">
        <v>Internet Services &amp; Software</v>
      </c>
      <c r="AA558" s="6" t="str">
        <v>Internet Services &amp; Software</v>
      </c>
      <c r="AB558" s="6" t="str">
        <v>Internet Services &amp; Software</v>
      </c>
      <c r="AH558" s="6" t="str">
        <v>True</v>
      </c>
      <c r="AJ558" s="6" t="str">
        <v>Dismissed Rumor</v>
      </c>
      <c r="AM558" s="6" t="str">
        <v>Financial Acquiror;Rumored Deal</v>
      </c>
      <c r="AO558" s="6" t="str">
        <v>US - Facebook Inc was rumored to be planning to acquire Twitter Inc (Twitter), a San Francisco-based provider of social networking services. Terms were not disclosed but according to sources, transaction was to be valued at an estimated USD 10 bil. Concurrently, Google Inc was rumored to be planning to acquire Twitter. The Current status of this deal is unknown.</v>
      </c>
    </row>
    <row r="559">
      <c r="A559" s="6" t="str">
        <v>30303M</v>
      </c>
      <c r="B559" s="6" t="str">
        <v>United States</v>
      </c>
      <c r="C559" s="6" t="str">
        <v>Facebook Inc</v>
      </c>
      <c r="D559" s="6" t="str">
        <v>Facebook Inc</v>
      </c>
      <c r="F559" s="6" t="str">
        <v>United States</v>
      </c>
      <c r="G559" s="6" t="str">
        <v>Beluga Inc</v>
      </c>
      <c r="H559" s="6" t="str">
        <v>Prepackaged Software</v>
      </c>
      <c r="I559" s="6" t="str">
        <v>08116L</v>
      </c>
      <c r="J559" s="6" t="str">
        <v>Beluga Inc</v>
      </c>
      <c r="K559" s="6" t="str">
        <v>Beluga Inc</v>
      </c>
      <c r="L559" s="7">
        <f>=DATE(2011,3,1)</f>
        <v>40602.99949074074</v>
      </c>
      <c r="M559" s="7">
        <f>=DATE(2011,3,1)</f>
        <v>40602.99949074074</v>
      </c>
      <c r="W559" s="6" t="str">
        <v>Internet Services &amp; Software</v>
      </c>
      <c r="X559" s="6" t="str">
        <v>Communication/Network Software;Internet Services &amp; Software</v>
      </c>
      <c r="Y559" s="6" t="str">
        <v>Communication/Network Software;Internet Services &amp; Software</v>
      </c>
      <c r="Z559" s="6" t="str">
        <v>Internet Services &amp; Software;Communication/Network Software</v>
      </c>
      <c r="AA559" s="6" t="str">
        <v>Internet Services &amp; Software</v>
      </c>
      <c r="AB559" s="6" t="str">
        <v>Internet Services &amp; Software</v>
      </c>
      <c r="AH559" s="6" t="str">
        <v>True</v>
      </c>
      <c r="AI559" s="6" t="str">
        <v>2011</v>
      </c>
      <c r="AJ559" s="6" t="str">
        <v>Completed</v>
      </c>
      <c r="AM559" s="6" t="str">
        <v>Financial Acquiror</v>
      </c>
      <c r="AO559" s="6" t="str">
        <v>US - Facebook Inc acquired Beluga Inc, a New York-based developer of mobile and internet software. Terms were not disclosed.</v>
      </c>
    </row>
    <row r="560">
      <c r="A560" s="6" t="str">
        <v>38259P</v>
      </c>
      <c r="B560" s="6" t="str">
        <v>United States</v>
      </c>
      <c r="C560" s="6" t="str">
        <v>Google Inc</v>
      </c>
      <c r="D560" s="6" t="str">
        <v>Alphabet Inc</v>
      </c>
      <c r="F560" s="6" t="str">
        <v>Germany</v>
      </c>
      <c r="G560" s="6" t="str">
        <v>Zynamics GmbH</v>
      </c>
      <c r="H560" s="6" t="str">
        <v>Prepackaged Software</v>
      </c>
      <c r="I560" s="6" t="str">
        <v>99382H</v>
      </c>
      <c r="J560" s="6" t="str">
        <v>Zynamics GmbH</v>
      </c>
      <c r="K560" s="6" t="str">
        <v>Zynamics GmbH</v>
      </c>
      <c r="L560" s="7">
        <f>=DATE(2011,3,1)</f>
        <v>40602.99949074074</v>
      </c>
      <c r="M560" s="7">
        <f>=DATE(2011,3,1)</f>
        <v>40602.99949074074</v>
      </c>
      <c r="W560" s="6" t="str">
        <v>Internet Services &amp; Software;Programming Services</v>
      </c>
      <c r="X560" s="6" t="str">
        <v>Other Software (inq. Games)</v>
      </c>
      <c r="Y560" s="6" t="str">
        <v>Other Software (inq. Games)</v>
      </c>
      <c r="Z560" s="6" t="str">
        <v>Other Software (inq. Games)</v>
      </c>
      <c r="AA560" s="6" t="str">
        <v>Programming Services;Computer Consulting Services;Primary Business not Hi-Tech;Telecommunications Equipment;Internet Services &amp; Software</v>
      </c>
      <c r="AB560" s="6" t="str">
        <v>Programming Services;Primary Business not Hi-Tech;Internet Services &amp; Software;Computer Consulting Services;Telecommunications Equipment</v>
      </c>
      <c r="AH560" s="6" t="str">
        <v>False</v>
      </c>
      <c r="AI560" s="6" t="str">
        <v>2011</v>
      </c>
      <c r="AJ560" s="6" t="str">
        <v>Completed</v>
      </c>
      <c r="AM560" s="6" t="str">
        <v>Not Applicable</v>
      </c>
      <c r="AO560" s="6" t="str">
        <v>GERMANY - Google Inc of the USA, acquired Zynamics GmbH, a Bochum-based developer of protective software. Terms were not disclosed.</v>
      </c>
    </row>
    <row r="561">
      <c r="A561" s="6" t="str">
        <v>893929</v>
      </c>
      <c r="B561" s="6" t="str">
        <v>United States</v>
      </c>
      <c r="C561" s="6" t="str">
        <v>Transcend Services Inc</v>
      </c>
      <c r="D561" s="6" t="str">
        <v>Transcend Services Inc</v>
      </c>
      <c r="F561" s="6" t="str">
        <v>United States</v>
      </c>
      <c r="G561" s="6" t="str">
        <v>DTS America Inc</v>
      </c>
      <c r="H561" s="6" t="str">
        <v>Business Services</v>
      </c>
      <c r="I561" s="6" t="str">
        <v>42091Z</v>
      </c>
      <c r="J561" s="6" t="str">
        <v>DTS America Inc</v>
      </c>
      <c r="K561" s="6" t="str">
        <v>DTS America Inc</v>
      </c>
      <c r="L561" s="7">
        <f>=DATE(2011,3,3)</f>
        <v>40604.99949074074</v>
      </c>
      <c r="M561" s="7">
        <f>=DATE(2011,5,3)</f>
        <v>40665.99949074074</v>
      </c>
      <c r="N561" s="8">
        <v>12.1</v>
      </c>
      <c r="O561" s="8">
        <v>12.1</v>
      </c>
      <c r="W561" s="6" t="str">
        <v>Other Computer Related Svcs;Data Processing Services</v>
      </c>
      <c r="X561" s="6" t="str">
        <v>Data Processing Services</v>
      </c>
      <c r="Y561" s="6" t="str">
        <v>Data Processing Services</v>
      </c>
      <c r="Z561" s="6" t="str">
        <v>Data Processing Services</v>
      </c>
      <c r="AA561" s="6" t="str">
        <v>Other Computer Related Svcs;Data Processing Services</v>
      </c>
      <c r="AB561" s="6" t="str">
        <v>Data Processing Services;Other Computer Related Svcs</v>
      </c>
      <c r="AC561" s="8">
        <v>12.1</v>
      </c>
      <c r="AD561" s="7">
        <f>=DATE(2011,3,3)</f>
        <v>40604.99949074074</v>
      </c>
      <c r="AH561" s="6" t="str">
        <v>False</v>
      </c>
      <c r="AI561" s="6" t="str">
        <v>2011</v>
      </c>
      <c r="AJ561" s="6" t="str">
        <v>Completed</v>
      </c>
      <c r="AM561" s="6" t="str">
        <v>Not Applicable</v>
      </c>
      <c r="AO561" s="6" t="str">
        <v>US - Transcend Services Inc acquired DTS America Inc, a Brentwood-based provider of medical transcription services, for USD 12.1 mil. The consideration was to consist of USD 7.9 mil in cash and up to USD 4.2 mil in profit-related payments.</v>
      </c>
    </row>
    <row r="562">
      <c r="A562" s="6" t="str">
        <v>38259P</v>
      </c>
      <c r="B562" s="6" t="str">
        <v>United States</v>
      </c>
      <c r="C562" s="6" t="str">
        <v>Google Inc</v>
      </c>
      <c r="D562" s="6" t="str">
        <v>Alphabet Inc</v>
      </c>
      <c r="F562" s="6" t="str">
        <v>United Kingdom</v>
      </c>
      <c r="G562" s="6" t="str">
        <v>BeatThatQuote.com Ltd</v>
      </c>
      <c r="H562" s="6" t="str">
        <v>Business Services</v>
      </c>
      <c r="I562" s="6" t="str">
        <v>07425F</v>
      </c>
      <c r="J562" s="6" t="str">
        <v>BeatThatQuote.com Ltd</v>
      </c>
      <c r="K562" s="6" t="str">
        <v>BeatThatQuote.com Ltd</v>
      </c>
      <c r="L562" s="7">
        <f>=DATE(2011,3,7)</f>
        <v>40608.99949074074</v>
      </c>
      <c r="M562" s="7">
        <f>=DATE(2011,3,7)</f>
        <v>40608.99949074074</v>
      </c>
      <c r="N562" s="8">
        <v>61.0743908761016</v>
      </c>
      <c r="O562" s="8">
        <v>61.0743908761016</v>
      </c>
      <c r="W562" s="6" t="str">
        <v>Programming Services;Internet Services &amp; Software</v>
      </c>
      <c r="X562" s="6" t="str">
        <v>Internet Services &amp; Software</v>
      </c>
      <c r="Y562" s="6" t="str">
        <v>Internet Services &amp; Software</v>
      </c>
      <c r="Z562" s="6" t="str">
        <v>Internet Services &amp; Software</v>
      </c>
      <c r="AA562" s="6" t="str">
        <v>Programming Services;Computer Consulting Services;Internet Services &amp; Software;Telecommunications Equipment;Primary Business not Hi-Tech</v>
      </c>
      <c r="AB562" s="6" t="str">
        <v>Computer Consulting Services;Programming Services;Internet Services &amp; Software;Primary Business not Hi-Tech;Telecommunications Equipment</v>
      </c>
      <c r="AC562" s="8">
        <v>61.0743908761016</v>
      </c>
      <c r="AD562" s="7">
        <f>=DATE(2011,3,7)</f>
        <v>40608.99949074074</v>
      </c>
      <c r="AH562" s="6" t="str">
        <v>True</v>
      </c>
      <c r="AI562" s="6" t="str">
        <v>2011</v>
      </c>
      <c r="AJ562" s="6" t="str">
        <v>Completed</v>
      </c>
      <c r="AM562" s="6" t="str">
        <v>Not Applicable</v>
      </c>
      <c r="AO562" s="6" t="str">
        <v>UK - Google Inc of the US, acquired BeatThatQuote.com Ltd, a London-based provider of online price comparison services, for GBP 37.7 mil (USD 61.089 mil).</v>
      </c>
    </row>
    <row r="563">
      <c r="A563" s="6" t="str">
        <v>98787H</v>
      </c>
      <c r="B563" s="6" t="str">
        <v>United States</v>
      </c>
      <c r="C563" s="6" t="str">
        <v>YouTube Inc</v>
      </c>
      <c r="D563" s="6" t="str">
        <v>Alphabet Inc</v>
      </c>
      <c r="F563" s="6" t="str">
        <v>Ireland</v>
      </c>
      <c r="G563" s="6" t="str">
        <v>Green Parrot Pictures</v>
      </c>
      <c r="H563" s="6" t="str">
        <v>Business Services</v>
      </c>
      <c r="I563" s="6" t="str">
        <v>39540V</v>
      </c>
      <c r="J563" s="6" t="str">
        <v>Green Parrot Pictures</v>
      </c>
      <c r="K563" s="6" t="str">
        <v>Green Parrot Pictures</v>
      </c>
      <c r="L563" s="7">
        <f>=DATE(2011,3,15)</f>
        <v>40616.99949074074</v>
      </c>
      <c r="M563" s="7">
        <f>=DATE(2011,3,15)</f>
        <v>40616.99949074074</v>
      </c>
      <c r="W563" s="6" t="str">
        <v>Internet Services &amp; Software</v>
      </c>
      <c r="X563" s="6" t="str">
        <v>Internet Services &amp; Software</v>
      </c>
      <c r="Y563" s="6" t="str">
        <v>Internet Services &amp; Software</v>
      </c>
      <c r="Z563" s="6" t="str">
        <v>Internet Services &amp; Software</v>
      </c>
      <c r="AA563" s="6" t="str">
        <v>Programming Services;Internet Services &amp; Software</v>
      </c>
      <c r="AB563" s="6" t="str">
        <v>Primary Business not Hi-Tech;Computer Consulting Services;Programming Services;Internet Services &amp; Software;Telecommunications Equipment</v>
      </c>
      <c r="AH563" s="6" t="str">
        <v>False</v>
      </c>
      <c r="AI563" s="6" t="str">
        <v>2011</v>
      </c>
      <c r="AJ563" s="6" t="str">
        <v>Completed</v>
      </c>
      <c r="AM563" s="6" t="str">
        <v>Not Applicable</v>
      </c>
      <c r="AO563" s="6" t="str">
        <v>IRELAND - YouTube Inc of the US, a subsidiary of Google Inc acquired Green Parrot Pictures, a Dublin-based provider of online video services. Terms of the transaction were not disclosed</v>
      </c>
    </row>
    <row r="564">
      <c r="A564" s="6" t="str">
        <v>30303M</v>
      </c>
      <c r="B564" s="6" t="str">
        <v>United States</v>
      </c>
      <c r="C564" s="6" t="str">
        <v>Facebook Inc</v>
      </c>
      <c r="D564" s="6" t="str">
        <v>Facebook Inc</v>
      </c>
      <c r="F564" s="6" t="str">
        <v>Israel</v>
      </c>
      <c r="G564" s="6" t="str">
        <v>Snaptu Ltd</v>
      </c>
      <c r="H564" s="6" t="str">
        <v>Prepackaged Software</v>
      </c>
      <c r="I564" s="6" t="str">
        <v>83987Y</v>
      </c>
      <c r="J564" s="6" t="str">
        <v>Snaptu Ltd</v>
      </c>
      <c r="K564" s="6" t="str">
        <v>Snaptu Ltd</v>
      </c>
      <c r="L564" s="7">
        <f>=DATE(2011,3,20)</f>
        <v>40621.99949074074</v>
      </c>
      <c r="M564" s="7">
        <f>=DATE(2011,3,20)</f>
        <v>40621.99949074074</v>
      </c>
      <c r="W564" s="6" t="str">
        <v>Internet Services &amp; Software</v>
      </c>
      <c r="X564" s="6" t="str">
        <v>Other Software (inq. Games)</v>
      </c>
      <c r="Y564" s="6" t="str">
        <v>Other Software (inq. Games)</v>
      </c>
      <c r="Z564" s="6" t="str">
        <v>Other Software (inq. Games)</v>
      </c>
      <c r="AA564" s="6" t="str">
        <v>Internet Services &amp; Software</v>
      </c>
      <c r="AB564" s="6" t="str">
        <v>Internet Services &amp; Software</v>
      </c>
      <c r="AH564" s="6" t="str">
        <v>True</v>
      </c>
      <c r="AI564" s="6" t="str">
        <v>2011</v>
      </c>
      <c r="AJ564" s="6" t="str">
        <v>Completed</v>
      </c>
      <c r="AM564" s="6" t="str">
        <v>Financial Acquiror</v>
      </c>
      <c r="AO564" s="6" t="str">
        <v>ISRAEL - Facebook Inc of the US plans to acquire Snaptu Ltd, a Tel-Aviv-based developer of mobile software applications. Terms were not disclosed but, according to people familiar with the transaction, the deal was valued at an estimated ILS 247.296 mil (USD 70 mil).</v>
      </c>
    </row>
    <row r="565">
      <c r="A565" s="6" t="str">
        <v>38259P</v>
      </c>
      <c r="B565" s="6" t="str">
        <v>United States</v>
      </c>
      <c r="C565" s="6" t="str">
        <v>Google Inc</v>
      </c>
      <c r="D565" s="6" t="str">
        <v>Alphabet Inc</v>
      </c>
      <c r="F565" s="6" t="str">
        <v>United States</v>
      </c>
      <c r="G565" s="6" t="str">
        <v>TalkBin</v>
      </c>
      <c r="H565" s="6" t="str">
        <v>Business Services</v>
      </c>
      <c r="I565" s="6" t="str">
        <v>91099Y</v>
      </c>
      <c r="J565" s="6" t="str">
        <v>TalkBin</v>
      </c>
      <c r="K565" s="6" t="str">
        <v>TalkBin</v>
      </c>
      <c r="L565" s="7">
        <f>=DATE(2011,4,1)</f>
        <v>40633.99949074074</v>
      </c>
      <c r="M565" s="7">
        <f>=DATE(2011,4,1)</f>
        <v>40633.99949074074</v>
      </c>
      <c r="W565" s="6" t="str">
        <v>Internet Services &amp; Software;Programming Services</v>
      </c>
      <c r="X565" s="6" t="str">
        <v>Internet Services &amp; Software</v>
      </c>
      <c r="Y565" s="6" t="str">
        <v>Internet Services &amp; Software</v>
      </c>
      <c r="Z565" s="6" t="str">
        <v>Internet Services &amp; Software</v>
      </c>
      <c r="AA565" s="6" t="str">
        <v>Computer Consulting Services;Telecommunications Equipment;Primary Business not Hi-Tech;Internet Services &amp; Software;Programming Services</v>
      </c>
      <c r="AB565" s="6" t="str">
        <v>Primary Business not Hi-Tech;Internet Services &amp; Software;Programming Services;Telecommunications Equipment;Computer Consulting Services</v>
      </c>
      <c r="AH565" s="6" t="str">
        <v>False</v>
      </c>
      <c r="AI565" s="6" t="str">
        <v>2011</v>
      </c>
      <c r="AJ565" s="6" t="str">
        <v>Completed</v>
      </c>
      <c r="AM565" s="6" t="str">
        <v>Not Applicable</v>
      </c>
      <c r="AO565" s="6" t="str">
        <v>US - Google Inc acquired TalkBin, a Mountain View-based provider of mobile feedback services. Terms were not disclosed.</v>
      </c>
    </row>
    <row r="566">
      <c r="A566" s="6" t="str">
        <v>38259P</v>
      </c>
      <c r="B566" s="6" t="str">
        <v>United States</v>
      </c>
      <c r="C566" s="6" t="str">
        <v>Google Inc</v>
      </c>
      <c r="D566" s="6" t="str">
        <v>Alphabet Inc</v>
      </c>
      <c r="F566" s="6" t="str">
        <v>Germany</v>
      </c>
      <c r="G566" s="6" t="str">
        <v>Capital Stage AG-Solar Farm Brandenburg</v>
      </c>
      <c r="H566" s="6" t="str">
        <v>Electric, Gas, and Water Distribution</v>
      </c>
      <c r="I566" s="6" t="str">
        <v>14118Y</v>
      </c>
      <c r="J566" s="6" t="str">
        <v>Capital Stage AG</v>
      </c>
      <c r="K566" s="6" t="str">
        <v>Capital Stage AG</v>
      </c>
      <c r="L566" s="7">
        <f>=DATE(2011,4,7)</f>
        <v>40639.99949074074</v>
      </c>
      <c r="M566" s="7">
        <f>=DATE(2011,5,16)</f>
        <v>40678.99949074074</v>
      </c>
      <c r="W566" s="6" t="str">
        <v>Internet Services &amp; Software;Programming Services</v>
      </c>
      <c r="X566" s="6" t="str">
        <v>Semiconductors</v>
      </c>
      <c r="Y566" s="6" t="str">
        <v>Primary Business not Hi-Tech</v>
      </c>
      <c r="Z566" s="6" t="str">
        <v>Primary Business not Hi-Tech</v>
      </c>
      <c r="AA566" s="6" t="str">
        <v>Internet Services &amp; Software;Telecommunications Equipment;Primary Business not Hi-Tech;Computer Consulting Services;Programming Services</v>
      </c>
      <c r="AB566" s="6" t="str">
        <v>Internet Services &amp; Software;Telecommunications Equipment;Primary Business not Hi-Tech;Computer Consulting Services;Programming Services</v>
      </c>
      <c r="AH566" s="6" t="str">
        <v>False</v>
      </c>
      <c r="AI566" s="6" t="str">
        <v>2011</v>
      </c>
      <c r="AJ566" s="6" t="str">
        <v>Completed</v>
      </c>
      <c r="AM566" s="6" t="str">
        <v>Not Applicable</v>
      </c>
      <c r="AO566" s="6" t="str">
        <v>GERMANY - Google Inc of the US acquired a 49% stake in a solar farm located in Brandenburg of Capital Stage AG, a Hamburg-based private equity firm.</v>
      </c>
    </row>
    <row r="567">
      <c r="A567" s="6" t="str">
        <v>594918</v>
      </c>
      <c r="B567" s="6" t="str">
        <v>United States</v>
      </c>
      <c r="C567" s="6" t="str">
        <v>Microsoft Corp</v>
      </c>
      <c r="D567" s="6" t="str">
        <v>Microsoft Corp</v>
      </c>
      <c r="F567" s="6" t="str">
        <v>Japan</v>
      </c>
      <c r="G567" s="6" t="str">
        <v>Toyota Media Service Corp</v>
      </c>
      <c r="H567" s="6" t="str">
        <v>Advertising Services</v>
      </c>
      <c r="I567" s="6" t="str">
        <v>86021T</v>
      </c>
      <c r="J567" s="6" t="str">
        <v>Toyota Motor Corp</v>
      </c>
      <c r="K567" s="6" t="str">
        <v>Toyota Motor Corp</v>
      </c>
      <c r="L567" s="7">
        <f>=DATE(2011,4,7)</f>
        <v>40639.99949074074</v>
      </c>
      <c r="N567" s="8">
        <v>11.7716303708064</v>
      </c>
      <c r="O567" s="8">
        <v>11.7716303708064</v>
      </c>
      <c r="W567" s="6" t="str">
        <v>Applications Software(Business;Other Peripherals;Operating Systems;Computer Consulting Services;Monitors/Terminals;Internet Services &amp; Software</v>
      </c>
      <c r="X567" s="6" t="str">
        <v>Programming Services</v>
      </c>
      <c r="Y567" s="6" t="str">
        <v>Primary Business not Hi-Tech</v>
      </c>
      <c r="Z567" s="6" t="str">
        <v>Primary Business not Hi-Tech</v>
      </c>
      <c r="AA567" s="6" t="str">
        <v>Applications Software(Business;Internet Services &amp; Software;Operating Systems;Other Peripherals;Monitors/Terminals;Computer Consulting Services</v>
      </c>
      <c r="AB567" s="6" t="str">
        <v>Operating Systems;Applications Software(Business;Monitors/Terminals;Internet Services &amp; Software;Computer Consulting Services;Other Peripherals</v>
      </c>
      <c r="AC567" s="8">
        <v>11.7716303708064</v>
      </c>
      <c r="AD567" s="7">
        <f>=DATE(2011,4,8)</f>
        <v>40640.99949074074</v>
      </c>
      <c r="AH567" s="6" t="str">
        <v>False</v>
      </c>
      <c r="AJ567" s="6" t="str">
        <v>Pending</v>
      </c>
      <c r="AM567" s="6" t="str">
        <v>Not Applicable</v>
      </c>
      <c r="AO567" s="6" t="str">
        <v>JAPAN - Microsoft Corp of US planned to acquire undisclosed minority stake in Toyota Media Service Corp, a Nagoya, Aichi-based provider of web marketing services, and a wholly-owned unit of Toyota Motor Corp, for JPY 1 bil (USD 11.765 mil) in cash.</v>
      </c>
    </row>
    <row r="568">
      <c r="A568" s="6" t="str">
        <v>38259P</v>
      </c>
      <c r="B568" s="6" t="str">
        <v>United States</v>
      </c>
      <c r="C568" s="6" t="str">
        <v>Google Inc</v>
      </c>
      <c r="D568" s="6" t="str">
        <v>Alphabet Inc</v>
      </c>
      <c r="F568" s="6" t="str">
        <v>Canada</v>
      </c>
      <c r="G568" s="6" t="str">
        <v>PushLife Inc</v>
      </c>
      <c r="H568" s="6" t="str">
        <v>Prepackaged Software</v>
      </c>
      <c r="I568" s="6" t="str">
        <v>76543V</v>
      </c>
      <c r="J568" s="6" t="str">
        <v>PushLife Inc</v>
      </c>
      <c r="K568" s="6" t="str">
        <v>PushLife Inc</v>
      </c>
      <c r="L568" s="7">
        <f>=DATE(2011,4,11)</f>
        <v>40643.99949074074</v>
      </c>
      <c r="M568" s="7">
        <f>=DATE(2011,4,11)</f>
        <v>40643.99949074074</v>
      </c>
      <c r="W568" s="6" t="str">
        <v>Programming Services;Internet Services &amp; Software</v>
      </c>
      <c r="X568" s="6" t="str">
        <v>Other Software (inq. Games)</v>
      </c>
      <c r="Y568" s="6" t="str">
        <v>Other Software (inq. Games)</v>
      </c>
      <c r="Z568" s="6" t="str">
        <v>Other Software (inq. Games)</v>
      </c>
      <c r="AA568" s="6" t="str">
        <v>Programming Services;Telecommunications Equipment;Internet Services &amp; Software;Computer Consulting Services;Primary Business not Hi-Tech</v>
      </c>
      <c r="AB568" s="6" t="str">
        <v>Telecommunications Equipment;Programming Services;Primary Business not Hi-Tech;Computer Consulting Services;Internet Services &amp; Software</v>
      </c>
      <c r="AH568" s="6" t="str">
        <v>False</v>
      </c>
      <c r="AI568" s="6" t="str">
        <v>2011</v>
      </c>
      <c r="AJ568" s="6" t="str">
        <v>Completed</v>
      </c>
      <c r="AM568" s="6" t="str">
        <v>Not Applicable</v>
      </c>
      <c r="AO568" s="6" t="str">
        <v>CANADA - Google Inc of the US acquired PushLife Inc, a Toronto-based developer of mobile application services.</v>
      </c>
    </row>
    <row r="569">
      <c r="A569" s="6" t="str">
        <v>30303M</v>
      </c>
      <c r="B569" s="6" t="str">
        <v>United States</v>
      </c>
      <c r="C569" s="6" t="str">
        <v>Facebook Inc</v>
      </c>
      <c r="D569" s="6" t="str">
        <v>Facebook Inc</v>
      </c>
      <c r="E569" s="6" t="str">
        <v>Microsoft Corp;Facebook Inc</v>
      </c>
      <c r="F569" s="6" t="str">
        <v>Luxembourg</v>
      </c>
      <c r="G569" s="6" t="str">
        <v>Skype Technologies SA</v>
      </c>
      <c r="H569" s="6" t="str">
        <v>Prepackaged Software</v>
      </c>
      <c r="I569" s="6" t="str">
        <v>83021J</v>
      </c>
      <c r="J569" s="6" t="str">
        <v>Skype Global Sarl</v>
      </c>
      <c r="K569" s="6" t="str">
        <v>Skype Global Sarl</v>
      </c>
      <c r="L569" s="7">
        <f>=DATE(2011,5,5)</f>
        <v>40667.99949074074</v>
      </c>
      <c r="Q569" s="8" t="str">
        <v>;8,505.13</v>
      </c>
      <c r="W569" s="6" t="str">
        <v>Internet Services &amp; Software</v>
      </c>
      <c r="X569" s="6" t="str">
        <v>Communication/Network Software;Telecommunications Equipment;Internet Services &amp; Software</v>
      </c>
      <c r="Y569" s="6" t="str">
        <v>Communication/Network Software;Utilities/File Mgmt Software</v>
      </c>
      <c r="Z569" s="6" t="str">
        <v>Communication/Network Software;Utilities/File Mgmt Software</v>
      </c>
      <c r="AA569" s="6" t="str">
        <v>Internet Services &amp; Software</v>
      </c>
      <c r="AB569" s="6" t="str">
        <v>Internet Services &amp; Software</v>
      </c>
      <c r="AH569" s="6" t="str">
        <v>True</v>
      </c>
      <c r="AJ569" s="6" t="str">
        <v>Dismissed Rumor</v>
      </c>
      <c r="AM569" s="6" t="str">
        <v>Rumored Deal;Financial Acquiror</v>
      </c>
      <c r="AO569" s="6" t="str">
        <v>LUXEMBOURG - Facebook Inc of the US was rumoured to be in negotiations to acquire Skype technologies SA (Skype), a Luxembourg-based developer of prepackaged software. Concurrently, Google Inc was rumoured to be in negotiations to acquire Skype. Subsequently, Microsoft Corp was rumoured to be in negotiations to acquire Skype. The Current status of this deal is unknown.</v>
      </c>
    </row>
    <row r="570">
      <c r="A570" s="6" t="str">
        <v>38259P</v>
      </c>
      <c r="B570" s="6" t="str">
        <v>United States</v>
      </c>
      <c r="C570" s="6" t="str">
        <v>Google Inc</v>
      </c>
      <c r="D570" s="6" t="str">
        <v>Alphabet Inc</v>
      </c>
      <c r="E570" s="6" t="str">
        <v>Microsoft Corp;Facebook Inc</v>
      </c>
      <c r="F570" s="6" t="str">
        <v>Luxembourg</v>
      </c>
      <c r="G570" s="6" t="str">
        <v>Skype Sarl</v>
      </c>
      <c r="H570" s="6" t="str">
        <v>Prepackaged Software</v>
      </c>
      <c r="I570" s="6" t="str">
        <v>83888N</v>
      </c>
      <c r="J570" s="6" t="str">
        <v>Skype Global Sarl</v>
      </c>
      <c r="K570" s="6" t="str">
        <v>Skype Global Sarl</v>
      </c>
      <c r="L570" s="7">
        <f>=DATE(2011,5,5)</f>
        <v>40667.99949074074</v>
      </c>
      <c r="Q570" s="8" t="str">
        <v>;8,505.13</v>
      </c>
      <c r="R570" s="8">
        <v>42.8332553006488</v>
      </c>
      <c r="S570" s="8">
        <v>858.837535950773</v>
      </c>
      <c r="T570" s="8">
        <v>-86.86219836</v>
      </c>
      <c r="U570" s="8">
        <v>-35.023438352</v>
      </c>
      <c r="V570" s="8">
        <v>156.847470668</v>
      </c>
      <c r="W570" s="6" t="str">
        <v>Programming Services;Internet Services &amp; Software</v>
      </c>
      <c r="X570" s="6" t="str">
        <v>Telecommunications Equipment;Internet Services &amp; Software;Communication/Network Software</v>
      </c>
      <c r="Y570" s="6" t="str">
        <v>Communication/Network Software;Utilities/File Mgmt Software</v>
      </c>
      <c r="Z570" s="6" t="str">
        <v>Communication/Network Software;Utilities/File Mgmt Software</v>
      </c>
      <c r="AA570" s="6" t="str">
        <v>Internet Services &amp; Software;Telecommunications Equipment;Programming Services;Computer Consulting Services;Primary Business not Hi-Tech</v>
      </c>
      <c r="AB570" s="6" t="str">
        <v>Computer Consulting Services;Programming Services;Telecommunications Equipment;Primary Business not Hi-Tech;Internet Services &amp; Software</v>
      </c>
      <c r="AH570" s="6" t="str">
        <v>True</v>
      </c>
      <c r="AJ570" s="6" t="str">
        <v>Dismissed Rumor</v>
      </c>
      <c r="AM570" s="6" t="str">
        <v>Rumored Deal</v>
      </c>
      <c r="AN570" s="8">
        <v>3007.04434485988</v>
      </c>
      <c r="AO570" s="6" t="str">
        <v>LUXEMBOURG - Google Inc of the US was rumoured to be in negotiations to acquire Skype Sarl (Skype), a Luxembourg-based developer of prepackaged software. Concurrently, Facebook Inc was rumoured to be in negotiations to acquire Skype. Subsequently, Microsoft Corp was rumoured to be in negotiations to acquire Skype. The Current status of this deal is unknown.</v>
      </c>
    </row>
    <row r="571">
      <c r="A571" s="6" t="str">
        <v>594918</v>
      </c>
      <c r="B571" s="6" t="str">
        <v>United States</v>
      </c>
      <c r="C571" s="6" t="str">
        <v>Microsoft Corp</v>
      </c>
      <c r="D571" s="6" t="str">
        <v>Microsoft Corp</v>
      </c>
      <c r="F571" s="6" t="str">
        <v>Luxembourg</v>
      </c>
      <c r="G571" s="6" t="str">
        <v>Skype Global Sarl</v>
      </c>
      <c r="H571" s="6" t="str">
        <v>Prepackaged Software</v>
      </c>
      <c r="I571" s="6" t="str">
        <v>81412X</v>
      </c>
      <c r="J571" s="6" t="str">
        <v>Skype Global Sarl</v>
      </c>
      <c r="K571" s="6" t="str">
        <v>Skype Global Sarl</v>
      </c>
      <c r="L571" s="7">
        <f>=DATE(2011,5,10)</f>
        <v>40672.99949074074</v>
      </c>
      <c r="M571" s="7">
        <f>=DATE(2011,10,13)</f>
        <v>40828.99949074074</v>
      </c>
      <c r="N571" s="8">
        <v>8505.12724765899</v>
      </c>
      <c r="O571" s="8">
        <v>8505.12724765899</v>
      </c>
      <c r="P571" s="8" t="str">
        <v>8,497.22</v>
      </c>
      <c r="R571" s="8">
        <v>6.89719751187212</v>
      </c>
      <c r="S571" s="8">
        <v>858.837535950773</v>
      </c>
      <c r="T571" s="8">
        <v>-86.86219836</v>
      </c>
      <c r="U571" s="8">
        <v>-35.023438352</v>
      </c>
      <c r="V571" s="8">
        <v>156.847470668</v>
      </c>
      <c r="W571" s="6" t="str">
        <v>Other Peripherals;Operating Systems;Applications Software(Business;Computer Consulting Services;Monitors/Terminals;Internet Services &amp; Software</v>
      </c>
      <c r="X571" s="6" t="str">
        <v>Communication/Network Software;Utilities/File Mgmt Software</v>
      </c>
      <c r="Y571" s="6" t="str">
        <v>Utilities/File Mgmt Software;Communication/Network Software</v>
      </c>
      <c r="Z571" s="6" t="str">
        <v>Utilities/File Mgmt Software;Communication/Network Software</v>
      </c>
      <c r="AA571" s="6" t="str">
        <v>Computer Consulting Services;Internet Services &amp; Software;Applications Software(Business;Other Peripherals;Monitors/Terminals;Operating Systems</v>
      </c>
      <c r="AB571" s="6" t="str">
        <v>Other Peripherals;Applications Software(Business;Monitors/Terminals;Computer Consulting Services;Operating Systems;Internet Services &amp; Software</v>
      </c>
      <c r="AC571" s="8">
        <v>8505.12724765899</v>
      </c>
      <c r="AD571" s="7">
        <f>=DATE(2011,5,10)</f>
        <v>40672.99949074074</v>
      </c>
      <c r="AE571" s="8">
        <v>8498.32727374045</v>
      </c>
      <c r="AF571" s="8" t="str">
        <v>9,150.76</v>
      </c>
      <c r="AG571" s="8" t="str">
        <v>8,749.32</v>
      </c>
      <c r="AH571" s="6" t="str">
        <v>True</v>
      </c>
      <c r="AI571" s="6" t="str">
        <v>2011</v>
      </c>
      <c r="AJ571" s="6" t="str">
        <v>Completed</v>
      </c>
      <c r="AK571" s="8">
        <v>8498.32727374045</v>
      </c>
      <c r="AL571" s="8">
        <v>9.433734</v>
      </c>
      <c r="AM571" s="6" t="str">
        <v>Rumored Deal</v>
      </c>
      <c r="AN571" s="8">
        <v>3007.04434485988</v>
      </c>
      <c r="AO571" s="6" t="str">
        <v>LUXEMBOURG - Microsoft Corp (Microsoft) of the US acquired Skype Global Sarl (Skype), a Luxembourg-based developer of prepackaged software, from Silver Lake Partners, eBay International AG, Canada Pension Plan Investment Board, Joltid Ltd, Europlay Capital Advisors and Andreessen Horowitz, for EUR 5.922 bil (USD 8.5 bil) in cash. Originally, Microsoft was rumored to be planning to acquire Skype.</v>
      </c>
    </row>
    <row r="572">
      <c r="A572" s="6" t="str">
        <v>594918</v>
      </c>
      <c r="B572" s="6" t="str">
        <v>United States</v>
      </c>
      <c r="C572" s="6" t="str">
        <v>Microsoft Corp</v>
      </c>
      <c r="D572" s="6" t="str">
        <v>Microsoft Corp</v>
      </c>
      <c r="F572" s="6" t="str">
        <v>Finland</v>
      </c>
      <c r="G572" s="6" t="str">
        <v>Nokia Oyj-Handset Division</v>
      </c>
      <c r="H572" s="6" t="str">
        <v>Communications Equipment</v>
      </c>
      <c r="I572" s="6" t="str">
        <v>65873H</v>
      </c>
      <c r="J572" s="6" t="str">
        <v>Nokia Oyj</v>
      </c>
      <c r="K572" s="6" t="str">
        <v>Nokia Oyj</v>
      </c>
      <c r="L572" s="7">
        <f>=DATE(2011,5,17)</f>
        <v>40679.99949074074</v>
      </c>
      <c r="W572" s="6" t="str">
        <v>Computer Consulting Services;Other Peripherals;Monitors/Terminals;Internet Services &amp; Software;Operating Systems;Applications Software(Business</v>
      </c>
      <c r="X572" s="6" t="str">
        <v>Other Telecommunications Equip</v>
      </c>
      <c r="Y572" s="6" t="str">
        <v>Communication/Network Software;Other Telecommunications Equip;Other Software (inq. Games);Telephone Interconnect Equip;Satellite Communications;Internet Services &amp; Software</v>
      </c>
      <c r="Z572" s="6" t="str">
        <v>Telephone Interconnect Equip;Internet Services &amp; Software;Other Software (inq. Games);Other Telecommunications Equip;Satellite Communications;Communication/Network Software</v>
      </c>
      <c r="AA572" s="6" t="str">
        <v>Computer Consulting Services;Operating Systems;Internet Services &amp; Software;Monitors/Terminals;Other Peripherals;Applications Software(Business</v>
      </c>
      <c r="AB572" s="6" t="str">
        <v>Monitors/Terminals;Applications Software(Business;Internet Services &amp; Software;Operating Systems;Other Peripherals;Computer Consulting Services</v>
      </c>
      <c r="AH572" s="6" t="str">
        <v>False</v>
      </c>
      <c r="AJ572" s="6" t="str">
        <v>Dismissed Rumor</v>
      </c>
      <c r="AM572" s="6" t="str">
        <v>Divestiture;Rumored Deal</v>
      </c>
      <c r="AO572" s="6" t="str">
        <v>FINLAND - Microsoft Corp of the US, discontinued rumor that it was planning to acquire handset division of Nokia Oyj, an Espoo-based manufacturer and wholesaler of mobile phones.</v>
      </c>
    </row>
    <row r="573">
      <c r="A573" s="6" t="str">
        <v>38259P</v>
      </c>
      <c r="B573" s="6" t="str">
        <v>United States</v>
      </c>
      <c r="C573" s="6" t="str">
        <v>Google Inc</v>
      </c>
      <c r="D573" s="6" t="str">
        <v>Alphabet Inc</v>
      </c>
      <c r="F573" s="6" t="str">
        <v>United States</v>
      </c>
      <c r="G573" s="6" t="str">
        <v>Sparkbuy Inc</v>
      </c>
      <c r="H573" s="6" t="str">
        <v>Business Services</v>
      </c>
      <c r="I573" s="6" t="str">
        <v>84806C</v>
      </c>
      <c r="J573" s="6" t="str">
        <v>Sparkbuy Inc</v>
      </c>
      <c r="K573" s="6" t="str">
        <v>Sparkbuy Inc</v>
      </c>
      <c r="L573" s="7">
        <f>=DATE(2011,5,23)</f>
        <v>40685.99949074074</v>
      </c>
      <c r="M573" s="7">
        <f>=DATE(2011,5,23)</f>
        <v>40685.99949074074</v>
      </c>
      <c r="W573" s="6" t="str">
        <v>Internet Services &amp; Software;Programming Services</v>
      </c>
      <c r="X573" s="6" t="str">
        <v>Internet Services &amp; Software</v>
      </c>
      <c r="Y573" s="6" t="str">
        <v>Internet Services &amp; Software</v>
      </c>
      <c r="Z573" s="6" t="str">
        <v>Internet Services &amp; Software</v>
      </c>
      <c r="AA573" s="6" t="str">
        <v>Computer Consulting Services;Telecommunications Equipment;Primary Business not Hi-Tech;Internet Services &amp; Software;Programming Services</v>
      </c>
      <c r="AB573" s="6" t="str">
        <v>Telecommunications Equipment;Programming Services;Computer Consulting Services;Internet Services &amp; Software;Primary Business not Hi-Tech</v>
      </c>
      <c r="AH573" s="6" t="str">
        <v>False</v>
      </c>
      <c r="AI573" s="6" t="str">
        <v>2011</v>
      </c>
      <c r="AJ573" s="6" t="str">
        <v>Completed</v>
      </c>
      <c r="AM573" s="6" t="str">
        <v>Not Applicable</v>
      </c>
      <c r="AO573" s="6" t="str">
        <v>US - Google Inc acquired Sparkbuy Inc, a Seattle-based provider of product search engine services. Terms were not disclosed.</v>
      </c>
    </row>
    <row r="574">
      <c r="A574" s="6" t="str">
        <v>38259P</v>
      </c>
      <c r="B574" s="6" t="str">
        <v>United States</v>
      </c>
      <c r="C574" s="6" t="str">
        <v>Google Inc</v>
      </c>
      <c r="D574" s="6" t="str">
        <v>Alphabet Inc</v>
      </c>
      <c r="F574" s="6" t="str">
        <v>Canada</v>
      </c>
      <c r="G574" s="6" t="str">
        <v>PostRank Inc</v>
      </c>
      <c r="H574" s="6" t="str">
        <v>Business Services</v>
      </c>
      <c r="I574" s="6" t="str">
        <v>76581M</v>
      </c>
      <c r="J574" s="6" t="str">
        <v>PostRank Inc</v>
      </c>
      <c r="K574" s="6" t="str">
        <v>PostRank Inc</v>
      </c>
      <c r="L574" s="7">
        <f>=DATE(2011,6,3)</f>
        <v>40696.99949074074</v>
      </c>
      <c r="M574" s="7">
        <f>=DATE(2011,6,3)</f>
        <v>40696.99949074074</v>
      </c>
      <c r="W574" s="6" t="str">
        <v>Internet Services &amp; Software;Programming Services</v>
      </c>
      <c r="X574" s="6" t="str">
        <v>Other Computer Related Svcs;Computer Consulting Services;Networking Systems (LAN,WAN);Internet Services &amp; Software</v>
      </c>
      <c r="Y574" s="6" t="str">
        <v>Networking Systems (LAN,WAN);Other Computer Related Svcs;Internet Services &amp; Software;Computer Consulting Services</v>
      </c>
      <c r="Z574" s="6" t="str">
        <v>Internet Services &amp; Software;Networking Systems (LAN,WAN);Computer Consulting Services;Other Computer Related Svcs</v>
      </c>
      <c r="AA574" s="6" t="str">
        <v>Programming Services;Telecommunications Equipment;Primary Business not Hi-Tech;Internet Services &amp; Software;Computer Consulting Services</v>
      </c>
      <c r="AB574" s="6" t="str">
        <v>Computer Consulting Services;Programming Services;Telecommunications Equipment;Internet Services &amp; Software;Primary Business not Hi-Tech</v>
      </c>
      <c r="AH574" s="6" t="str">
        <v>False</v>
      </c>
      <c r="AI574" s="6" t="str">
        <v>2011</v>
      </c>
      <c r="AJ574" s="6" t="str">
        <v>Completed</v>
      </c>
      <c r="AM574" s="6" t="str">
        <v>Not Applicable</v>
      </c>
      <c r="AO574" s="6" t="str">
        <v>CANADA - Google Inc of the US acquired PostRank Inc, a Waterloo-based provider of online monitoring and collection of monitors and collects social engagement events services. Terms were not disclosed.</v>
      </c>
    </row>
    <row r="575">
      <c r="A575" s="6" t="str">
        <v>30303M</v>
      </c>
      <c r="B575" s="6" t="str">
        <v>United States</v>
      </c>
      <c r="C575" s="6" t="str">
        <v>Facebook Inc</v>
      </c>
      <c r="D575" s="6" t="str">
        <v>Facebook Inc</v>
      </c>
      <c r="F575" s="6" t="str">
        <v>Netherlands</v>
      </c>
      <c r="G575" s="6" t="str">
        <v>Sofa BV</v>
      </c>
      <c r="H575" s="6" t="str">
        <v>Prepackaged Software</v>
      </c>
      <c r="I575" s="6" t="str">
        <v>81403E</v>
      </c>
      <c r="J575" s="6" t="str">
        <v>Sofa BV</v>
      </c>
      <c r="K575" s="6" t="str">
        <v>Sofa BV</v>
      </c>
      <c r="L575" s="7">
        <f>=DATE(2011,6,9)</f>
        <v>40702.99949074074</v>
      </c>
      <c r="M575" s="7">
        <f>=DATE(2011,6,9)</f>
        <v>40702.99949074074</v>
      </c>
      <c r="W575" s="6" t="str">
        <v>Internet Services &amp; Software</v>
      </c>
      <c r="X575" s="6" t="str">
        <v>Applications Software(Business</v>
      </c>
      <c r="Y575" s="6" t="str">
        <v>Applications Software(Business</v>
      </c>
      <c r="Z575" s="6" t="str">
        <v>Applications Software(Business</v>
      </c>
      <c r="AA575" s="6" t="str">
        <v>Internet Services &amp; Software</v>
      </c>
      <c r="AB575" s="6" t="str">
        <v>Internet Services &amp; Software</v>
      </c>
      <c r="AH575" s="6" t="str">
        <v>True</v>
      </c>
      <c r="AI575" s="6" t="str">
        <v>2011</v>
      </c>
      <c r="AJ575" s="6" t="str">
        <v>Completed</v>
      </c>
      <c r="AM575" s="6" t="str">
        <v>Financial Acquiror</v>
      </c>
      <c r="AO575" s="6" t="str">
        <v>NETHERLANDS - Facebook Inc of the US, acquired Sofa, an Amsterdam-based developer of prepackaged software.</v>
      </c>
    </row>
    <row r="576">
      <c r="A576" s="6" t="str">
        <v>38259P</v>
      </c>
      <c r="B576" s="6" t="str">
        <v>United States</v>
      </c>
      <c r="C576" s="6" t="str">
        <v>Google Inc</v>
      </c>
      <c r="D576" s="6" t="str">
        <v>Alphabet Inc</v>
      </c>
      <c r="F576" s="6" t="str">
        <v>United States</v>
      </c>
      <c r="G576" s="6" t="str">
        <v>Admeld Inc</v>
      </c>
      <c r="H576" s="6" t="str">
        <v>Business Services</v>
      </c>
      <c r="I576" s="6" t="str">
        <v>01726Y</v>
      </c>
      <c r="J576" s="6" t="str">
        <v>Admeld Inc</v>
      </c>
      <c r="K576" s="6" t="str">
        <v>Admeld Inc</v>
      </c>
      <c r="L576" s="7">
        <f>=DATE(2011,6,13)</f>
        <v>40706.99949074074</v>
      </c>
      <c r="M576" s="7">
        <f>=DATE(2011,12,6)</f>
        <v>40882.99949074074</v>
      </c>
      <c r="W576" s="6" t="str">
        <v>Internet Services &amp; Software;Programming Services</v>
      </c>
      <c r="X576" s="6" t="str">
        <v>Networking Systems (LAN,WAN);Internet Services &amp; Software</v>
      </c>
      <c r="Y576" s="6" t="str">
        <v>Internet Services &amp; Software;Networking Systems (LAN,WAN)</v>
      </c>
      <c r="Z576" s="6" t="str">
        <v>Internet Services &amp; Software;Networking Systems (LAN,WAN)</v>
      </c>
      <c r="AA576" s="6" t="str">
        <v>Internet Services &amp; Software;Programming Services;Computer Consulting Services;Telecommunications Equipment;Primary Business not Hi-Tech</v>
      </c>
      <c r="AB576" s="6" t="str">
        <v>Primary Business not Hi-Tech;Telecommunications Equipment;Internet Services &amp; Software;Programming Services;Computer Consulting Services</v>
      </c>
      <c r="AH576" s="6" t="str">
        <v>False</v>
      </c>
      <c r="AI576" s="6" t="str">
        <v>2011</v>
      </c>
      <c r="AJ576" s="6" t="str">
        <v>Completed</v>
      </c>
      <c r="AM576" s="6" t="str">
        <v>Rumored Deal</v>
      </c>
      <c r="AO576" s="6" t="str">
        <v>US - Google Inc acquired Admeld Inc, a New York-based provider of online advertising optimization platform services. Terms were not disclosed but, according to sources close to the situation, the deal was valued at an estimated USD 400 mil.</v>
      </c>
    </row>
    <row r="577">
      <c r="A577" s="6" t="str">
        <v>67020Y</v>
      </c>
      <c r="B577" s="6" t="str">
        <v>United States</v>
      </c>
      <c r="C577" s="6" t="str">
        <v>Nuance Communications Inc</v>
      </c>
      <c r="D577" s="6" t="str">
        <v>Nuance Communications Inc</v>
      </c>
      <c r="F577" s="6" t="str">
        <v>Switzerland</v>
      </c>
      <c r="G577" s="6" t="str">
        <v>SVOX AG</v>
      </c>
      <c r="H577" s="6" t="str">
        <v>Prepackaged Software</v>
      </c>
      <c r="I577" s="6" t="str">
        <v>88795J</v>
      </c>
      <c r="J577" s="6" t="str">
        <v>SVOX AG</v>
      </c>
      <c r="K577" s="6" t="str">
        <v>SVOX AG</v>
      </c>
      <c r="L577" s="7">
        <f>=DATE(2011,6,16)</f>
        <v>40709.99949074074</v>
      </c>
      <c r="M577" s="7">
        <f>=DATE(2011,6,16)</f>
        <v>40709.99949074074</v>
      </c>
      <c r="W577" s="6" t="str">
        <v>Desktop Publishing;Database Software/Programming;Utilities/File Mgmt Software;Other Computer Related Svcs;Programming Services;Computer Consulting Services;Applications Software(Business;Primary Business not Hi-Tech;Networking Systems (LAN,WAN);Other Software (inq. Games);Internet Services &amp; Software;Communication/Network Software;Applications Software(Home)</v>
      </c>
      <c r="X577" s="6" t="str">
        <v>Other Computer Related Svcs;Other Software (inq. Games)</v>
      </c>
      <c r="Y577" s="6" t="str">
        <v>Other Computer Related Svcs;Other Software (inq. Games)</v>
      </c>
      <c r="Z577" s="6" t="str">
        <v>Other Software (inq. Games);Other Computer Related Svcs</v>
      </c>
      <c r="AA577" s="6" t="str">
        <v>Networking Systems (LAN,WAN);Applications Software(Business;Internet Services &amp; Software;Database Software/Programming;Utilities/File Mgmt Software;Other Computer Related Svcs;Applications Software(Home);Desktop Publishing;Computer Consulting Services;Other Software (inq. Games);Programming Services;Primary Business not Hi-Tech;Communication/Network Software</v>
      </c>
      <c r="AB577" s="6" t="str">
        <v>Utilities/File Mgmt Software;Other Computer Related Svcs;Database Software/Programming;Desktop Publishing;Computer Consulting Services;Communication/Network Software;Internet Services &amp; Software;Networking Systems (LAN,WAN);Applications Software(Home);Applications Software(Business;Primary Business not Hi-Tech;Other Software (inq. Games);Programming Services</v>
      </c>
      <c r="AH577" s="6" t="str">
        <v>False</v>
      </c>
      <c r="AI577" s="6" t="str">
        <v>2011</v>
      </c>
      <c r="AJ577" s="6" t="str">
        <v>Completed</v>
      </c>
      <c r="AM577" s="6" t="str">
        <v>Financial Acquiror</v>
      </c>
      <c r="AO577" s="6" t="str">
        <v>SWITZERLAND - Nuance Communications Inc, of the US, acquired SVOX AG, a Zurich-based provider of embedded speech solutions for the automotive and mobile device industries.</v>
      </c>
    </row>
    <row r="578">
      <c r="A578" s="6" t="str">
        <v>38259P</v>
      </c>
      <c r="B578" s="6" t="str">
        <v>United States</v>
      </c>
      <c r="C578" s="6" t="str">
        <v>Google Inc</v>
      </c>
      <c r="D578" s="6" t="str">
        <v>Alphabet Inc</v>
      </c>
      <c r="F578" s="6" t="str">
        <v>United States</v>
      </c>
      <c r="G578" s="6" t="str">
        <v>SageTV LLC</v>
      </c>
      <c r="H578" s="6" t="str">
        <v>Prepackaged Software</v>
      </c>
      <c r="I578" s="6" t="str">
        <v>79413M</v>
      </c>
      <c r="J578" s="6" t="str">
        <v>SageTV LLC</v>
      </c>
      <c r="K578" s="6" t="str">
        <v>SageTV LLC</v>
      </c>
      <c r="L578" s="7">
        <f>=DATE(2011,6,20)</f>
        <v>40713.99949074074</v>
      </c>
      <c r="M578" s="7">
        <f>=DATE(2011,6,20)</f>
        <v>40713.99949074074</v>
      </c>
      <c r="W578" s="6" t="str">
        <v>Internet Services &amp; Software;Programming Services</v>
      </c>
      <c r="X578" s="6" t="str">
        <v>Applications Software(Business</v>
      </c>
      <c r="Y578" s="6" t="str">
        <v>Applications Software(Business</v>
      </c>
      <c r="Z578" s="6" t="str">
        <v>Applications Software(Business</v>
      </c>
      <c r="AA578" s="6" t="str">
        <v>Telecommunications Equipment;Primary Business not Hi-Tech;Programming Services;Computer Consulting Services;Internet Services &amp; Software</v>
      </c>
      <c r="AB578" s="6" t="str">
        <v>Internet Services &amp; Software;Telecommunications Equipment;Primary Business not Hi-Tech;Computer Consulting Services;Programming Services</v>
      </c>
      <c r="AH578" s="6" t="str">
        <v>False</v>
      </c>
      <c r="AI578" s="6" t="str">
        <v>2011</v>
      </c>
      <c r="AJ578" s="6" t="str">
        <v>Completed</v>
      </c>
      <c r="AM578" s="6" t="str">
        <v>Not Applicable</v>
      </c>
      <c r="AO578" s="6" t="str">
        <v>US - Google Inc acquired SageTV LLC, an Inglewood-based developer of digital video recording and home theater PC software. Terms were not disclosed.</v>
      </c>
    </row>
    <row r="579">
      <c r="A579" s="6" t="str">
        <v>38259P</v>
      </c>
      <c r="B579" s="6" t="str">
        <v>United States</v>
      </c>
      <c r="C579" s="6" t="str">
        <v>Google Inc</v>
      </c>
      <c r="D579" s="6" t="str">
        <v>Alphabet Inc</v>
      </c>
      <c r="F579" s="6" t="str">
        <v>United States</v>
      </c>
      <c r="G579" s="6" t="str">
        <v>Punchd Labs Inc</v>
      </c>
      <c r="H579" s="6" t="str">
        <v>Business Services</v>
      </c>
      <c r="I579" s="6" t="str">
        <v>76594Y</v>
      </c>
      <c r="J579" s="6" t="str">
        <v>Punchd Labs Inc</v>
      </c>
      <c r="K579" s="6" t="str">
        <v>Punchd Labs Inc</v>
      </c>
      <c r="L579" s="7">
        <f>=DATE(2011,7,11)</f>
        <v>40734.99949074074</v>
      </c>
      <c r="M579" s="7">
        <f>=DATE(2011,7,11)</f>
        <v>40734.99949074074</v>
      </c>
      <c r="W579" s="6" t="str">
        <v>Programming Services;Internet Services &amp; Software</v>
      </c>
      <c r="X579" s="6" t="str">
        <v>Internet Services &amp; Software;Communication/Network Software</v>
      </c>
      <c r="Y579" s="6" t="str">
        <v>Internet Services &amp; Software;Communication/Network Software</v>
      </c>
      <c r="Z579" s="6" t="str">
        <v>Internet Services &amp; Software;Communication/Network Software</v>
      </c>
      <c r="AA579" s="6" t="str">
        <v>Computer Consulting Services;Telecommunications Equipment;Primary Business not Hi-Tech;Internet Services &amp; Software;Programming Services</v>
      </c>
      <c r="AB579" s="6" t="str">
        <v>Primary Business not Hi-Tech;Programming Services;Telecommunications Equipment;Internet Services &amp; Software;Computer Consulting Services</v>
      </c>
      <c r="AH579" s="6" t="str">
        <v>False</v>
      </c>
      <c r="AI579" s="6" t="str">
        <v>2011</v>
      </c>
      <c r="AJ579" s="6" t="str">
        <v>Completed</v>
      </c>
      <c r="AM579" s="6" t="str">
        <v>Not Applicable</v>
      </c>
      <c r="AO579" s="6" t="str">
        <v>US - Google Inc acquired Punchd Labs Inc, a Sacramento-based provider of digital loyalty card services. Terms were not disclosed but, according to people familiar with the transaction, the deal was valued at an estimated USD 10 mil.</v>
      </c>
    </row>
    <row r="580">
      <c r="A580" s="6" t="str">
        <v>037833</v>
      </c>
      <c r="B580" s="6" t="str">
        <v>United States</v>
      </c>
      <c r="C580" s="6" t="str">
        <v>Apple Inc</v>
      </c>
      <c r="D580" s="6" t="str">
        <v>Apple Inc</v>
      </c>
      <c r="F580" s="6" t="str">
        <v>Sweden</v>
      </c>
      <c r="G580" s="6" t="str">
        <v>C3 Technologies AB</v>
      </c>
      <c r="H580" s="6" t="str">
        <v>Business Services</v>
      </c>
      <c r="I580" s="6" t="str">
        <v>22950Q</v>
      </c>
      <c r="J580" s="6" t="str">
        <v>Saab AB</v>
      </c>
      <c r="K580" s="6" t="str">
        <v>Saab AB</v>
      </c>
      <c r="L580" s="7">
        <f>=DATE(2011,7,14)</f>
        <v>40737.99949074074</v>
      </c>
      <c r="M580" s="7">
        <f>=DATE(2011,7,19)</f>
        <v>40742.99949074074</v>
      </c>
      <c r="N580" s="8">
        <v>155.288106377739</v>
      </c>
      <c r="O580" s="8">
        <v>155.288106377739</v>
      </c>
      <c r="P580" s="8" t="str">
        <v>243.80</v>
      </c>
      <c r="S580" s="8">
        <v>1.01058629647217</v>
      </c>
      <c r="W580" s="6" t="str">
        <v>Micro-Computers (PCs);Mainframes &amp; Super Computers;Other Peripherals;Portable Computers;Printers;Disk Drives;Monitors/Terminals;Other Software (inq. Games)</v>
      </c>
      <c r="X580" s="6" t="str">
        <v>Other Software (inq. Games)</v>
      </c>
      <c r="Y580" s="6" t="str">
        <v>Primary Business not Hi-Tech;Lasers(Excluding Medical);Data Commun(Exclude networking;Defense Related;Other Telecommunications Equip;Search, Detection, Navigation;Satellite Communications</v>
      </c>
      <c r="Z580" s="6" t="str">
        <v>Defense Related;Search, Detection, Navigation;Lasers(Excluding Medical);Satellite Communications;Data Commun(Exclude networking;Other Telecommunications Equip;Primary Business not Hi-Tech</v>
      </c>
      <c r="AA580" s="6" t="str">
        <v>Other Software (inq. Games);Other Peripherals;Mainframes &amp; Super Computers;Disk Drives;Printers;Micro-Computers (PCs);Monitors/Terminals;Portable Computers</v>
      </c>
      <c r="AB580" s="6" t="str">
        <v>Other Peripherals;Micro-Computers (PCs);Mainframes &amp; Super Computers;Other Software (inq. Games);Monitors/Terminals;Disk Drives;Printers;Portable Computers</v>
      </c>
      <c r="AC580" s="8">
        <v>155.288106377739</v>
      </c>
      <c r="AD580" s="7">
        <f>=DATE(2011,7,14)</f>
        <v>40737.99949074074</v>
      </c>
      <c r="AF580" s="8" t="str">
        <v>268.66</v>
      </c>
      <c r="AG580" s="8" t="str">
        <v>268.57</v>
      </c>
      <c r="AH580" s="6" t="str">
        <v>True</v>
      </c>
      <c r="AI580" s="6" t="str">
        <v>2011</v>
      </c>
      <c r="AJ580" s="6" t="str">
        <v>Completed</v>
      </c>
      <c r="AM580" s="6" t="str">
        <v>Divestiture</v>
      </c>
      <c r="AO580" s="6" t="str">
        <v>SWEDEN - Apple Inc of the US acquired 57.8% interest in C3 Technologies AB, a Linkoping-based provider of 3D mapping services to an undisclosed acquiror, from Saab AB, for an estimated SEK 1.009 bil (USD 155.396 mil) in cash.</v>
      </c>
    </row>
    <row r="581">
      <c r="A581" s="6" t="str">
        <v>38259P</v>
      </c>
      <c r="B581" s="6" t="str">
        <v>United States</v>
      </c>
      <c r="C581" s="6" t="str">
        <v>Google Inc</v>
      </c>
      <c r="D581" s="6" t="str">
        <v>Alphabet Inc</v>
      </c>
      <c r="F581" s="6" t="str">
        <v>United States</v>
      </c>
      <c r="G581" s="6" t="str">
        <v>Fridge</v>
      </c>
      <c r="H581" s="6" t="str">
        <v>Business Services</v>
      </c>
      <c r="I581" s="6" t="str">
        <v>25729C</v>
      </c>
      <c r="J581" s="6" t="str">
        <v>Fridge</v>
      </c>
      <c r="K581" s="6" t="str">
        <v>Fridge</v>
      </c>
      <c r="L581" s="7">
        <f>=DATE(2011,7,21)</f>
        <v>40744.99949074074</v>
      </c>
      <c r="M581" s="7">
        <f>=DATE(2011,7,21)</f>
        <v>40744.99949074074</v>
      </c>
      <c r="W581" s="6" t="str">
        <v>Internet Services &amp; Software;Programming Services</v>
      </c>
      <c r="X581" s="6" t="str">
        <v>Internet Services &amp; Software</v>
      </c>
      <c r="Y581" s="6" t="str">
        <v>Internet Services &amp; Software</v>
      </c>
      <c r="Z581" s="6" t="str">
        <v>Internet Services &amp; Software</v>
      </c>
      <c r="AA581" s="6" t="str">
        <v>Telecommunications Equipment;Programming Services;Computer Consulting Services;Internet Services &amp; Software;Primary Business not Hi-Tech</v>
      </c>
      <c r="AB581" s="6" t="str">
        <v>Telecommunications Equipment;Programming Services;Primary Business not Hi-Tech;Computer Consulting Services;Internet Services &amp; Software</v>
      </c>
      <c r="AH581" s="6" t="str">
        <v>False</v>
      </c>
      <c r="AI581" s="6" t="str">
        <v>2011</v>
      </c>
      <c r="AJ581" s="6" t="str">
        <v>Completed</v>
      </c>
      <c r="AM581" s="6" t="str">
        <v>Not Applicable</v>
      </c>
      <c r="AO581" s="6" t="str">
        <v>US - Google Inc acquired Fridge, a New York-based provider of social networking services. The terms of the transaction were not disclosed.</v>
      </c>
    </row>
    <row r="582">
      <c r="A582" s="6" t="str">
        <v>38259P</v>
      </c>
      <c r="B582" s="6" t="str">
        <v>United States</v>
      </c>
      <c r="C582" s="6" t="str">
        <v>Google Inc</v>
      </c>
      <c r="D582" s="6" t="str">
        <v>Alphabet Inc</v>
      </c>
      <c r="F582" s="6" t="str">
        <v>United States</v>
      </c>
      <c r="G582" s="6" t="str">
        <v>Pittsburgh Pattern Recognition {PittPatt}</v>
      </c>
      <c r="H582" s="6" t="str">
        <v>Prepackaged Software</v>
      </c>
      <c r="I582" s="6" t="str">
        <v>72530T</v>
      </c>
      <c r="J582" s="6" t="str">
        <v>Pittsburgh Pattern Recognition {PittPatt}</v>
      </c>
      <c r="K582" s="6" t="str">
        <v>Pittsburgh Pattern Recognition {PittPatt}</v>
      </c>
      <c r="L582" s="7">
        <f>=DATE(2011,7,24)</f>
        <v>40747.99949074074</v>
      </c>
      <c r="M582" s="7">
        <f>=DATE(2011,7,24)</f>
        <v>40747.99949074074</v>
      </c>
      <c r="W582" s="6" t="str">
        <v>Programming Services;Internet Services &amp; Software</v>
      </c>
      <c r="X582" s="6" t="str">
        <v>Other Software (inq. Games)</v>
      </c>
      <c r="Y582" s="6" t="str">
        <v>Other Software (inq. Games)</v>
      </c>
      <c r="Z582" s="6" t="str">
        <v>Other Software (inq. Games)</v>
      </c>
      <c r="AA582" s="6" t="str">
        <v>Computer Consulting Services;Primary Business not Hi-Tech;Internet Services &amp; Software;Programming Services;Telecommunications Equipment</v>
      </c>
      <c r="AB582" s="6" t="str">
        <v>Computer Consulting Services;Primary Business not Hi-Tech;Internet Services &amp; Software;Telecommunications Equipment;Programming Services</v>
      </c>
      <c r="AH582" s="6" t="str">
        <v>False</v>
      </c>
      <c r="AI582" s="6" t="str">
        <v>2011</v>
      </c>
      <c r="AJ582" s="6" t="str">
        <v>Completed</v>
      </c>
      <c r="AM582" s="6" t="str">
        <v>Not Applicable</v>
      </c>
      <c r="AO582" s="6" t="str">
        <v>US - Google Inc acquired Pittsburgh Pattern Recognition {PittPatt}, a developer of face recognition software. Terms were not disclosed.</v>
      </c>
    </row>
    <row r="583">
      <c r="A583" s="6" t="str">
        <v>037833</v>
      </c>
      <c r="B583" s="6" t="str">
        <v>United States</v>
      </c>
      <c r="C583" s="6" t="str">
        <v>Apple Inc</v>
      </c>
      <c r="D583" s="6" t="str">
        <v>Apple Inc</v>
      </c>
      <c r="F583" s="6" t="str">
        <v>United States</v>
      </c>
      <c r="G583" s="6" t="str">
        <v>Barnes &amp; Noble Inc</v>
      </c>
      <c r="H583" s="6" t="str">
        <v>Miscellaneous Retail Trade</v>
      </c>
      <c r="I583" s="6" t="str">
        <v>067774</v>
      </c>
      <c r="J583" s="6" t="str">
        <v>Barnes &amp; Noble Inc</v>
      </c>
      <c r="K583" s="6" t="str">
        <v>Barnes &amp; Noble Inc</v>
      </c>
      <c r="L583" s="7">
        <f>=DATE(2011,7,28)</f>
        <v>40751.99949074074</v>
      </c>
      <c r="R583" s="8">
        <v>-73.957</v>
      </c>
      <c r="S583" s="8">
        <v>6998.565</v>
      </c>
      <c r="T583" s="8">
        <v>-88.34</v>
      </c>
      <c r="U583" s="8">
        <v>-112.268</v>
      </c>
      <c r="V583" s="8">
        <v>199.072</v>
      </c>
      <c r="W583" s="6" t="str">
        <v>Monitors/Terminals;Mainframes &amp; Super Computers;Other Software (inq. Games);Other Peripherals;Portable Computers;Disk Drives;Printers;Micro-Computers (PCs)</v>
      </c>
      <c r="X583" s="6" t="str">
        <v>Primary Business not Hi-Tech;Internet Services &amp; Software</v>
      </c>
      <c r="Y583" s="6" t="str">
        <v>Internet Services &amp; Software;Primary Business not Hi-Tech</v>
      </c>
      <c r="Z583" s="6" t="str">
        <v>Primary Business not Hi-Tech;Internet Services &amp; Software</v>
      </c>
      <c r="AA583" s="6" t="str">
        <v>Disk Drives;Monitors/Terminals;Printers;Other Peripherals;Mainframes &amp; Super Computers;Other Software (inq. Games);Micro-Computers (PCs);Portable Computers</v>
      </c>
      <c r="AB583" s="6" t="str">
        <v>Other Software (inq. Games);Mainframes &amp; Super Computers;Printers;Portable Computers;Monitors/Terminals;Micro-Computers (PCs);Disk Drives;Other Peripherals</v>
      </c>
      <c r="AH583" s="6" t="str">
        <v>True</v>
      </c>
      <c r="AJ583" s="6" t="str">
        <v>Dismissed Rumor</v>
      </c>
      <c r="AM583" s="6" t="str">
        <v>Rumored Deal</v>
      </c>
      <c r="AN583" s="8">
        <v>1090.691</v>
      </c>
      <c r="AO583" s="6" t="str">
        <v>US - Apple Inc was rumored to be planning to acquire Barnes &amp; Noble Inc, a New York-based owner and operator of bookstores. The Current status of this deal is unknown.</v>
      </c>
    </row>
    <row r="584">
      <c r="A584" s="6" t="str">
        <v>023135</v>
      </c>
      <c r="B584" s="6" t="str">
        <v>United States</v>
      </c>
      <c r="C584" s="6" t="str">
        <v>Amazon.com Inc</v>
      </c>
      <c r="D584" s="6" t="str">
        <v>Amazon.com Inc</v>
      </c>
      <c r="F584" s="6" t="str">
        <v>United Kingdom</v>
      </c>
      <c r="G584" s="6" t="str">
        <v>Push Button Holdings Ltd</v>
      </c>
      <c r="H584" s="6" t="str">
        <v>Prepackaged Software</v>
      </c>
      <c r="I584" s="6" t="str">
        <v>76600Z</v>
      </c>
      <c r="J584" s="6" t="str">
        <v>Push Button Holdings Ltd</v>
      </c>
      <c r="K584" s="6" t="str">
        <v>Push Button Holdings Ltd</v>
      </c>
      <c r="L584" s="7">
        <f>=DATE(2011,7,28)</f>
        <v>40751.99949074074</v>
      </c>
      <c r="M584" s="7">
        <f>=DATE(2011,7,28)</f>
        <v>40751.99949074074</v>
      </c>
      <c r="W584" s="6" t="str">
        <v>Primary Business not Hi-Tech</v>
      </c>
      <c r="X584" s="6" t="str">
        <v>Internet Services &amp; Software;Communication/Network Software</v>
      </c>
      <c r="Y584" s="6" t="str">
        <v>Communication/Network Software;Internet Services &amp; Software</v>
      </c>
      <c r="Z584" s="6" t="str">
        <v>Communication/Network Software;Internet Services &amp; Software</v>
      </c>
      <c r="AA584" s="6" t="str">
        <v>Primary Business not Hi-Tech</v>
      </c>
      <c r="AB584" s="6" t="str">
        <v>Primary Business not Hi-Tech</v>
      </c>
      <c r="AH584" s="6" t="str">
        <v>True</v>
      </c>
      <c r="AI584" s="6" t="str">
        <v>2011</v>
      </c>
      <c r="AJ584" s="6" t="str">
        <v>Completed</v>
      </c>
      <c r="AM584" s="6" t="str">
        <v>Not Applicable</v>
      </c>
      <c r="AO584" s="6" t="str">
        <v>UK - Amazon.com Inc of the US, acquired Push Button Holdings Ltd, a London-based developer of interactive applications.</v>
      </c>
    </row>
    <row r="585">
      <c r="A585" s="6" t="str">
        <v>893929</v>
      </c>
      <c r="B585" s="6" t="str">
        <v>United States</v>
      </c>
      <c r="C585" s="6" t="str">
        <v>Transcend Services Inc</v>
      </c>
      <c r="D585" s="6" t="str">
        <v>Transcend Services Inc</v>
      </c>
      <c r="F585" s="6" t="str">
        <v>United States</v>
      </c>
      <c r="G585" s="6" t="str">
        <v>Salar Inc</v>
      </c>
      <c r="H585" s="6" t="str">
        <v>Prepackaged Software</v>
      </c>
      <c r="I585" s="6" t="str">
        <v>47474P</v>
      </c>
      <c r="J585" s="6" t="str">
        <v>Salar Inc</v>
      </c>
      <c r="K585" s="6" t="str">
        <v>Salar Inc</v>
      </c>
      <c r="L585" s="7">
        <f>=DATE(2011,7,29)</f>
        <v>40752.99949074074</v>
      </c>
      <c r="M585" s="7">
        <f>=DATE(2011,7,29)</f>
        <v>40752.99949074074</v>
      </c>
      <c r="N585" s="8">
        <v>11</v>
      </c>
      <c r="O585" s="8">
        <v>11</v>
      </c>
      <c r="P585" s="8" t="str">
        <v>11.00</v>
      </c>
      <c r="S585" s="8">
        <v>4</v>
      </c>
      <c r="W585" s="6" t="str">
        <v>Data Processing Services;Other Computer Related Svcs</v>
      </c>
      <c r="X585" s="6" t="str">
        <v>Data Processing Services;Applications Software(Business</v>
      </c>
      <c r="Y585" s="6" t="str">
        <v>Data Processing Services;Applications Software(Business</v>
      </c>
      <c r="Z585" s="6" t="str">
        <v>Applications Software(Business;Data Processing Services</v>
      </c>
      <c r="AA585" s="6" t="str">
        <v>Data Processing Services;Other Computer Related Svcs</v>
      </c>
      <c r="AB585" s="6" t="str">
        <v>Data Processing Services;Other Computer Related Svcs</v>
      </c>
      <c r="AC585" s="8">
        <v>11</v>
      </c>
      <c r="AD585" s="7">
        <f>=DATE(2011,8,1)</f>
        <v>40755.99949074074</v>
      </c>
      <c r="AF585" s="8" t="str">
        <v>11.00</v>
      </c>
      <c r="AG585" s="8" t="str">
        <v>11.00</v>
      </c>
      <c r="AH585" s="6" t="str">
        <v>True</v>
      </c>
      <c r="AI585" s="6" t="str">
        <v>2011</v>
      </c>
      <c r="AJ585" s="6" t="str">
        <v>Completed</v>
      </c>
      <c r="AM585" s="6" t="str">
        <v>Not Applicable</v>
      </c>
      <c r="AO585" s="6" t="str">
        <v>US - Transcend Services Inc acquired the entire share capital of Salar Inc, a Baltimore-based developer of electronic clinical documentation and billing software, for USD 11 mil in cash.</v>
      </c>
    </row>
    <row r="586">
      <c r="A586" s="6" t="str">
        <v>38259P</v>
      </c>
      <c r="B586" s="6" t="str">
        <v>United States</v>
      </c>
      <c r="C586" s="6" t="str">
        <v>Google Inc</v>
      </c>
      <c r="D586" s="6" t="str">
        <v>Alphabet Inc</v>
      </c>
      <c r="F586" s="6" t="str">
        <v>United States</v>
      </c>
      <c r="G586" s="6" t="str">
        <v>The Dealmap</v>
      </c>
      <c r="H586" s="6" t="str">
        <v>Business Services</v>
      </c>
      <c r="I586" s="6" t="str">
        <v>68486K</v>
      </c>
      <c r="J586" s="6" t="str">
        <v>The Dealmap</v>
      </c>
      <c r="K586" s="6" t="str">
        <v>The Dealmap</v>
      </c>
      <c r="L586" s="7">
        <f>=DATE(2011,8,1)</f>
        <v>40755.99949074074</v>
      </c>
      <c r="M586" s="7">
        <f>=DATE(2011,8,1)</f>
        <v>40755.99949074074</v>
      </c>
      <c r="W586" s="6" t="str">
        <v>Internet Services &amp; Software;Programming Services</v>
      </c>
      <c r="X586" s="6" t="str">
        <v>Internet Services &amp; Software</v>
      </c>
      <c r="Y586" s="6" t="str">
        <v>Internet Services &amp; Software</v>
      </c>
      <c r="Z586" s="6" t="str">
        <v>Internet Services &amp; Software</v>
      </c>
      <c r="AA586" s="6" t="str">
        <v>Internet Services &amp; Software;Programming Services;Computer Consulting Services;Telecommunications Equipment;Primary Business not Hi-Tech</v>
      </c>
      <c r="AB586" s="6" t="str">
        <v>Programming Services;Primary Business not Hi-Tech;Computer Consulting Services;Telecommunications Equipment;Internet Services &amp; Software</v>
      </c>
      <c r="AH586" s="6" t="str">
        <v>False</v>
      </c>
      <c r="AI586" s="6" t="str">
        <v>2011</v>
      </c>
      <c r="AJ586" s="6" t="str">
        <v>Completed</v>
      </c>
      <c r="AM586" s="6" t="str">
        <v>Not Applicable</v>
      </c>
      <c r="AO586" s="6" t="str">
        <v>US - Google Inc acquired The Dealmap, a Menlo Park-based provider Internet engine services. Terms were not disclosed.</v>
      </c>
    </row>
    <row r="587">
      <c r="A587" s="6" t="str">
        <v>30303M</v>
      </c>
      <c r="B587" s="6" t="str">
        <v>United States</v>
      </c>
      <c r="C587" s="6" t="str">
        <v>Facebook Inc</v>
      </c>
      <c r="D587" s="6" t="str">
        <v>Facebook Inc</v>
      </c>
      <c r="F587" s="6" t="str">
        <v>United States</v>
      </c>
      <c r="G587" s="6" t="str">
        <v>Push Pop Press</v>
      </c>
      <c r="H587" s="6" t="str">
        <v>Business Services</v>
      </c>
      <c r="I587" s="6" t="str">
        <v>76601A</v>
      </c>
      <c r="J587" s="6" t="str">
        <v>Push Pop Press</v>
      </c>
      <c r="K587" s="6" t="str">
        <v>Push Pop Press</v>
      </c>
      <c r="L587" s="7">
        <f>=DATE(2011,8,2)</f>
        <v>40756.99949074074</v>
      </c>
      <c r="M587" s="7">
        <f>=DATE(2011,8,2)</f>
        <v>40756.99949074074</v>
      </c>
      <c r="W587" s="6" t="str">
        <v>Internet Services &amp; Software</v>
      </c>
      <c r="X587" s="6" t="str">
        <v>Applications Software(Business;Applications Software(Home);Computer Consulting Services</v>
      </c>
      <c r="Y587" s="6" t="str">
        <v>Applications Software(Business;Applications Software(Home);Computer Consulting Services</v>
      </c>
      <c r="Z587" s="6" t="str">
        <v>Applications Software(Business;Computer Consulting Services;Applications Software(Home)</v>
      </c>
      <c r="AA587" s="6" t="str">
        <v>Internet Services &amp; Software</v>
      </c>
      <c r="AB587" s="6" t="str">
        <v>Internet Services &amp; Software</v>
      </c>
      <c r="AH587" s="6" t="str">
        <v>True</v>
      </c>
      <c r="AI587" s="6" t="str">
        <v>2011</v>
      </c>
      <c r="AJ587" s="6" t="str">
        <v>Completed</v>
      </c>
      <c r="AM587" s="6" t="str">
        <v>Financial Acquiror</v>
      </c>
      <c r="AO587" s="6" t="str">
        <v>US - Facebook Inc acquired Push Pop Press, a San Francisco-based provider of digital books services.</v>
      </c>
    </row>
    <row r="588">
      <c r="A588" s="6" t="str">
        <v>67020Y</v>
      </c>
      <c r="B588" s="6" t="str">
        <v>United States</v>
      </c>
      <c r="C588" s="6" t="str">
        <v>Nuance Communications Inc</v>
      </c>
      <c r="D588" s="6" t="str">
        <v>Nuance Communications Inc</v>
      </c>
      <c r="F588" s="6" t="str">
        <v>Italy</v>
      </c>
      <c r="G588" s="6" t="str">
        <v>Loquendo SpA</v>
      </c>
      <c r="H588" s="6" t="str">
        <v>Prepackaged Software</v>
      </c>
      <c r="I588" s="6" t="str">
        <v>53941H</v>
      </c>
      <c r="J588" s="6" t="str">
        <v>Telecom Italia SpA</v>
      </c>
      <c r="K588" s="6" t="str">
        <v>Telecom Italia SpA</v>
      </c>
      <c r="L588" s="7">
        <f>=DATE(2011,8,15)</f>
        <v>40769.99949074074</v>
      </c>
      <c r="M588" s="7">
        <f>=DATE(2011,9,30)</f>
        <v>40815.99949074074</v>
      </c>
      <c r="N588" s="8">
        <v>76.3567734220801</v>
      </c>
      <c r="O588" s="8">
        <v>76.3567734220801</v>
      </c>
      <c r="W588" s="6" t="str">
        <v>Other Software (inq. Games);Primary Business not Hi-Tech;Computer Consulting Services;Desktop Publishing;Other Computer Related Svcs;Applications Software(Home);Networking Systems (LAN,WAN);Applications Software(Business;Database Software/Programming;Communication/Network Software;Internet Services &amp; Software;Programming Services;Utilities/File Mgmt Software</v>
      </c>
      <c r="X588" s="6" t="str">
        <v>Other Software (inq. Games)</v>
      </c>
      <c r="Y588" s="6" t="str">
        <v>Telecommunications Equipment;Cellular Communications</v>
      </c>
      <c r="Z588" s="6" t="str">
        <v>Telecommunications Equipment;Cellular Communications</v>
      </c>
      <c r="AA588" s="6" t="str">
        <v>Other Software (inq. Games);Database Software/Programming;Computer Consulting Services;Internet Services &amp; Software;Communication/Network Software;Utilities/File Mgmt Software;Networking Systems (LAN,WAN);Desktop Publishing;Primary Business not Hi-Tech;Programming Services;Applications Software(Home);Other Computer Related Svcs;Applications Software(Business</v>
      </c>
      <c r="AB588" s="6" t="str">
        <v>Primary Business not Hi-Tech;Desktop Publishing;Other Computer Related Svcs;Applications Software(Business;Networking Systems (LAN,WAN);Computer Consulting Services;Communication/Network Software;Programming Services;Utilities/File Mgmt Software;Applications Software(Home);Other Software (inq. Games);Internet Services &amp; Software;Database Software/Programming</v>
      </c>
      <c r="AC588" s="8">
        <v>76.3567734220801</v>
      </c>
      <c r="AD588" s="7">
        <f>=DATE(2011,8,16)</f>
        <v>40770.99949074074</v>
      </c>
      <c r="AH588" s="6" t="str">
        <v>False</v>
      </c>
      <c r="AI588" s="6" t="str">
        <v>2011</v>
      </c>
      <c r="AJ588" s="6" t="str">
        <v>Completed</v>
      </c>
      <c r="AM588" s="6" t="str">
        <v>Divestiture;Financial Acquiror</v>
      </c>
      <c r="AO588" s="6" t="str">
        <v>ITALY - Nuance Communications Inc of the US acquired Loquendo SpA, a Turin-based developer of voice recognition softwares, from Telecom Italia SpA, for EUR 53 mil (USD 76.336 mil).</v>
      </c>
    </row>
    <row r="589">
      <c r="A589" s="6" t="str">
        <v>38259P</v>
      </c>
      <c r="B589" s="6" t="str">
        <v>United States</v>
      </c>
      <c r="C589" s="6" t="str">
        <v>Google Inc</v>
      </c>
      <c r="D589" s="6" t="str">
        <v>Alphabet Inc</v>
      </c>
      <c r="F589" s="6" t="str">
        <v>United States</v>
      </c>
      <c r="G589" s="6" t="str">
        <v>Motorola Mobility Holdings Inc</v>
      </c>
      <c r="H589" s="6" t="str">
        <v>Communications Equipment</v>
      </c>
      <c r="I589" s="6" t="str">
        <v>620097</v>
      </c>
      <c r="J589" s="6" t="str">
        <v>Motorola Mobility Holdings Inc</v>
      </c>
      <c r="K589" s="6" t="str">
        <v>Motorola Mobility Holdings Inc</v>
      </c>
      <c r="L589" s="7">
        <f>=DATE(2011,8,15)</f>
        <v>40769.99949074074</v>
      </c>
      <c r="M589" s="7">
        <f>=DATE(2012,5,22)</f>
        <v>41050.99949074074</v>
      </c>
      <c r="N589" s="8">
        <v>12449.946</v>
      </c>
      <c r="O589" s="8">
        <v>12449.946</v>
      </c>
      <c r="P589" s="8" t="str">
        <v>9,174.81</v>
      </c>
      <c r="R589" s="8">
        <v>-60</v>
      </c>
      <c r="S589" s="8">
        <v>12740</v>
      </c>
      <c r="T589" s="8">
        <v>2694</v>
      </c>
      <c r="U589" s="8">
        <v>-366</v>
      </c>
      <c r="V589" s="8">
        <v>656</v>
      </c>
      <c r="W589" s="6" t="str">
        <v>Internet Services &amp; Software;Programming Services</v>
      </c>
      <c r="X589" s="6" t="str">
        <v>Other Telecommunications Equip;Other Electronics;Cellular Communications</v>
      </c>
      <c r="Y589" s="6" t="str">
        <v>Other Telecommunications Equip;Cellular Communications;Other Electronics</v>
      </c>
      <c r="Z589" s="6" t="str">
        <v>Other Electronics;Other Telecommunications Equip;Cellular Communications</v>
      </c>
      <c r="AA589" s="6" t="str">
        <v>Primary Business not Hi-Tech;Computer Consulting Services;Internet Services &amp; Software;Programming Services;Telecommunications Equipment</v>
      </c>
      <c r="AB589" s="6" t="str">
        <v>Telecommunications Equipment;Internet Services &amp; Software;Primary Business not Hi-Tech;Computer Consulting Services;Programming Services</v>
      </c>
      <c r="AC589" s="8">
        <v>12449.946</v>
      </c>
      <c r="AD589" s="7">
        <f>=DATE(2011,8,15)</f>
        <v>40769.99949074074</v>
      </c>
      <c r="AE589" s="8">
        <v>13051.1896</v>
      </c>
      <c r="AF589" s="8" t="str">
        <v>9,174.79</v>
      </c>
      <c r="AG589" s="8" t="str">
        <v>9,174.81</v>
      </c>
      <c r="AH589" s="6" t="str">
        <v>True</v>
      </c>
      <c r="AI589" s="6" t="str">
        <v>2012</v>
      </c>
      <c r="AJ589" s="6" t="str">
        <v>Completed</v>
      </c>
      <c r="AK589" s="8">
        <v>13051.1896</v>
      </c>
      <c r="AL589" s="8">
        <v>326.27974</v>
      </c>
      <c r="AM589" s="6" t="str">
        <v>Not Applicable</v>
      </c>
      <c r="AN589" s="8">
        <v>1599</v>
      </c>
      <c r="AO589" s="6" t="str">
        <v>US - Google Inc acquired the entire share capital of Motorola Mobility Holdings Inc, a Libertyville-based manufacturer and wholesaler of integrated communication products, for USD 40 in cash per share, or a total value of USD 12.45 bil.</v>
      </c>
    </row>
    <row r="590">
      <c r="A590" s="6" t="str">
        <v>38259P</v>
      </c>
      <c r="B590" s="6" t="str">
        <v>United States</v>
      </c>
      <c r="C590" s="6" t="str">
        <v>Google Inc</v>
      </c>
      <c r="D590" s="6" t="str">
        <v>Alphabet Inc</v>
      </c>
      <c r="F590" s="6" t="str">
        <v>United States</v>
      </c>
      <c r="G590" s="6" t="str">
        <v>Zave Networks Inc</v>
      </c>
      <c r="H590" s="6" t="str">
        <v>Prepackaged Software</v>
      </c>
      <c r="I590" s="6" t="str">
        <v>98029F</v>
      </c>
      <c r="J590" s="6" t="str">
        <v>Zave Networks Inc</v>
      </c>
      <c r="K590" s="6" t="str">
        <v>Zave Networks Inc</v>
      </c>
      <c r="L590" s="7">
        <f>=DATE(2011,9,2)</f>
        <v>40787.99949074074</v>
      </c>
      <c r="M590" s="7">
        <f>=DATE(2011,9,2)</f>
        <v>40787.99949074074</v>
      </c>
      <c r="W590" s="6" t="str">
        <v>Programming Services;Internet Services &amp; Software</v>
      </c>
      <c r="X590" s="6" t="str">
        <v>Other Software (inq. Games);Applications Software(Business;Internet Services &amp; Software</v>
      </c>
      <c r="Y590" s="6" t="str">
        <v>Applications Software(Business;Internet Services &amp; Software;Other Software (inq. Games)</v>
      </c>
      <c r="Z590" s="6" t="str">
        <v>Applications Software(Business;Internet Services &amp; Software;Other Software (inq. Games)</v>
      </c>
      <c r="AA590" s="6" t="str">
        <v>Programming Services;Computer Consulting Services;Internet Services &amp; Software;Telecommunications Equipment;Primary Business not Hi-Tech</v>
      </c>
      <c r="AB590" s="6" t="str">
        <v>Computer Consulting Services;Programming Services;Primary Business not Hi-Tech;Internet Services &amp; Software;Telecommunications Equipment</v>
      </c>
      <c r="AH590" s="6" t="str">
        <v>False</v>
      </c>
      <c r="AI590" s="6" t="str">
        <v>2011</v>
      </c>
      <c r="AJ590" s="6" t="str">
        <v>Completed</v>
      </c>
      <c r="AM590" s="6" t="str">
        <v>Not Applicable</v>
      </c>
      <c r="AO590" s="6" t="str">
        <v>US - Google Inc acquired Zave Networks Inc, a Kansas City-based developer of digital coupons and incentives software. Terms were not disclosed.</v>
      </c>
    </row>
    <row r="591">
      <c r="A591" s="6" t="str">
        <v>38259P</v>
      </c>
      <c r="B591" s="6" t="str">
        <v>United States</v>
      </c>
      <c r="C591" s="6" t="str">
        <v>Google Inc</v>
      </c>
      <c r="D591" s="6" t="str">
        <v>Alphabet Inc</v>
      </c>
      <c r="F591" s="6" t="str">
        <v>United States</v>
      </c>
      <c r="G591" s="6" t="str">
        <v>Zagat Survey LLC</v>
      </c>
      <c r="H591" s="6" t="str">
        <v>Business Services</v>
      </c>
      <c r="I591" s="6" t="str">
        <v>98900R</v>
      </c>
      <c r="J591" s="6" t="str">
        <v>Zagat Survey LLC</v>
      </c>
      <c r="K591" s="6" t="str">
        <v>Zagat Survey LLC</v>
      </c>
      <c r="L591" s="7">
        <f>=DATE(2011,9,8)</f>
        <v>40793.99949074074</v>
      </c>
      <c r="M591" s="7">
        <f>=DATE(2011,9,8)</f>
        <v>40793.99949074074</v>
      </c>
      <c r="N591" s="8">
        <v>151</v>
      </c>
      <c r="O591" s="8">
        <v>151</v>
      </c>
      <c r="W591" s="6" t="str">
        <v>Internet Services &amp; Software;Programming Services</v>
      </c>
      <c r="X591" s="6" t="str">
        <v>Internet Services &amp; Software;Primary Business not Hi-Tech</v>
      </c>
      <c r="Y591" s="6" t="str">
        <v>Primary Business not Hi-Tech;Internet Services &amp; Software</v>
      </c>
      <c r="Z591" s="6" t="str">
        <v>Primary Business not Hi-Tech;Internet Services &amp; Software</v>
      </c>
      <c r="AA591" s="6" t="str">
        <v>Computer Consulting Services;Internet Services &amp; Software;Primary Business not Hi-Tech;Telecommunications Equipment;Programming Services</v>
      </c>
      <c r="AB591" s="6" t="str">
        <v>Computer Consulting Services;Telecommunications Equipment;Programming Services;Primary Business not Hi-Tech;Internet Services &amp; Software</v>
      </c>
      <c r="AC591" s="8">
        <v>151</v>
      </c>
      <c r="AD591" s="7">
        <f>=DATE(2011,9,8)</f>
        <v>40793.99949074074</v>
      </c>
      <c r="AH591" s="6" t="str">
        <v>False</v>
      </c>
      <c r="AI591" s="6" t="str">
        <v>2011</v>
      </c>
      <c r="AJ591" s="6" t="str">
        <v>Completed</v>
      </c>
      <c r="AM591" s="6" t="str">
        <v>Not Applicable</v>
      </c>
      <c r="AO591" s="6" t="str">
        <v>US - Google Inc acquired Zagat Survey LLC, a New York-based provider of online dining and travel survey-based information services, from General Atlantic LLC (33.33%) and other shareholders, for USD 151 mil in cash.</v>
      </c>
    </row>
    <row r="592">
      <c r="A592" s="6" t="str">
        <v>38259P</v>
      </c>
      <c r="B592" s="6" t="str">
        <v>United States</v>
      </c>
      <c r="C592" s="6" t="str">
        <v>Google Inc</v>
      </c>
      <c r="D592" s="6" t="str">
        <v>Alphabet Inc</v>
      </c>
      <c r="F592" s="6" t="str">
        <v>Germany</v>
      </c>
      <c r="G592" s="6" t="str">
        <v>DailyDeal GmbH</v>
      </c>
      <c r="H592" s="6" t="str">
        <v>Business Services</v>
      </c>
      <c r="I592" s="6" t="str">
        <v>24040Q</v>
      </c>
      <c r="J592" s="6" t="str">
        <v>DailyDeal GmbH</v>
      </c>
      <c r="K592" s="6" t="str">
        <v>DailyDeal GmbH</v>
      </c>
      <c r="L592" s="7">
        <f>=DATE(2011,9,19)</f>
        <v>40804.99949074074</v>
      </c>
      <c r="M592" s="7">
        <f>=DATE(2011,9,19)</f>
        <v>40804.99949074074</v>
      </c>
      <c r="W592" s="6" t="str">
        <v>Programming Services;Internet Services &amp; Software</v>
      </c>
      <c r="X592" s="6" t="str">
        <v>Internet Services &amp; Software;Other Computer Related Svcs</v>
      </c>
      <c r="Y592" s="6" t="str">
        <v>Other Computer Related Svcs;Internet Services &amp; Software</v>
      </c>
      <c r="Z592" s="6" t="str">
        <v>Internet Services &amp; Software;Other Computer Related Svcs</v>
      </c>
      <c r="AA592" s="6" t="str">
        <v>Primary Business not Hi-Tech;Internet Services &amp; Software;Programming Services;Computer Consulting Services;Telecommunications Equipment</v>
      </c>
      <c r="AB592" s="6" t="str">
        <v>Programming Services;Telecommunications Equipment;Computer Consulting Services;Primary Business not Hi-Tech;Internet Services &amp; Software</v>
      </c>
      <c r="AH592" s="6" t="str">
        <v>True</v>
      </c>
      <c r="AI592" s="6" t="str">
        <v>2011</v>
      </c>
      <c r="AJ592" s="6" t="str">
        <v>Completed</v>
      </c>
      <c r="AM592" s="6" t="str">
        <v>Not Applicable</v>
      </c>
      <c r="AN592" s="8">
        <v>0.187278442913518</v>
      </c>
      <c r="AO592" s="6" t="str">
        <v>GERMANY - Google Inc of the US, acquired DailyDeal GmbH, a Berlin-based provider of online sales services, from Insight Venture Partners PLC and other sellers.</v>
      </c>
    </row>
    <row r="593">
      <c r="A593" s="6" t="str">
        <v>53578A</v>
      </c>
      <c r="B593" s="6" t="str">
        <v>United States</v>
      </c>
      <c r="C593" s="6" t="str">
        <v>LinkedIn Corp</v>
      </c>
      <c r="D593" s="6" t="str">
        <v>LinkedIn Corp</v>
      </c>
      <c r="F593" s="6" t="str">
        <v>United States</v>
      </c>
      <c r="G593" s="6" t="str">
        <v>Connected</v>
      </c>
      <c r="H593" s="6" t="str">
        <v>Business Services</v>
      </c>
      <c r="I593" s="6" t="str">
        <v>20750V</v>
      </c>
      <c r="J593" s="6" t="str">
        <v>Connected</v>
      </c>
      <c r="K593" s="6" t="str">
        <v>Connected</v>
      </c>
      <c r="L593" s="7">
        <f>=DATE(2011,10,5)</f>
        <v>40820.99949074074</v>
      </c>
      <c r="M593" s="7">
        <f>=DATE(2011,10,5)</f>
        <v>40820.99949074074</v>
      </c>
      <c r="W593" s="6" t="str">
        <v>Internet Services &amp; Software</v>
      </c>
      <c r="X593" s="6" t="str">
        <v>Internet Services &amp; Software</v>
      </c>
      <c r="Y593" s="6" t="str">
        <v>Internet Services &amp; Software</v>
      </c>
      <c r="Z593" s="6" t="str">
        <v>Internet Services &amp; Software</v>
      </c>
      <c r="AA593" s="6" t="str">
        <v>Internet Services &amp; Software</v>
      </c>
      <c r="AB593" s="6" t="str">
        <v>Internet Services &amp; Software</v>
      </c>
      <c r="AH593" s="6" t="str">
        <v>False</v>
      </c>
      <c r="AI593" s="6" t="str">
        <v>2011</v>
      </c>
      <c r="AJ593" s="6" t="str">
        <v>Completed</v>
      </c>
      <c r="AM593" s="6" t="str">
        <v>Financial Acquiror</v>
      </c>
      <c r="AO593" s="6" t="str">
        <v>US - LinkedIn Corp acquire Connected, a provider of online networking services. Terms were not disclosed.</v>
      </c>
    </row>
    <row r="594">
      <c r="A594" s="6" t="str">
        <v>01864J</v>
      </c>
      <c r="B594" s="6" t="str">
        <v>United States</v>
      </c>
      <c r="C594" s="6" t="str">
        <v>Avanade Inc</v>
      </c>
      <c r="D594" s="6" t="str">
        <v>Accenture PLC</v>
      </c>
      <c r="F594" s="6" t="str">
        <v>Germany</v>
      </c>
      <c r="G594" s="6" t="str">
        <v>eCONNEX AG</v>
      </c>
      <c r="H594" s="6" t="str">
        <v>Prepackaged Software</v>
      </c>
      <c r="I594" s="6" t="str">
        <v>27985Z</v>
      </c>
      <c r="J594" s="6" t="str">
        <v>eCONNEX AG</v>
      </c>
      <c r="K594" s="6" t="str">
        <v>eCONNEX AG</v>
      </c>
      <c r="L594" s="7">
        <f>=DATE(2011,10,5)</f>
        <v>40820.99949074074</v>
      </c>
      <c r="M594" s="7">
        <f>=DATE(2011,11,7)</f>
        <v>40853.99949074074</v>
      </c>
      <c r="W594" s="6" t="str">
        <v>Computer Consulting Services;Other Software (inq. Games);Other Computer Related Svcs</v>
      </c>
      <c r="X594" s="6" t="str">
        <v>Other Software (inq. Games);Applications Software(Business;Programming Services;Database Software/Programming</v>
      </c>
      <c r="Y594" s="6" t="str">
        <v>Programming Services;Applications Software(Business;Other Software (inq. Games);Database Software/Programming</v>
      </c>
      <c r="Z594" s="6" t="str">
        <v>Database Software/Programming;Programming Services;Other Software (inq. Games);Applications Software(Business</v>
      </c>
      <c r="AA594" s="6" t="str">
        <v>Communication/Network Software;Other Computer Related Svcs;Turnkey Systems;Applications Software(Business;Workstations;Computer Consulting Services;Desktop Publishing;Networking Systems (LAN,WAN);Utilities/File Mgmt Software;Operating Systems;Other Software (inq. Games);Other Computer Systems;Data Commun(Exclude networking;Applications Software(Home);Data Processing Services;Primary Business not Hi-Tech;CAD/CAM/CAE/Graphics Systems;Internet Services &amp; Software</v>
      </c>
      <c r="AB594" s="6" t="str">
        <v>Computer Consulting Services;Applications Software(Business;Data Processing Services;Applications Software(Home);Primary Business not Hi-Tech;Operating Systems;Other Computer Related Svcs;Turnkey Systems;Internet Services &amp; Software;Networking Systems (LAN,WAN);Other Software (inq. Games);CAD/CAM/CAE/Graphics Systems;Other Computer Systems;Data Commun(Exclude networking;Utilities/File Mgmt Software;Desktop Publishing;Communication/Network Software;Workstations</v>
      </c>
      <c r="AH594" s="6" t="str">
        <v>False</v>
      </c>
      <c r="AI594" s="6" t="str">
        <v>2011</v>
      </c>
      <c r="AJ594" s="6" t="str">
        <v>Completed</v>
      </c>
      <c r="AM594" s="6" t="str">
        <v>Not Applicable</v>
      </c>
      <c r="AO594" s="6" t="str">
        <v>GERMANY - Avanade Inc of the US, a unit of Accenture Plc and Microsoft Corp, acquired eCONNEX AG, a Kiel-based provider of CRM software services. Terms were not disclosed.</v>
      </c>
    </row>
    <row r="595">
      <c r="A595" s="6" t="str">
        <v>81350Q</v>
      </c>
      <c r="B595" s="6" t="str">
        <v>United States</v>
      </c>
      <c r="C595" s="6" t="str">
        <v>Sonic Acquisition Corp</v>
      </c>
      <c r="D595" s="6" t="str">
        <v>Nuance Communications Inc</v>
      </c>
      <c r="F595" s="6" t="str">
        <v>United States</v>
      </c>
      <c r="G595" s="6" t="str">
        <v>Swype Inc</v>
      </c>
      <c r="H595" s="6" t="str">
        <v>Business Services</v>
      </c>
      <c r="I595" s="6" t="str">
        <v>91299L</v>
      </c>
      <c r="J595" s="6" t="str">
        <v>Swype Inc</v>
      </c>
      <c r="K595" s="6" t="str">
        <v>Swype Inc</v>
      </c>
      <c r="L595" s="7">
        <f>=DATE(2011,10,6)</f>
        <v>40821.99949074074</v>
      </c>
      <c r="M595" s="7">
        <f>=DATE(2011,10,6)</f>
        <v>40821.99949074074</v>
      </c>
      <c r="N595" s="8">
        <v>102.5</v>
      </c>
      <c r="O595" s="8">
        <v>102.5</v>
      </c>
      <c r="P595" s="8" t="str">
        <v>94.59</v>
      </c>
      <c r="R595" s="8">
        <v>-13.862</v>
      </c>
      <c r="T595" s="8">
        <v>7.873</v>
      </c>
      <c r="U595" s="8">
        <v>-0.316</v>
      </c>
      <c r="V595" s="8">
        <v>-1.539</v>
      </c>
      <c r="W595" s="6" t="str">
        <v>Computer Consulting Services;Other Computer Related Svcs;Programming Services</v>
      </c>
      <c r="X595" s="6" t="str">
        <v>Programming Services;Other Computer Related Svcs;Computer Consulting Services</v>
      </c>
      <c r="Y595" s="6" t="str">
        <v>Other Computer Related Svcs;Computer Consulting Services;Programming Services</v>
      </c>
      <c r="Z595" s="6" t="str">
        <v>Programming Services;Computer Consulting Services;Other Computer Related Svcs</v>
      </c>
      <c r="AA595" s="6" t="str">
        <v>Computer Consulting Services;Desktop Publishing;Database Software/Programming;Internet Services &amp; Software;Applications Software(Home);Programming Services;Primary Business not Hi-Tech;Other Software (inq. Games);Other Computer Related Svcs;Communication/Network Software;Applications Software(Business;Networking Systems (LAN,WAN);Utilities/File Mgmt Software</v>
      </c>
      <c r="AB595" s="6" t="str">
        <v>Database Software/Programming;Communication/Network Software;Internet Services &amp; Software;Other Computer Related Svcs;Utilities/File Mgmt Software;Primary Business not Hi-Tech;Other Software (inq. Games);Applications Software(Business;Networking Systems (LAN,WAN);Desktop Publishing;Applications Software(Home);Computer Consulting Services;Programming Services</v>
      </c>
      <c r="AC595" s="8">
        <v>102.5</v>
      </c>
      <c r="AD595" s="7">
        <f>=DATE(2011,10,6)</f>
        <v>40821.99949074074</v>
      </c>
      <c r="AF595" s="8" t="str">
        <v>94.59</v>
      </c>
      <c r="AG595" s="8" t="str">
        <v>94.59</v>
      </c>
      <c r="AH595" s="6" t="str">
        <v>True</v>
      </c>
      <c r="AI595" s="6" t="str">
        <v>2011</v>
      </c>
      <c r="AJ595" s="6" t="str">
        <v>Completed</v>
      </c>
      <c r="AM595" s="6" t="str">
        <v>Financial Acquiror</v>
      </c>
      <c r="AO595" s="6" t="str">
        <v>US - Sonic Acquisition Corp, a wholly-owned unit of Nuance Communications Inc, merged with Swype Inc, a Seattle-based provider of application services, for USD 102.5 mil in cash.</v>
      </c>
    </row>
    <row r="596">
      <c r="A596" s="6" t="str">
        <v>30303M</v>
      </c>
      <c r="B596" s="6" t="str">
        <v>United States</v>
      </c>
      <c r="C596" s="6" t="str">
        <v>Facebook Inc</v>
      </c>
      <c r="D596" s="6" t="str">
        <v>Facebook Inc</v>
      </c>
      <c r="F596" s="6" t="str">
        <v>United States</v>
      </c>
      <c r="G596" s="6" t="str">
        <v>Friend.ly</v>
      </c>
      <c r="H596" s="6" t="str">
        <v>Business Services</v>
      </c>
      <c r="I596" s="6" t="str">
        <v>36711H</v>
      </c>
      <c r="J596" s="6" t="str">
        <v>Friend.ly</v>
      </c>
      <c r="K596" s="6" t="str">
        <v>Friend.ly</v>
      </c>
      <c r="L596" s="7">
        <f>=DATE(2011,10,11)</f>
        <v>40826.99949074074</v>
      </c>
      <c r="M596" s="7">
        <f>=DATE(2011,10,11)</f>
        <v>40826.99949074074</v>
      </c>
      <c r="W596" s="6" t="str">
        <v>Internet Services &amp; Software</v>
      </c>
      <c r="X596" s="6" t="str">
        <v>Internet Services &amp; Software</v>
      </c>
      <c r="Y596" s="6" t="str">
        <v>Internet Services &amp; Software</v>
      </c>
      <c r="Z596" s="6" t="str">
        <v>Internet Services &amp; Software</v>
      </c>
      <c r="AA596" s="6" t="str">
        <v>Internet Services &amp; Software</v>
      </c>
      <c r="AB596" s="6" t="str">
        <v>Internet Services &amp; Software</v>
      </c>
      <c r="AH596" s="6" t="str">
        <v>True</v>
      </c>
      <c r="AI596" s="6" t="str">
        <v>2011</v>
      </c>
      <c r="AJ596" s="6" t="str">
        <v>Completed</v>
      </c>
      <c r="AM596" s="6" t="str">
        <v>Financial Acquiror</v>
      </c>
      <c r="AO596" s="6" t="str">
        <v>US - Facebook Inc acquired Friend.ly, a Mountain View-based provider of online social networking services.</v>
      </c>
    </row>
    <row r="597">
      <c r="A597" s="6" t="str">
        <v>53578A</v>
      </c>
      <c r="B597" s="6" t="str">
        <v>United States</v>
      </c>
      <c r="C597" s="6" t="str">
        <v>LinkedIn Corp</v>
      </c>
      <c r="D597" s="6" t="str">
        <v>LinkedIn Corp</v>
      </c>
      <c r="F597" s="6" t="str">
        <v>United States</v>
      </c>
      <c r="G597" s="6" t="str">
        <v>IndexTank Inc</v>
      </c>
      <c r="H597" s="6" t="str">
        <v>Business Services</v>
      </c>
      <c r="I597" s="6" t="str">
        <v>47603V</v>
      </c>
      <c r="J597" s="6" t="str">
        <v>IndexTank Inc</v>
      </c>
      <c r="K597" s="6" t="str">
        <v>IndexTank Inc</v>
      </c>
      <c r="L597" s="7">
        <f>=DATE(2011,10,11)</f>
        <v>40826.99949074074</v>
      </c>
      <c r="M597" s="7">
        <f>=DATE(2011,10,11)</f>
        <v>40826.99949074074</v>
      </c>
      <c r="W597" s="6" t="str">
        <v>Internet Services &amp; Software</v>
      </c>
      <c r="X597" s="6" t="str">
        <v>Internet Services &amp; Software</v>
      </c>
      <c r="Y597" s="6" t="str">
        <v>Internet Services &amp; Software</v>
      </c>
      <c r="Z597" s="6" t="str">
        <v>Internet Services &amp; Software</v>
      </c>
      <c r="AA597" s="6" t="str">
        <v>Internet Services &amp; Software</v>
      </c>
      <c r="AB597" s="6" t="str">
        <v>Internet Services &amp; Software</v>
      </c>
      <c r="AH597" s="6" t="str">
        <v>False</v>
      </c>
      <c r="AI597" s="6" t="str">
        <v>2011</v>
      </c>
      <c r="AJ597" s="6" t="str">
        <v>Completed</v>
      </c>
      <c r="AM597" s="6" t="str">
        <v>Financial Acquiror</v>
      </c>
      <c r="AO597" s="6" t="str">
        <v>US - LinkedIn Corp acquired IndexTank Inc, a San Francisco-based provider of internet search engine services. Terms were not disclosed.</v>
      </c>
    </row>
    <row r="598">
      <c r="A598" s="6" t="str">
        <v>594918</v>
      </c>
      <c r="B598" s="6" t="str">
        <v>United States</v>
      </c>
      <c r="C598" s="6" t="str">
        <v>Microsoft Corp</v>
      </c>
      <c r="D598" s="6" t="str">
        <v>Microsoft Corp</v>
      </c>
      <c r="F598" s="6" t="str">
        <v>United States</v>
      </c>
      <c r="G598" s="6" t="str">
        <v>Twisted Pixel Games LLC</v>
      </c>
      <c r="H598" s="6" t="str">
        <v>Prepackaged Software</v>
      </c>
      <c r="I598" s="6" t="str">
        <v>91599M</v>
      </c>
      <c r="J598" s="6" t="str">
        <v>Twisted Pixel Games LLC</v>
      </c>
      <c r="K598" s="6" t="str">
        <v>Twisted Pixel Games LLC</v>
      </c>
      <c r="L598" s="7">
        <f>=DATE(2011,10,12)</f>
        <v>40827.99949074074</v>
      </c>
      <c r="M598" s="7">
        <f>=DATE(2011,10,12)</f>
        <v>40827.99949074074</v>
      </c>
      <c r="W598" s="6" t="str">
        <v>Monitors/Terminals;Internet Services &amp; Software;Computer Consulting Services;Operating Systems;Other Peripherals;Applications Software(Business</v>
      </c>
      <c r="X598" s="6" t="str">
        <v>Other Software (inq. Games)</v>
      </c>
      <c r="Y598" s="6" t="str">
        <v>Other Software (inq. Games)</v>
      </c>
      <c r="Z598" s="6" t="str">
        <v>Other Software (inq. Games)</v>
      </c>
      <c r="AA598" s="6" t="str">
        <v>Other Peripherals;Operating Systems;Applications Software(Business;Monitors/Terminals;Internet Services &amp; Software;Computer Consulting Services</v>
      </c>
      <c r="AB598" s="6" t="str">
        <v>Other Peripherals;Internet Services &amp; Software;Monitors/Terminals;Operating Systems;Computer Consulting Services;Applications Software(Business</v>
      </c>
      <c r="AH598" s="6" t="str">
        <v>False</v>
      </c>
      <c r="AI598" s="6" t="str">
        <v>2011</v>
      </c>
      <c r="AJ598" s="6" t="str">
        <v>Completed</v>
      </c>
      <c r="AM598" s="6" t="str">
        <v>Not Applicable</v>
      </c>
      <c r="AO598" s="6" t="str">
        <v>US - Microsoft Corp acquired Twisted Pixel Games LLC, an Austin-based developer of gaming software. Terms were not disclosed.</v>
      </c>
    </row>
    <row r="599">
      <c r="A599" s="6" t="str">
        <v>0A5696</v>
      </c>
      <c r="B599" s="6" t="str">
        <v>United States</v>
      </c>
      <c r="C599" s="6" t="str">
        <v>Fliptop Inc</v>
      </c>
      <c r="D599" s="6" t="str">
        <v>Fliptop Inc</v>
      </c>
      <c r="F599" s="6" t="str">
        <v>United Kingdom</v>
      </c>
      <c r="G599" s="6" t="str">
        <v>Qwerly</v>
      </c>
      <c r="H599" s="6" t="str">
        <v>Business Services</v>
      </c>
      <c r="I599" s="6" t="str">
        <v>0A5699</v>
      </c>
      <c r="J599" s="6" t="str">
        <v>Qwerly</v>
      </c>
      <c r="K599" s="6" t="str">
        <v>Qwerly</v>
      </c>
      <c r="L599" s="7">
        <f>=DATE(2011,10,31)</f>
        <v>40846.99949074074</v>
      </c>
      <c r="M599" s="7">
        <f>=DATE(2011,10,31)</f>
        <v>40846.99949074074</v>
      </c>
      <c r="W599" s="6" t="str">
        <v>Applications Software(Business</v>
      </c>
      <c r="X599" s="6" t="str">
        <v>Applications Software(Home);Utilities/File Mgmt Software;Internet Services &amp; Software;Database Software/Programming;Programming Services;Other Software (inq. Games);Desktop Publishing;Communication/Network Software;Applications Software(Business</v>
      </c>
      <c r="Y599" s="6" t="str">
        <v>Utilities/File Mgmt Software;Applications Software(Business;Programming Services;Communication/Network Software;Desktop Publishing;Internet Services &amp; Software;Applications Software(Home);Database Software/Programming;Other Software (inq. Games)</v>
      </c>
      <c r="Z599" s="6" t="str">
        <v>Internet Services &amp; Software;Other Software (inq. Games);Applications Software(Business;Desktop Publishing;Communication/Network Software;Database Software/Programming;Programming Services;Applications Software(Home);Utilities/File Mgmt Software</v>
      </c>
      <c r="AA599" s="6" t="str">
        <v>Applications Software(Business</v>
      </c>
      <c r="AB599" s="6" t="str">
        <v>Applications Software(Business</v>
      </c>
      <c r="AH599" s="6" t="str">
        <v>False</v>
      </c>
      <c r="AI599" s="6" t="str">
        <v>2011</v>
      </c>
      <c r="AJ599" s="6" t="str">
        <v>Completed</v>
      </c>
      <c r="AM599" s="6" t="str">
        <v>Not Applicable</v>
      </c>
      <c r="AO599" s="6" t="str">
        <v>UK - Fliptop Inc acquired Qwerly, a London-based provider of IT solutions. Terms were not disclosed.</v>
      </c>
    </row>
    <row r="600">
      <c r="A600" s="6" t="str">
        <v>30303M</v>
      </c>
      <c r="B600" s="6" t="str">
        <v>United States</v>
      </c>
      <c r="C600" s="6" t="str">
        <v>Facebook Inc</v>
      </c>
      <c r="D600" s="6" t="str">
        <v>Facebook Inc</v>
      </c>
      <c r="F600" s="6" t="str">
        <v>United States</v>
      </c>
      <c r="G600" s="6" t="str">
        <v>Strobe Inc</v>
      </c>
      <c r="H600" s="6" t="str">
        <v>Business Services</v>
      </c>
      <c r="I600" s="6" t="str">
        <v>85909W</v>
      </c>
      <c r="J600" s="6" t="str">
        <v>Strobe Inc</v>
      </c>
      <c r="K600" s="6" t="str">
        <v>Strobe Inc</v>
      </c>
      <c r="L600" s="7">
        <f>=DATE(2011,11,8)</f>
        <v>40854.99949074074</v>
      </c>
      <c r="M600" s="7">
        <f>=DATE(2011,11,8)</f>
        <v>40854.99949074074</v>
      </c>
      <c r="W600" s="6" t="str">
        <v>Internet Services &amp; Software</v>
      </c>
      <c r="X600" s="6" t="str">
        <v>Programming Services;Internet Services &amp; Software;Other Computer Related Svcs;Computer Consulting Services;Applications Software(Business</v>
      </c>
      <c r="Y600" s="6" t="str">
        <v>Other Computer Related Svcs;Applications Software(Business;Internet Services &amp; Software;Computer Consulting Services;Programming Services</v>
      </c>
      <c r="Z600" s="6" t="str">
        <v>Internet Services &amp; Software;Applications Software(Business;Computer Consulting Services;Programming Services;Other Computer Related Svcs</v>
      </c>
      <c r="AA600" s="6" t="str">
        <v>Internet Services &amp; Software</v>
      </c>
      <c r="AB600" s="6" t="str">
        <v>Internet Services &amp; Software</v>
      </c>
      <c r="AH600" s="6" t="str">
        <v>True</v>
      </c>
      <c r="AI600" s="6" t="str">
        <v>2011</v>
      </c>
      <c r="AJ600" s="6" t="str">
        <v>Completed</v>
      </c>
      <c r="AM600" s="6" t="str">
        <v>Financial Acquiror</v>
      </c>
      <c r="AO600" s="6" t="str">
        <v>US - Facebook Inc acquired Strobe Inc, a San Francisco-based provider of mobile application technology services. Terms were not disclosed.</v>
      </c>
    </row>
    <row r="601">
      <c r="A601" s="6" t="str">
        <v>38259P</v>
      </c>
      <c r="B601" s="6" t="str">
        <v>United States</v>
      </c>
      <c r="C601" s="6" t="str">
        <v>Google Inc</v>
      </c>
      <c r="D601" s="6" t="str">
        <v>Alphabet Inc</v>
      </c>
      <c r="E601" s="6" t="str">
        <v>Google Inc</v>
      </c>
      <c r="F601" s="6" t="str">
        <v>United States</v>
      </c>
      <c r="G601" s="6" t="str">
        <v>Apture Inc</v>
      </c>
      <c r="H601" s="6" t="str">
        <v>Prepackaged Software</v>
      </c>
      <c r="I601" s="6" t="str">
        <v>04149Q</v>
      </c>
      <c r="J601" s="6" t="str">
        <v>Apture Inc</v>
      </c>
      <c r="K601" s="6" t="str">
        <v>Apture Inc</v>
      </c>
      <c r="L601" s="7">
        <f>=DATE(2011,11,10)</f>
        <v>40856.99949074074</v>
      </c>
      <c r="M601" s="7">
        <f>=DATE(2011,11,10)</f>
        <v>40856.99949074074</v>
      </c>
      <c r="W601" s="6" t="str">
        <v>Programming Services;Internet Services &amp; Software</v>
      </c>
      <c r="X601" s="6" t="str">
        <v>Applications Software(Business</v>
      </c>
      <c r="Y601" s="6" t="str">
        <v>Applications Software(Business</v>
      </c>
      <c r="Z601" s="6" t="str">
        <v>Applications Software(Business</v>
      </c>
      <c r="AA601" s="6" t="str">
        <v>Primary Business not Hi-Tech;Programming Services;Computer Consulting Services;Internet Services &amp; Software;Telecommunications Equipment</v>
      </c>
      <c r="AB601" s="6" t="str">
        <v>Internet Services &amp; Software;Computer Consulting Services;Telecommunications Equipment;Programming Services;Primary Business not Hi-Tech</v>
      </c>
      <c r="AH601" s="6" t="str">
        <v>False</v>
      </c>
      <c r="AI601" s="6" t="str">
        <v>2011</v>
      </c>
      <c r="AJ601" s="6" t="str">
        <v>Completed</v>
      </c>
      <c r="AM601" s="6" t="str">
        <v>Financial Acquiror</v>
      </c>
      <c r="AO601" s="6" t="str">
        <v>US - Google Inc (Google) acquired Apture Inc, a San Francisco-based develops web page search technology software. Terms were not disclosed. Concurrently, Google acquired Katango Inc.</v>
      </c>
    </row>
    <row r="602">
      <c r="A602" s="6" t="str">
        <v>38259P</v>
      </c>
      <c r="B602" s="6" t="str">
        <v>United States</v>
      </c>
      <c r="C602" s="6" t="str">
        <v>Google Inc</v>
      </c>
      <c r="D602" s="6" t="str">
        <v>Alphabet Inc</v>
      </c>
      <c r="E602" s="6" t="str">
        <v>Google Inc</v>
      </c>
      <c r="F602" s="6" t="str">
        <v>United States</v>
      </c>
      <c r="G602" s="6" t="str">
        <v>Katango Inc</v>
      </c>
      <c r="H602" s="6" t="str">
        <v>Prepackaged Software</v>
      </c>
      <c r="I602" s="6" t="str">
        <v>48969C</v>
      </c>
      <c r="J602" s="6" t="str">
        <v>Katango Inc</v>
      </c>
      <c r="K602" s="6" t="str">
        <v>Katango Inc</v>
      </c>
      <c r="L602" s="7">
        <f>=DATE(2011,11,10)</f>
        <v>40856.99949074074</v>
      </c>
      <c r="M602" s="7">
        <f>=DATE(2011,11,10)</f>
        <v>40856.99949074074</v>
      </c>
      <c r="W602" s="6" t="str">
        <v>Programming Services;Internet Services &amp; Software</v>
      </c>
      <c r="X602" s="6" t="str">
        <v>Applications Software(Business</v>
      </c>
      <c r="Y602" s="6" t="str">
        <v>Applications Software(Business</v>
      </c>
      <c r="Z602" s="6" t="str">
        <v>Applications Software(Business</v>
      </c>
      <c r="AA602" s="6" t="str">
        <v>Telecommunications Equipment;Programming Services;Computer Consulting Services;Primary Business not Hi-Tech;Internet Services &amp; Software</v>
      </c>
      <c r="AB602" s="6" t="str">
        <v>Computer Consulting Services;Internet Services &amp; Software;Telecommunications Equipment;Programming Services;Primary Business not Hi-Tech</v>
      </c>
      <c r="AH602" s="6" t="str">
        <v>False</v>
      </c>
      <c r="AI602" s="6" t="str">
        <v>2011</v>
      </c>
      <c r="AJ602" s="6" t="str">
        <v>Completed</v>
      </c>
      <c r="AM602" s="6" t="str">
        <v>Rumored Deal;Financial Acquiror</v>
      </c>
      <c r="AO602" s="6" t="str">
        <v>US - Google Inc (Google) acquired Katango Inc (Katango), a developer of online contact solutions software. Terms were not disclosed. Originally, Google was rumored to be planning to acquire Katango. Concurrently, Google acquired Apture Inc.</v>
      </c>
    </row>
    <row r="603">
      <c r="A603" s="6" t="str">
        <v>594918</v>
      </c>
      <c r="B603" s="6" t="str">
        <v>United States</v>
      </c>
      <c r="C603" s="6" t="str">
        <v>Microsoft Corp</v>
      </c>
      <c r="D603" s="6" t="str">
        <v>Microsoft Corp</v>
      </c>
      <c r="F603" s="6" t="str">
        <v>United States</v>
      </c>
      <c r="G603" s="6" t="str">
        <v>VideoSurf Inc</v>
      </c>
      <c r="H603" s="6" t="str">
        <v>Business Services</v>
      </c>
      <c r="I603" s="6" t="str">
        <v>93514A</v>
      </c>
      <c r="J603" s="6" t="str">
        <v>VideoSurf Inc</v>
      </c>
      <c r="K603" s="6" t="str">
        <v>VideoSurf Inc</v>
      </c>
      <c r="L603" s="7">
        <f>=DATE(2011,11,22)</f>
        <v>40868.99949074074</v>
      </c>
      <c r="M603" s="7">
        <f>=DATE(2011,11,22)</f>
        <v>40868.99949074074</v>
      </c>
      <c r="W603" s="6" t="str">
        <v>Monitors/Terminals;Applications Software(Business;Operating Systems;Computer Consulting Services;Internet Services &amp; Software;Other Peripherals</v>
      </c>
      <c r="X603" s="6" t="str">
        <v>Internet Services &amp; Software</v>
      </c>
      <c r="Y603" s="6" t="str">
        <v>Internet Services &amp; Software</v>
      </c>
      <c r="Z603" s="6" t="str">
        <v>Internet Services &amp; Software</v>
      </c>
      <c r="AA603" s="6" t="str">
        <v>Monitors/Terminals;Applications Software(Business;Internet Services &amp; Software;Operating Systems;Computer Consulting Services;Other Peripherals</v>
      </c>
      <c r="AB603" s="6" t="str">
        <v>Applications Software(Business;Other Peripherals;Monitors/Terminals;Computer Consulting Services;Operating Systems;Internet Services &amp; Software</v>
      </c>
      <c r="AH603" s="6" t="str">
        <v>False</v>
      </c>
      <c r="AI603" s="6" t="str">
        <v>2011</v>
      </c>
      <c r="AJ603" s="6" t="str">
        <v>Completed</v>
      </c>
      <c r="AM603" s="6" t="str">
        <v>Not Applicable</v>
      </c>
      <c r="AO603" s="6" t="str">
        <v>US - Microsoft Corp acquired VideoSurf Inc, a San Mateo-based provider of online video hosting services.</v>
      </c>
    </row>
    <row r="604">
      <c r="A604" s="6" t="str">
        <v>30303M</v>
      </c>
      <c r="B604" s="6" t="str">
        <v>United States</v>
      </c>
      <c r="C604" s="6" t="str">
        <v>Facebook Inc</v>
      </c>
      <c r="D604" s="6" t="str">
        <v>Facebook Inc</v>
      </c>
      <c r="F604" s="6" t="str">
        <v>United States</v>
      </c>
      <c r="G604" s="6" t="str">
        <v>Gowalla Inc</v>
      </c>
      <c r="H604" s="6" t="str">
        <v>Prepackaged Software</v>
      </c>
      <c r="I604" s="6" t="str">
        <v>38396X</v>
      </c>
      <c r="J604" s="6" t="str">
        <v>Gowalla Inc</v>
      </c>
      <c r="K604" s="6" t="str">
        <v>Gowalla Inc</v>
      </c>
      <c r="L604" s="7">
        <f>=DATE(2011,12,2)</f>
        <v>40878.99949074074</v>
      </c>
      <c r="M604" s="7">
        <f>=DATE(2011,12,2)</f>
        <v>40878.99949074074</v>
      </c>
      <c r="W604" s="6" t="str">
        <v>Internet Services &amp; Software</v>
      </c>
      <c r="X604" s="6" t="str">
        <v>Applications Software(Business</v>
      </c>
      <c r="Y604" s="6" t="str">
        <v>Applications Software(Business</v>
      </c>
      <c r="Z604" s="6" t="str">
        <v>Applications Software(Business</v>
      </c>
      <c r="AA604" s="6" t="str">
        <v>Internet Services &amp; Software</v>
      </c>
      <c r="AB604" s="6" t="str">
        <v>Internet Services &amp; Software</v>
      </c>
      <c r="AH604" s="6" t="str">
        <v>True</v>
      </c>
      <c r="AI604" s="6" t="str">
        <v>2011</v>
      </c>
      <c r="AJ604" s="6" t="str">
        <v>Completed</v>
      </c>
      <c r="AM604" s="6" t="str">
        <v>Rumored Deal;Financial Acquiror</v>
      </c>
      <c r="AO604" s="6" t="str">
        <v>US - Facebook Inc acquired Gowalla Inc, an Austin-based developer of social networking application. Terms were not disclosed.</v>
      </c>
    </row>
    <row r="605">
      <c r="A605" s="6" t="str">
        <v>37657R</v>
      </c>
      <c r="B605" s="6" t="str">
        <v>United States</v>
      </c>
      <c r="C605" s="6" t="str">
        <v>GitHub Inc</v>
      </c>
      <c r="D605" s="6" t="str">
        <v>GitHub Inc</v>
      </c>
      <c r="F605" s="6" t="str">
        <v>United States</v>
      </c>
      <c r="G605" s="6" t="str">
        <v>Ordered List</v>
      </c>
      <c r="H605" s="6" t="str">
        <v>Business Services</v>
      </c>
      <c r="I605" s="6" t="str">
        <v>68696M</v>
      </c>
      <c r="J605" s="6" t="str">
        <v>Ordered List</v>
      </c>
      <c r="K605" s="6" t="str">
        <v>Ordered List</v>
      </c>
      <c r="L605" s="7">
        <f>=DATE(2011,12,5)</f>
        <v>40881.99949074074</v>
      </c>
      <c r="M605" s="7">
        <f>=DATE(2011,12,5)</f>
        <v>40881.99949074074</v>
      </c>
      <c r="W605" s="6" t="str">
        <v>Internet Services &amp; Software</v>
      </c>
      <c r="X605" s="6" t="str">
        <v>Internet Services &amp; Software</v>
      </c>
      <c r="Y605" s="6" t="str">
        <v>Internet Services &amp; Software</v>
      </c>
      <c r="Z605" s="6" t="str">
        <v>Internet Services &amp; Software</v>
      </c>
      <c r="AA605" s="6" t="str">
        <v>Internet Services &amp; Software</v>
      </c>
      <c r="AB605" s="6" t="str">
        <v>Internet Services &amp; Software</v>
      </c>
      <c r="AH605" s="6" t="str">
        <v>False</v>
      </c>
      <c r="AI605" s="6" t="str">
        <v>2011</v>
      </c>
      <c r="AJ605" s="6" t="str">
        <v>Completed</v>
      </c>
      <c r="AM605" s="6" t="str">
        <v>Not Applicable</v>
      </c>
      <c r="AO605" s="6" t="str">
        <v>US - GitHub Inc acquired Ordered List, a South Bend-based provider of web-based hosting services.</v>
      </c>
    </row>
    <row r="606">
      <c r="A606" s="6" t="str">
        <v>023135</v>
      </c>
      <c r="B606" s="6" t="str">
        <v>United States</v>
      </c>
      <c r="C606" s="6" t="str">
        <v>Amazon.com Inc</v>
      </c>
      <c r="D606" s="6" t="str">
        <v>Amazon.com Inc</v>
      </c>
      <c r="F606" s="6" t="str">
        <v>United States</v>
      </c>
      <c r="G606" s="6" t="str">
        <v>Foxit Corp</v>
      </c>
      <c r="H606" s="6" t="str">
        <v>Prepackaged Software</v>
      </c>
      <c r="I606" s="6" t="str">
        <v>35220Q</v>
      </c>
      <c r="J606" s="6" t="str">
        <v>Foxit Corp</v>
      </c>
      <c r="K606" s="6" t="str">
        <v>Foxit Corp</v>
      </c>
      <c r="L606" s="7">
        <f>=DATE(2011,12,6)</f>
        <v>40882.99949074074</v>
      </c>
      <c r="M606" s="7">
        <f>=DATE(2011,12,6)</f>
        <v>40882.99949074074</v>
      </c>
      <c r="W606" s="6" t="str">
        <v>Primary Business not Hi-Tech</v>
      </c>
      <c r="X606" s="6" t="str">
        <v>Utilities/File Mgmt Software;Applications Software(Business</v>
      </c>
      <c r="Y606" s="6" t="str">
        <v>Applications Software(Business;Utilities/File Mgmt Software</v>
      </c>
      <c r="Z606" s="6" t="str">
        <v>Utilities/File Mgmt Software;Applications Software(Business</v>
      </c>
      <c r="AA606" s="6" t="str">
        <v>Primary Business not Hi-Tech</v>
      </c>
      <c r="AB606" s="6" t="str">
        <v>Primary Business not Hi-Tech</v>
      </c>
      <c r="AH606" s="6" t="str">
        <v>True</v>
      </c>
      <c r="AI606" s="6" t="str">
        <v>2011</v>
      </c>
      <c r="AJ606" s="6" t="str">
        <v>Completed</v>
      </c>
      <c r="AM606" s="6" t="str">
        <v>Privately Negotiated Purchase</v>
      </c>
      <c r="AO606" s="6" t="str">
        <v>United States - Amazon.com Inc acquired an undisclosed minority stake in Foxit Corp, a provider of prepackaged software development services, in a privately negotiated transaction.</v>
      </c>
    </row>
    <row r="607">
      <c r="A607" s="6" t="str">
        <v>052660</v>
      </c>
      <c r="B607" s="6" t="str">
        <v>United States</v>
      </c>
      <c r="C607" s="6" t="str">
        <v>AuthenTec Inc</v>
      </c>
      <c r="D607" s="6" t="str">
        <v>AuthenTec Inc</v>
      </c>
      <c r="F607" s="6" t="str">
        <v>United States</v>
      </c>
      <c r="G607" s="6" t="str">
        <v>PeerSec Networks Inc</v>
      </c>
      <c r="H607" s="6" t="str">
        <v>Prepackaged Software</v>
      </c>
      <c r="I607" s="6" t="str">
        <v>70579Q</v>
      </c>
      <c r="J607" s="6" t="str">
        <v>PeerSec Networks Inc</v>
      </c>
      <c r="K607" s="6" t="str">
        <v>PeerSec Networks Inc</v>
      </c>
      <c r="L607" s="7">
        <f>=DATE(2011,12,6)</f>
        <v>40882.99949074074</v>
      </c>
      <c r="M607" s="7">
        <f>=DATE(2011,12,6)</f>
        <v>40882.99949074074</v>
      </c>
      <c r="W607" s="6" t="str">
        <v>Semiconductors;Other Electronics;Search, Detection, Navigation</v>
      </c>
      <c r="X607" s="6" t="str">
        <v>Applications Software(Business</v>
      </c>
      <c r="Y607" s="6" t="str">
        <v>Applications Software(Business</v>
      </c>
      <c r="Z607" s="6" t="str">
        <v>Applications Software(Business</v>
      </c>
      <c r="AA607" s="6" t="str">
        <v>Other Electronics;Search, Detection, Navigation;Semiconductors</v>
      </c>
      <c r="AB607" s="6" t="str">
        <v>Search, Detection, Navigation;Semiconductors;Other Electronics</v>
      </c>
      <c r="AH607" s="6" t="str">
        <v>False</v>
      </c>
      <c r="AI607" s="6" t="str">
        <v>2011</v>
      </c>
      <c r="AJ607" s="6" t="str">
        <v>Completed</v>
      </c>
      <c r="AM607" s="6" t="str">
        <v>Not Applicable</v>
      </c>
      <c r="AO607" s="6" t="str">
        <v>US - AuthenTec Inc acquired PeerSec Networks Inc, a Seattle-based developer of device security software. Terms were not disclosed.</v>
      </c>
    </row>
    <row r="608">
      <c r="A608" s="6" t="str">
        <v>98787H</v>
      </c>
      <c r="B608" s="6" t="str">
        <v>United States</v>
      </c>
      <c r="C608" s="6" t="str">
        <v>YouTube Inc</v>
      </c>
      <c r="D608" s="6" t="str">
        <v>Alphabet Inc</v>
      </c>
      <c r="F608" s="6" t="str">
        <v>United States</v>
      </c>
      <c r="G608" s="6" t="str">
        <v>RightsFlow Inc</v>
      </c>
      <c r="H608" s="6" t="str">
        <v>Business Services</v>
      </c>
      <c r="I608" s="6" t="str">
        <v>76873V</v>
      </c>
      <c r="J608" s="6" t="str">
        <v>RightsFlow Inc</v>
      </c>
      <c r="K608" s="6" t="str">
        <v>RightsFlow Inc</v>
      </c>
      <c r="L608" s="7">
        <f>=DATE(2011,12,9)</f>
        <v>40885.99949074074</v>
      </c>
      <c r="M608" s="7">
        <f>=DATE(2011,12,9)</f>
        <v>40885.99949074074</v>
      </c>
      <c r="W608" s="6" t="str">
        <v>Internet Services &amp; Software</v>
      </c>
      <c r="X608" s="6" t="str">
        <v>Internet Services &amp; Software</v>
      </c>
      <c r="Y608" s="6" t="str">
        <v>Internet Services &amp; Software</v>
      </c>
      <c r="Z608" s="6" t="str">
        <v>Internet Services &amp; Software</v>
      </c>
      <c r="AA608" s="6" t="str">
        <v>Internet Services &amp; Software;Programming Services</v>
      </c>
      <c r="AB608" s="6" t="str">
        <v>Primary Business not Hi-Tech;Programming Services;Computer Consulting Services;Internet Services &amp; Software;Telecommunications Equipment</v>
      </c>
      <c r="AH608" s="6" t="str">
        <v>False</v>
      </c>
      <c r="AI608" s="6" t="str">
        <v>2011</v>
      </c>
      <c r="AJ608" s="6" t="str">
        <v>Completed</v>
      </c>
      <c r="AM608" s="6" t="str">
        <v>Financial Acquiror</v>
      </c>
      <c r="AO608" s="6" t="str">
        <v>US - YouTube Inc, a unit of Google Inc, acquired RightsFlow Inc, a New York-based provider of mechanical licensing and royalty payment services. Terms were not disclosed.</v>
      </c>
    </row>
    <row r="609">
      <c r="A609" s="6" t="str">
        <v>38259P</v>
      </c>
      <c r="B609" s="6" t="str">
        <v>United States</v>
      </c>
      <c r="C609" s="6" t="str">
        <v>Google Inc</v>
      </c>
      <c r="D609" s="6" t="str">
        <v>Alphabet Inc</v>
      </c>
      <c r="F609" s="6" t="str">
        <v>United States</v>
      </c>
      <c r="G609" s="6" t="str">
        <v>Clever Sense Inc</v>
      </c>
      <c r="H609" s="6" t="str">
        <v>Prepackaged Software</v>
      </c>
      <c r="I609" s="6" t="str">
        <v>18584W</v>
      </c>
      <c r="J609" s="6" t="str">
        <v>Clever Sense Inc</v>
      </c>
      <c r="K609" s="6" t="str">
        <v>Clever Sense Inc</v>
      </c>
      <c r="L609" s="7">
        <f>=DATE(2011,12,13)</f>
        <v>40889.99949074074</v>
      </c>
      <c r="M609" s="7">
        <f>=DATE(2011,12,13)</f>
        <v>40889.99949074074</v>
      </c>
      <c r="W609" s="6" t="str">
        <v>Programming Services;Internet Services &amp; Software</v>
      </c>
      <c r="X609" s="6" t="str">
        <v>Applications Software(Home);Other Software (inq. Games)</v>
      </c>
      <c r="Y609" s="6" t="str">
        <v>Other Software (inq. Games);Applications Software(Home)</v>
      </c>
      <c r="Z609" s="6" t="str">
        <v>Other Software (inq. Games);Applications Software(Home)</v>
      </c>
      <c r="AA609" s="6" t="str">
        <v>Primary Business not Hi-Tech;Internet Services &amp; Software;Computer Consulting Services;Telecommunications Equipment;Programming Services</v>
      </c>
      <c r="AB609" s="6" t="str">
        <v>Programming Services;Computer Consulting Services;Telecommunications Equipment;Internet Services &amp; Software;Primary Business not Hi-Tech</v>
      </c>
      <c r="AH609" s="6" t="str">
        <v>False</v>
      </c>
      <c r="AI609" s="6" t="str">
        <v>2011</v>
      </c>
      <c r="AJ609" s="6" t="str">
        <v>Completed</v>
      </c>
      <c r="AM609" s="6" t="str">
        <v>Financial Acquiror</v>
      </c>
      <c r="AO609" s="6" t="str">
        <v>US - Google Inc acquired Clever Sense Inc, a Mountain View-based developer of mobile application software. Terms were not disclosed.</v>
      </c>
    </row>
    <row r="610">
      <c r="A610" s="6" t="str">
        <v>023135</v>
      </c>
      <c r="B610" s="6" t="str">
        <v>United States</v>
      </c>
      <c r="C610" s="6" t="str">
        <v>Amazon.com Inc</v>
      </c>
      <c r="D610" s="6" t="str">
        <v>Amazon.com Inc</v>
      </c>
      <c r="F610" s="6" t="str">
        <v>Turkey</v>
      </c>
      <c r="G610" s="6" t="str">
        <v>Ciceksepeti Internet Hizmetleri As</v>
      </c>
      <c r="H610" s="6" t="str">
        <v>Miscellaneous Retail Trade</v>
      </c>
      <c r="I610" s="6" t="str">
        <v>17487L</v>
      </c>
      <c r="J610" s="6" t="str">
        <v>Ciceksepeti Internet Hizmetleri As</v>
      </c>
      <c r="K610" s="6" t="str">
        <v>Ciceksepeti Internet Hizmetleri As</v>
      </c>
      <c r="L610" s="7">
        <f>=DATE(2011,12,20)</f>
        <v>40896.99949074074</v>
      </c>
      <c r="W610" s="6" t="str">
        <v>Primary Business not Hi-Tech</v>
      </c>
      <c r="X610" s="6" t="str">
        <v>Internet Services &amp; Software</v>
      </c>
      <c r="Y610" s="6" t="str">
        <v>Internet Services &amp; Software</v>
      </c>
      <c r="Z610" s="6" t="str">
        <v>Internet Services &amp; Software</v>
      </c>
      <c r="AA610" s="6" t="str">
        <v>Primary Business not Hi-Tech</v>
      </c>
      <c r="AB610" s="6" t="str">
        <v>Primary Business not Hi-Tech</v>
      </c>
      <c r="AH610" s="6" t="str">
        <v>True</v>
      </c>
      <c r="AJ610" s="6" t="str">
        <v>Pending</v>
      </c>
      <c r="AM610" s="6" t="str">
        <v>Privately Negotiated Purchase</v>
      </c>
      <c r="AO610" s="6" t="str">
        <v>TURKEY - Amazon.com Inc of the US agreed to acquire an undisclosed minority stake in Ciceksepeti Internet Hizmetleri AS, an Istanbul-based provider of ecommerce retail services, in a privately negotiated transaction. Terms were not disclosed.</v>
      </c>
    </row>
    <row r="611">
      <c r="A611" s="6" t="str">
        <v>67020Y</v>
      </c>
      <c r="B611" s="6" t="str">
        <v>United States</v>
      </c>
      <c r="C611" s="6" t="str">
        <v>Nuance Communications Inc</v>
      </c>
      <c r="D611" s="6" t="str">
        <v>Nuance Communications Inc</v>
      </c>
      <c r="F611" s="6" t="str">
        <v>United States</v>
      </c>
      <c r="G611" s="6" t="str">
        <v>Vlingo Inc</v>
      </c>
      <c r="H611" s="6" t="str">
        <v>Prepackaged Software</v>
      </c>
      <c r="I611" s="6" t="str">
        <v>93519M</v>
      </c>
      <c r="J611" s="6" t="str">
        <v>Vlingo Inc</v>
      </c>
      <c r="K611" s="6" t="str">
        <v>Vlingo Inc</v>
      </c>
      <c r="L611" s="7">
        <f>=DATE(2011,12,20)</f>
        <v>40896.99949074074</v>
      </c>
      <c r="M611" s="7">
        <f>=DATE(2012,6,1)</f>
        <v>41060.99949074074</v>
      </c>
      <c r="N611" s="8">
        <v>200</v>
      </c>
      <c r="O611" s="8">
        <v>200</v>
      </c>
      <c r="R611" s="8">
        <v>-23.377</v>
      </c>
      <c r="S611" s="8">
        <v>4.46</v>
      </c>
      <c r="T611" s="8">
        <v>12.768</v>
      </c>
      <c r="U611" s="8">
        <v>-1.412</v>
      </c>
      <c r="V611" s="8">
        <v>-14.259</v>
      </c>
      <c r="W611" s="6" t="str">
        <v>Applications Software(Home);Other Software (inq. Games);Internet Services &amp; Software;Communication/Network Software;Programming Services;Primary Business not Hi-Tech;Desktop Publishing;Utilities/File Mgmt Software;Applications Software(Business;Other Computer Related Svcs;Computer Consulting Services;Database Software/Programming;Networking Systems (LAN,WAN)</v>
      </c>
      <c r="X611" s="6" t="str">
        <v>Satellite Communications;Cellular Communications;Communication/Network Software</v>
      </c>
      <c r="Y611" s="6" t="str">
        <v>Communication/Network Software;Cellular Communications;Satellite Communications</v>
      </c>
      <c r="Z611" s="6" t="str">
        <v>Satellite Communications;Communication/Network Software;Cellular Communications</v>
      </c>
      <c r="AA611" s="6" t="str">
        <v>Applications Software(Home);Desktop Publishing;Primary Business not Hi-Tech;Utilities/File Mgmt Software;Communication/Network Software;Other Computer Related Svcs;Applications Software(Business;Computer Consulting Services;Database Software/Programming;Internet Services &amp; Software;Programming Services;Networking Systems (LAN,WAN);Other Software (inq. Games)</v>
      </c>
      <c r="AB611" s="6" t="str">
        <v>Database Software/Programming;Primary Business not Hi-Tech;Applications Software(Business;Utilities/File Mgmt Software;Communication/Network Software;Computer Consulting Services;Internet Services &amp; Software;Other Computer Related Svcs;Other Software (inq. Games);Networking Systems (LAN,WAN);Applications Software(Home);Desktop Publishing;Programming Services</v>
      </c>
      <c r="AC611" s="8">
        <v>200</v>
      </c>
      <c r="AD611" s="7">
        <f>=DATE(2012,6,1)</f>
        <v>41060.99949074074</v>
      </c>
      <c r="AH611" s="6" t="str">
        <v>True</v>
      </c>
      <c r="AI611" s="6" t="str">
        <v>2012</v>
      </c>
      <c r="AJ611" s="6" t="str">
        <v>Completed</v>
      </c>
      <c r="AM611" s="6" t="str">
        <v>Financial Acquiror</v>
      </c>
      <c r="AN611" s="8">
        <v>0.928</v>
      </c>
      <c r="AO611" s="6" t="str">
        <v>US - Nuance Communications Inc acquired Vlingo Inc, a Cambridge-based developer of speech recognition software, for an estimated USD 200 mil in cash.</v>
      </c>
    </row>
    <row r="612">
      <c r="A612" s="6" t="str">
        <v>023135</v>
      </c>
      <c r="B612" s="6" t="str">
        <v>United States</v>
      </c>
      <c r="C612" s="6" t="str">
        <v>Amazon.com Inc</v>
      </c>
      <c r="D612" s="6" t="str">
        <v>Amazon.com Inc</v>
      </c>
      <c r="F612" s="6" t="str">
        <v>United States</v>
      </c>
      <c r="G612" s="6" t="str">
        <v>Quorus Inc</v>
      </c>
      <c r="H612" s="6" t="str">
        <v>Business Services</v>
      </c>
      <c r="I612" s="6" t="str">
        <v>76883Z</v>
      </c>
      <c r="J612" s="6" t="str">
        <v>Quorus Inc</v>
      </c>
      <c r="K612" s="6" t="str">
        <v>Quorus Inc</v>
      </c>
      <c r="L612" s="7">
        <f>=DATE(2011,12,28)</f>
        <v>40904.99949074074</v>
      </c>
      <c r="M612" s="7">
        <f>=DATE(2011,12,28)</f>
        <v>40904.99949074074</v>
      </c>
      <c r="W612" s="6" t="str">
        <v>Primary Business not Hi-Tech</v>
      </c>
      <c r="X612" s="6" t="str">
        <v>Internet Services &amp; Software;Communication/Network Software</v>
      </c>
      <c r="Y612" s="6" t="str">
        <v>Communication/Network Software;Internet Services &amp; Software</v>
      </c>
      <c r="Z612" s="6" t="str">
        <v>Communication/Network Software;Internet Services &amp; Software</v>
      </c>
      <c r="AA612" s="6" t="str">
        <v>Primary Business not Hi-Tech</v>
      </c>
      <c r="AB612" s="6" t="str">
        <v>Primary Business not Hi-Tech</v>
      </c>
      <c r="AH612" s="6" t="str">
        <v>True</v>
      </c>
      <c r="AI612" s="6" t="str">
        <v>2011</v>
      </c>
      <c r="AJ612" s="6" t="str">
        <v>Completed</v>
      </c>
      <c r="AM612" s="6" t="str">
        <v>Not Applicable</v>
      </c>
      <c r="AO612" s="6" t="str">
        <v>US - Amazon.com Inc acquired Quorus Inc, a Seattle-based provider of online communication services.</v>
      </c>
    </row>
    <row r="613">
      <c r="A613" s="6" t="str">
        <v>037833</v>
      </c>
      <c r="B613" s="6" t="str">
        <v>United States</v>
      </c>
      <c r="C613" s="6" t="str">
        <v>Apple Inc</v>
      </c>
      <c r="D613" s="6" t="str">
        <v>Apple Inc</v>
      </c>
      <c r="F613" s="6" t="str">
        <v>Israel</v>
      </c>
      <c r="G613" s="6" t="str">
        <v>Anobit Technologies Ltd</v>
      </c>
      <c r="H613" s="6" t="str">
        <v>Computer and Office Equipment</v>
      </c>
      <c r="I613" s="6" t="str">
        <v>04150X</v>
      </c>
      <c r="J613" s="6" t="str">
        <v>Anobit Technologies Ltd</v>
      </c>
      <c r="K613" s="6" t="str">
        <v>Anobit Technologies Ltd</v>
      </c>
      <c r="L613" s="7">
        <f>=DATE(2012,1,6)</f>
        <v>40913.99949074074</v>
      </c>
      <c r="M613" s="7">
        <f>=DATE(2012,1,6)</f>
        <v>40913.99949074074</v>
      </c>
      <c r="W613" s="6" t="str">
        <v>Portable Computers;Other Peripherals;Disk Drives;Micro-Computers (PCs);Printers;Mainframes &amp; Super Computers;Monitors/Terminals;Other Software (inq. Games)</v>
      </c>
      <c r="X613" s="6" t="str">
        <v>Other Peripherals</v>
      </c>
      <c r="Y613" s="6" t="str">
        <v>Other Peripherals</v>
      </c>
      <c r="Z613" s="6" t="str">
        <v>Other Peripherals</v>
      </c>
      <c r="AA613" s="6" t="str">
        <v>Portable Computers;Other Software (inq. Games);Monitors/Terminals;Printers;Micro-Computers (PCs);Other Peripherals;Disk Drives;Mainframes &amp; Super Computers</v>
      </c>
      <c r="AB613" s="6" t="str">
        <v>Portable Computers;Other Software (inq. Games);Other Peripherals;Printers;Monitors/Terminals;Disk Drives;Mainframes &amp; Super Computers;Micro-Computers (PCs)</v>
      </c>
      <c r="AD613" s="7">
        <f>=DATE(2011,12,13)</f>
        <v>40889.99949074074</v>
      </c>
      <c r="AH613" s="6" t="str">
        <v>True</v>
      </c>
      <c r="AI613" s="6" t="str">
        <v>2012</v>
      </c>
      <c r="AJ613" s="6" t="str">
        <v>Completed</v>
      </c>
      <c r="AM613" s="6" t="str">
        <v>Rumored Deal</v>
      </c>
      <c r="AO613" s="6" t="str">
        <v>ISRAEL - Apple Inc of the US acquired Anobit Technologies Ltd, a Herzliya Pituach-based provider of flash storage solutions. Originally in December 2011, Apple was rumored to be planning to acquire Anobit.</v>
      </c>
    </row>
    <row r="614">
      <c r="A614" s="6" t="str">
        <v>052660</v>
      </c>
      <c r="B614" s="6" t="str">
        <v>United States</v>
      </c>
      <c r="C614" s="6" t="str">
        <v>AuthenTec Inc</v>
      </c>
      <c r="D614" s="6" t="str">
        <v>AuthenTec Inc</v>
      </c>
      <c r="F614" s="6" t="str">
        <v>United States</v>
      </c>
      <c r="G614" s="6" t="str">
        <v>Proxure Inc</v>
      </c>
      <c r="H614" s="6" t="str">
        <v>Prepackaged Software</v>
      </c>
      <c r="I614" s="6" t="str">
        <v>76886V</v>
      </c>
      <c r="J614" s="6" t="str">
        <v>Proxure Inc</v>
      </c>
      <c r="K614" s="6" t="str">
        <v>Proxure Inc</v>
      </c>
      <c r="L614" s="7">
        <f>=DATE(2012,1,9)</f>
        <v>40916.99949074074</v>
      </c>
      <c r="M614" s="7">
        <f>=DATE(2012,1,9)</f>
        <v>40916.99949074074</v>
      </c>
      <c r="W614" s="6" t="str">
        <v>Semiconductors;Search, Detection, Navigation;Other Electronics</v>
      </c>
      <c r="X614" s="6" t="str">
        <v>Applications Software(Business</v>
      </c>
      <c r="Y614" s="6" t="str">
        <v>Applications Software(Business</v>
      </c>
      <c r="Z614" s="6" t="str">
        <v>Applications Software(Business</v>
      </c>
      <c r="AA614" s="6" t="str">
        <v>Search, Detection, Navigation;Other Electronics;Semiconductors</v>
      </c>
      <c r="AB614" s="6" t="str">
        <v>Other Electronics;Semiconductors;Search, Detection, Navigation</v>
      </c>
      <c r="AH614" s="6" t="str">
        <v>False</v>
      </c>
      <c r="AI614" s="6" t="str">
        <v>2012</v>
      </c>
      <c r="AJ614" s="6" t="str">
        <v>Completed</v>
      </c>
      <c r="AM614" s="6" t="str">
        <v>Not Applicable</v>
      </c>
      <c r="AO614" s="6" t="str">
        <v>US - AuthenTec Inc acquired Proxure Inc, a San Luis Obispo-based developer of syncing and cloud-based storage solutions software. Terms were not disclosed.</v>
      </c>
    </row>
    <row r="615">
      <c r="A615" s="6" t="str">
        <v>594918</v>
      </c>
      <c r="B615" s="6" t="str">
        <v>United States</v>
      </c>
      <c r="C615" s="6" t="str">
        <v>Microsoft Corp</v>
      </c>
      <c r="D615" s="6" t="str">
        <v>Microsoft Corp</v>
      </c>
      <c r="F615" s="6" t="str">
        <v>United States</v>
      </c>
      <c r="G615" s="6" t="str">
        <v>24/7 Customer Inc</v>
      </c>
      <c r="H615" s="6" t="str">
        <v>Business Services</v>
      </c>
      <c r="I615" s="6" t="str">
        <v>92060V</v>
      </c>
      <c r="J615" s="6" t="str">
        <v>24/7 Customer Inc</v>
      </c>
      <c r="K615" s="6" t="str">
        <v>24/7 Customer Inc</v>
      </c>
      <c r="L615" s="7">
        <f>=DATE(2012,2,7)</f>
        <v>40945.99949074074</v>
      </c>
      <c r="W615" s="6" t="str">
        <v>Other Peripherals;Operating Systems;Computer Consulting Services;Applications Software(Business;Monitors/Terminals;Internet Services &amp; Software</v>
      </c>
      <c r="X615" s="6" t="str">
        <v>Other Computer Related Svcs;Data Processing Services</v>
      </c>
      <c r="Y615" s="6" t="str">
        <v>Other Computer Related Svcs;Data Processing Services</v>
      </c>
      <c r="Z615" s="6" t="str">
        <v>Data Processing Services;Other Computer Related Svcs</v>
      </c>
      <c r="AA615" s="6" t="str">
        <v>Internet Services &amp; Software;Applications Software(Business;Computer Consulting Services;Other Peripherals;Monitors/Terminals;Operating Systems</v>
      </c>
      <c r="AB615" s="6" t="str">
        <v>Monitors/Terminals;Internet Services &amp; Software;Other Peripherals;Operating Systems;Applications Software(Business;Computer Consulting Services</v>
      </c>
      <c r="AH615" s="6" t="str">
        <v>False</v>
      </c>
      <c r="AJ615" s="6" t="str">
        <v>Pending</v>
      </c>
      <c r="AM615" s="6" t="str">
        <v>Privately Negotiated Purchase</v>
      </c>
      <c r="AO615" s="6" t="str">
        <v>US - Microsoft Corp agreed to acquire an undisclosed minority stake in 24/7 Inc, a Campbell-based provider of outsourcing and call center services, in a privately negotiated transaction.</v>
      </c>
    </row>
    <row r="616">
      <c r="A616" s="6" t="str">
        <v>53578A</v>
      </c>
      <c r="B616" s="6" t="str">
        <v>United States</v>
      </c>
      <c r="C616" s="6" t="str">
        <v>LinkedIn Corp</v>
      </c>
      <c r="D616" s="6" t="str">
        <v>LinkedIn Corp</v>
      </c>
      <c r="F616" s="6" t="str">
        <v>United States</v>
      </c>
      <c r="G616" s="6" t="str">
        <v>Rapportive Inc</v>
      </c>
      <c r="H616" s="6" t="str">
        <v>Business Services</v>
      </c>
      <c r="I616" s="6" t="str">
        <v>99505N</v>
      </c>
      <c r="J616" s="6" t="str">
        <v>Rapportive Inc</v>
      </c>
      <c r="K616" s="6" t="str">
        <v>Rapportive Inc</v>
      </c>
      <c r="L616" s="7">
        <f>=DATE(2012,2,7)</f>
        <v>40945.99949074074</v>
      </c>
      <c r="M616" s="7">
        <f>=DATE(2012,2,23)</f>
        <v>40961.99949074074</v>
      </c>
      <c r="N616" s="8">
        <v>15</v>
      </c>
      <c r="O616" s="8">
        <v>15</v>
      </c>
      <c r="W616" s="6" t="str">
        <v>Internet Services &amp; Software</v>
      </c>
      <c r="X616" s="6" t="str">
        <v>Internet Services &amp; Software</v>
      </c>
      <c r="Y616" s="6" t="str">
        <v>Internet Services &amp; Software</v>
      </c>
      <c r="Z616" s="6" t="str">
        <v>Internet Services &amp; Software</v>
      </c>
      <c r="AA616" s="6" t="str">
        <v>Internet Services &amp; Software</v>
      </c>
      <c r="AB616" s="6" t="str">
        <v>Internet Services &amp; Software</v>
      </c>
      <c r="AC616" s="8">
        <v>15</v>
      </c>
      <c r="AD616" s="7">
        <f>=DATE(2012,2,23)</f>
        <v>40961.99949074074</v>
      </c>
      <c r="AH616" s="6" t="str">
        <v>False</v>
      </c>
      <c r="AI616" s="6" t="str">
        <v>2012</v>
      </c>
      <c r="AJ616" s="6" t="str">
        <v>Completed</v>
      </c>
      <c r="AM616" s="6" t="str">
        <v>Financial Acquiror;Rumored Deal</v>
      </c>
      <c r="AO616" s="6" t="str">
        <v>US - LinkedIn Corp acquired Rapportive Inc, a San Francisco-based provider of contact information services, for USD 15 mil. Previously, Linkedln Corp was rumored to be planning to acquire Rapportive Inc.</v>
      </c>
    </row>
    <row r="617">
      <c r="A617" s="6" t="str">
        <v>00507V</v>
      </c>
      <c r="B617" s="6" t="str">
        <v>United States</v>
      </c>
      <c r="C617" s="6" t="str">
        <v>Activision Blizzard Inc</v>
      </c>
      <c r="D617" s="6" t="str">
        <v>Vivendi SE</v>
      </c>
      <c r="F617" s="6" t="str">
        <v>United States</v>
      </c>
      <c r="G617" s="6" t="str">
        <v>Activision Blizzard Inc</v>
      </c>
      <c r="H617" s="6" t="str">
        <v>Prepackaged Software</v>
      </c>
      <c r="I617" s="6" t="str">
        <v>00507V</v>
      </c>
      <c r="J617" s="6" t="str">
        <v>Vivendi SE</v>
      </c>
      <c r="K617" s="6" t="str">
        <v>Vivendi SE</v>
      </c>
      <c r="L617" s="7">
        <f>=DATE(2012,2,9)</f>
        <v>40947.99949074074</v>
      </c>
      <c r="N617" s="8">
        <v>1000</v>
      </c>
      <c r="O617" s="8">
        <v>1000</v>
      </c>
      <c r="R617" s="8">
        <v>1085</v>
      </c>
      <c r="S617" s="8">
        <v>4755</v>
      </c>
      <c r="T617" s="8">
        <v>-808</v>
      </c>
      <c r="U617" s="8">
        <v>266</v>
      </c>
      <c r="V617" s="8">
        <v>952</v>
      </c>
      <c r="W617" s="6" t="str">
        <v>Operating Systems;Other Software (inq. Games);Other Computer Systems</v>
      </c>
      <c r="X617" s="6" t="str">
        <v>Other Computer Systems;Other Software (inq. Games);Operating Systems</v>
      </c>
      <c r="Y617" s="6" t="str">
        <v>Other Software (inq. Games);Internet Services &amp; Software;Primary Business not Hi-Tech</v>
      </c>
      <c r="Z617" s="6" t="str">
        <v>Primary Business not Hi-Tech;Internet Services &amp; Software;Other Software (inq. Games)</v>
      </c>
      <c r="AA617" s="6" t="str">
        <v>Primary Business not Hi-Tech;Internet Services &amp; Software;Other Software (inq. Games)</v>
      </c>
      <c r="AB617" s="6" t="str">
        <v>Other Software (inq. Games);Internet Services &amp; Software;Primary Business not Hi-Tech</v>
      </c>
      <c r="AC617" s="8">
        <v>1000</v>
      </c>
      <c r="AD617" s="7">
        <f>=DATE(2012,2,9)</f>
        <v>40947.99949074074</v>
      </c>
      <c r="AH617" s="6" t="str">
        <v>True</v>
      </c>
      <c r="AJ617" s="6" t="str">
        <v>Intended</v>
      </c>
      <c r="AM617" s="6" t="str">
        <v>Repurchase;Open Market Purchase</v>
      </c>
      <c r="AN617" s="8">
        <v>7706</v>
      </c>
      <c r="AO617" s="6" t="str">
        <v>US - In February 2012, the board of Activision Blizzard Inc, a Santa Monica-based developer and wholesaler of interactive software, authorized the repurchase of up to USD 1 bil of the company's common stock outstanding in open market transactions.</v>
      </c>
    </row>
    <row r="618">
      <c r="A618" s="6" t="str">
        <v>27195M</v>
      </c>
      <c r="B618" s="6" t="str">
        <v>United States</v>
      </c>
      <c r="C618" s="6" t="str">
        <v>Z2Live Inc</v>
      </c>
      <c r="D618" s="6" t="str">
        <v>Z2Live Inc</v>
      </c>
      <c r="F618" s="6" t="str">
        <v>Canada</v>
      </c>
      <c r="G618" s="6" t="str">
        <v>Big Sandwich Games</v>
      </c>
      <c r="H618" s="6" t="str">
        <v>Prepackaged Software</v>
      </c>
      <c r="I618" s="6" t="str">
        <v>09399J</v>
      </c>
      <c r="J618" s="6" t="str">
        <v>Big Sandwich Games</v>
      </c>
      <c r="K618" s="6" t="str">
        <v>Big Sandwich Games</v>
      </c>
      <c r="L618" s="7">
        <f>=DATE(2012,2,23)</f>
        <v>40961.99949074074</v>
      </c>
      <c r="M618" s="7">
        <f>=DATE(2012,2,23)</f>
        <v>40961.99949074074</v>
      </c>
      <c r="W618" s="6" t="str">
        <v>Other Software (inq. Games)</v>
      </c>
      <c r="X618" s="6" t="str">
        <v>Other Software (inq. Games)</v>
      </c>
      <c r="Y618" s="6" t="str">
        <v>Other Software (inq. Games)</v>
      </c>
      <c r="Z618" s="6" t="str">
        <v>Other Software (inq. Games)</v>
      </c>
      <c r="AA618" s="6" t="str">
        <v>Other Software (inq. Games)</v>
      </c>
      <c r="AB618" s="6" t="str">
        <v>Other Software (inq. Games)</v>
      </c>
      <c r="AH618" s="6" t="str">
        <v>True</v>
      </c>
      <c r="AI618" s="6" t="str">
        <v>2012</v>
      </c>
      <c r="AJ618" s="6" t="str">
        <v>Completed</v>
      </c>
      <c r="AM618" s="6" t="str">
        <v>Not Applicable</v>
      </c>
      <c r="AO618" s="6" t="str">
        <v>CANADA - Z2Live Inc of US, acquired Big Sandwich Games, a Vancouver-based developer of gaming software.</v>
      </c>
    </row>
    <row r="619">
      <c r="A619" s="6" t="str">
        <v>037833</v>
      </c>
      <c r="B619" s="6" t="str">
        <v>United States</v>
      </c>
      <c r="C619" s="6" t="str">
        <v>Apple Inc</v>
      </c>
      <c r="D619" s="6" t="str">
        <v>Apple Inc</v>
      </c>
      <c r="F619" s="6" t="str">
        <v>United States</v>
      </c>
      <c r="G619" s="6" t="str">
        <v>Chomp Inc</v>
      </c>
      <c r="H619" s="6" t="str">
        <v>Business Services</v>
      </c>
      <c r="I619" s="6" t="str">
        <v>16804P</v>
      </c>
      <c r="J619" s="6" t="str">
        <v>Chomp Inc</v>
      </c>
      <c r="K619" s="6" t="str">
        <v>Chomp Inc</v>
      </c>
      <c r="L619" s="7">
        <f>=DATE(2012,2,23)</f>
        <v>40961.99949074074</v>
      </c>
      <c r="M619" s="7">
        <f>=DATE(2012,2,23)</f>
        <v>40961.99949074074</v>
      </c>
      <c r="W619" s="6" t="str">
        <v>Disk Drives;Other Peripherals;Micro-Computers (PCs);Mainframes &amp; Super Computers;Monitors/Terminals;Portable Computers;Printers;Other Software (inq. Games)</v>
      </c>
      <c r="X619" s="6" t="str">
        <v>Internet Services &amp; Software</v>
      </c>
      <c r="Y619" s="6" t="str">
        <v>Internet Services &amp; Software</v>
      </c>
      <c r="Z619" s="6" t="str">
        <v>Internet Services &amp; Software</v>
      </c>
      <c r="AA619" s="6" t="str">
        <v>Printers;Portable Computers;Micro-Computers (PCs);Monitors/Terminals;Disk Drives;Other Software (inq. Games);Mainframes &amp; Super Computers;Other Peripherals</v>
      </c>
      <c r="AB619" s="6" t="str">
        <v>Monitors/Terminals;Micro-Computers (PCs);Other Software (inq. Games);Other Peripherals;Printers;Mainframes &amp; Super Computers;Disk Drives;Portable Computers</v>
      </c>
      <c r="AH619" s="6" t="str">
        <v>False</v>
      </c>
      <c r="AI619" s="6" t="str">
        <v>2012</v>
      </c>
      <c r="AJ619" s="6" t="str">
        <v>Completed</v>
      </c>
      <c r="AM619" s="6" t="str">
        <v>Not Applicable</v>
      </c>
      <c r="AO619" s="6" t="str">
        <v>US - Apple Inc acquired Chomp Inc, a San Francisco-based provider of internet search engine services. Terms were not disclosed.</v>
      </c>
    </row>
    <row r="620">
      <c r="A620" s="6" t="str">
        <v>12079J</v>
      </c>
      <c r="B620" s="6" t="str">
        <v>United States</v>
      </c>
      <c r="C620" s="6" t="str">
        <v>Burstly Inc</v>
      </c>
      <c r="D620" s="6" t="str">
        <v>Burstly Inc</v>
      </c>
      <c r="F620" s="6" t="str">
        <v>United States</v>
      </c>
      <c r="G620" s="6" t="str">
        <v>TestFlight App Inc</v>
      </c>
      <c r="H620" s="6" t="str">
        <v>Prepackaged Software</v>
      </c>
      <c r="I620" s="6" t="str">
        <v>99514C</v>
      </c>
      <c r="J620" s="6" t="str">
        <v>TestFlight App Inc</v>
      </c>
      <c r="K620" s="6" t="str">
        <v>TestFlight App Inc</v>
      </c>
      <c r="L620" s="7">
        <f>=DATE(2012,3,5)</f>
        <v>40972.99949074074</v>
      </c>
      <c r="M620" s="7">
        <f>=DATE(2012,3,5)</f>
        <v>40972.99949074074</v>
      </c>
      <c r="W620" s="6" t="str">
        <v>Data Processing Services;Internet Services &amp; Software;Other Computer Related Svcs</v>
      </c>
      <c r="X620" s="6" t="str">
        <v>Other Software (inq. Games)</v>
      </c>
      <c r="Y620" s="6" t="str">
        <v>Other Software (inq. Games)</v>
      </c>
      <c r="Z620" s="6" t="str">
        <v>Other Software (inq. Games)</v>
      </c>
      <c r="AA620" s="6" t="str">
        <v>Other Computer Related Svcs;Internet Services &amp; Software;Data Processing Services</v>
      </c>
      <c r="AB620" s="6" t="str">
        <v>Other Computer Related Svcs;Data Processing Services;Internet Services &amp; Software</v>
      </c>
      <c r="AH620" s="6" t="str">
        <v>False</v>
      </c>
      <c r="AI620" s="6" t="str">
        <v>2012</v>
      </c>
      <c r="AJ620" s="6" t="str">
        <v>Completed</v>
      </c>
      <c r="AM620" s="6" t="str">
        <v>Not Applicable</v>
      </c>
      <c r="AO620" s="6" t="str">
        <v>US - Burstly Inc acquired TestFlight App Inc, a Santa Monica-based developer of software. Terms were not disclosed.</v>
      </c>
    </row>
    <row r="621">
      <c r="A621" s="6" t="str">
        <v>68517C</v>
      </c>
      <c r="B621" s="6" t="str">
        <v>United States</v>
      </c>
      <c r="C621" s="6" t="str">
        <v>Townsend Merger Corp</v>
      </c>
      <c r="D621" s="6" t="str">
        <v>Nuance Communications Inc</v>
      </c>
      <c r="F621" s="6" t="str">
        <v>United States</v>
      </c>
      <c r="G621" s="6" t="str">
        <v>Transcend Services Inc</v>
      </c>
      <c r="H621" s="6" t="str">
        <v>Business Services</v>
      </c>
      <c r="I621" s="6" t="str">
        <v>893929</v>
      </c>
      <c r="J621" s="6" t="str">
        <v>Transcend Services Inc</v>
      </c>
      <c r="K621" s="6" t="str">
        <v>Transcend Services Inc</v>
      </c>
      <c r="L621" s="7">
        <f>=DATE(2012,3,7)</f>
        <v>40974.99949074074</v>
      </c>
      <c r="M621" s="7">
        <f>=DATE(2012,4,27)</f>
        <v>41025.99949074074</v>
      </c>
      <c r="N621" s="8">
        <v>333.243</v>
      </c>
      <c r="O621" s="8">
        <v>333.243</v>
      </c>
      <c r="P621" s="8" t="str">
        <v>319.85</v>
      </c>
      <c r="R621" s="8">
        <v>19.038</v>
      </c>
      <c r="S621" s="8">
        <v>125.057</v>
      </c>
      <c r="T621" s="8">
        <v>0.912</v>
      </c>
      <c r="U621" s="8">
        <v>-5.812</v>
      </c>
      <c r="V621" s="8">
        <v>10.47</v>
      </c>
      <c r="W621" s="6" t="str">
        <v>Other Software (inq. Games);Internet Services &amp; Software</v>
      </c>
      <c r="X621" s="6" t="str">
        <v>Data Processing Services;Other Computer Related Svcs</v>
      </c>
      <c r="Y621" s="6" t="str">
        <v>Data Processing Services;Other Computer Related Svcs</v>
      </c>
      <c r="Z621" s="6" t="str">
        <v>Data Processing Services;Other Computer Related Svcs</v>
      </c>
      <c r="AA621" s="6" t="str">
        <v>Desktop Publishing;Primary Business not Hi-Tech;Computer Consulting Services;Database Software/Programming;Internet Services &amp; Software;Other Software (inq. Games);Other Computer Related Svcs;Programming Services;Utilities/File Mgmt Software;Networking Systems (LAN,WAN);Communication/Network Software;Applications Software(Business;Applications Software(Home)</v>
      </c>
      <c r="AB621" s="6" t="str">
        <v>Other Software (inq. Games);Desktop Publishing;Communication/Network Software;Applications Software(Business;Database Software/Programming;Internet Services &amp; Software;Utilities/File Mgmt Software;Other Computer Related Svcs;Computer Consulting Services;Networking Systems (LAN,WAN);Applications Software(Home);Programming Services;Primary Business not Hi-Tech</v>
      </c>
      <c r="AC621" s="8">
        <v>333.243</v>
      </c>
      <c r="AD621" s="7">
        <f>=DATE(2012,3,7)</f>
        <v>40974.99949074074</v>
      </c>
      <c r="AE621" s="8">
        <v>341.019705</v>
      </c>
      <c r="AF621" s="8" t="str">
        <v>319.78</v>
      </c>
      <c r="AG621" s="8" t="str">
        <v>319.85</v>
      </c>
      <c r="AH621" s="6" t="str">
        <v>True</v>
      </c>
      <c r="AI621" s="6" t="str">
        <v>2012</v>
      </c>
      <c r="AJ621" s="6" t="str">
        <v>Completed</v>
      </c>
      <c r="AK621" s="8">
        <v>341.019705</v>
      </c>
      <c r="AL621" s="8">
        <v>11.55999</v>
      </c>
      <c r="AM621" s="6" t="str">
        <v>Financial Acquiror;Tender Offer;Tender/Merger</v>
      </c>
      <c r="AN621" s="8">
        <v>66.104</v>
      </c>
      <c r="AO621" s="6" t="str">
        <v>US - Townsend Merger Corp (Townsend), a wholly-owned unit of Nuance Communications Inc, acquired the entire share capital of Transcend Services Inc (Transcend), an Atlanta-based provider of transcription and clinical documentation services, for USD 29.5 in cash per share, or a total value of USD 333.243 mil. Earlier, Townsend completed its tender offer for Transcend by accepting 10.445 mil shares, or 90.35% of Transcend's common shares outstanding. The offer was conditioned upon at least majority of Transcend's shares being tendered.</v>
      </c>
    </row>
    <row r="622">
      <c r="A622" s="6" t="str">
        <v>30303M</v>
      </c>
      <c r="B622" s="6" t="str">
        <v>United States</v>
      </c>
      <c r="C622" s="6" t="str">
        <v>Facebook Inc</v>
      </c>
      <c r="D622" s="6" t="str">
        <v>Facebook Inc</v>
      </c>
      <c r="F622" s="6" t="str">
        <v>United States</v>
      </c>
      <c r="G622" s="6" t="str">
        <v>GazeHawk Inc</v>
      </c>
      <c r="H622" s="6" t="str">
        <v>Business Services</v>
      </c>
      <c r="I622" s="6" t="str">
        <v>36929P</v>
      </c>
      <c r="J622" s="6" t="str">
        <v>GazeHawk Inc</v>
      </c>
      <c r="K622" s="6" t="str">
        <v>GazeHawk Inc</v>
      </c>
      <c r="L622" s="7">
        <f>=DATE(2012,3,9)</f>
        <v>40976.99949074074</v>
      </c>
      <c r="M622" s="7">
        <f>=DATE(2012,3,9)</f>
        <v>40976.99949074074</v>
      </c>
      <c r="W622" s="6" t="str">
        <v>Internet Services &amp; Software</v>
      </c>
      <c r="X622" s="6" t="str">
        <v>Other Computer Related Svcs;Internet Services &amp; Software;Computer Consulting Services</v>
      </c>
      <c r="Y622" s="6" t="str">
        <v>Internet Services &amp; Software;Other Computer Related Svcs;Computer Consulting Services</v>
      </c>
      <c r="Z622" s="6" t="str">
        <v>Internet Services &amp; Software;Other Computer Related Svcs;Computer Consulting Services</v>
      </c>
      <c r="AA622" s="6" t="str">
        <v>Internet Services &amp; Software</v>
      </c>
      <c r="AB622" s="6" t="str">
        <v>Internet Services &amp; Software</v>
      </c>
      <c r="AH622" s="6" t="str">
        <v>True</v>
      </c>
      <c r="AI622" s="6" t="str">
        <v>2012</v>
      </c>
      <c r="AJ622" s="6" t="str">
        <v>Completed</v>
      </c>
      <c r="AM622" s="6" t="str">
        <v>Financial Acquiror</v>
      </c>
      <c r="AO622" s="6" t="str">
        <v>US - Facebook Inc acquired GazeHawk Inc, a Mountain View-based provider of eye tracking services.</v>
      </c>
    </row>
    <row r="623">
      <c r="A623" s="6" t="str">
        <v>037833</v>
      </c>
      <c r="B623" s="6" t="str">
        <v>United States</v>
      </c>
      <c r="C623" s="6" t="str">
        <v>Apple Inc</v>
      </c>
      <c r="D623" s="6" t="str">
        <v>Apple Inc</v>
      </c>
      <c r="F623" s="6" t="str">
        <v>United States</v>
      </c>
      <c r="G623" s="6" t="str">
        <v>Apple Inc</v>
      </c>
      <c r="H623" s="6" t="str">
        <v>Computer and Office Equipment</v>
      </c>
      <c r="I623" s="6" t="str">
        <v>037833</v>
      </c>
      <c r="J623" s="6" t="str">
        <v>Apple Inc</v>
      </c>
      <c r="K623" s="6" t="str">
        <v>Apple Inc</v>
      </c>
      <c r="L623" s="7">
        <f>=DATE(2012,3,19)</f>
        <v>40986.99949074074</v>
      </c>
      <c r="M623" s="7">
        <f>=DATE(2018,9,30)</f>
        <v>43372.99949074074</v>
      </c>
      <c r="N623" s="8">
        <v>210000</v>
      </c>
      <c r="O623" s="8">
        <v>210000</v>
      </c>
      <c r="P623" s="8" t="str">
        <v>1,456,613.14</v>
      </c>
      <c r="R623" s="8">
        <v>45687</v>
      </c>
      <c r="S623" s="8">
        <v>215639</v>
      </c>
      <c r="T623" s="8">
        <v>-20483</v>
      </c>
      <c r="U623" s="8">
        <v>-45977</v>
      </c>
      <c r="V623" s="8">
        <v>65824</v>
      </c>
      <c r="W623" s="6" t="str">
        <v>Micro-Computers (PCs);Other Peripherals;Monitors/Terminals;Mainframes &amp; Super Computers;Disk Drives;Portable Computers;Other Software (inq. Games);Printers</v>
      </c>
      <c r="X623" s="6" t="str">
        <v>Printers;Disk Drives;Micro-Computers (PCs);Other Software (inq. Games);Monitors/Terminals;Other Peripherals;Mainframes &amp; Super Computers;Portable Computers</v>
      </c>
      <c r="Y623" s="6" t="str">
        <v>Printers;Mainframes &amp; Super Computers;Other Peripherals;Micro-Computers (PCs);Other Software (inq. Games);Monitors/Terminals;Disk Drives;Portable Computers</v>
      </c>
      <c r="Z623" s="6" t="str">
        <v>Portable Computers;Mainframes &amp; Super Computers;Monitors/Terminals;Other Peripherals;Other Software (inq. Games);Printers;Micro-Computers (PCs);Disk Drives</v>
      </c>
      <c r="AA623" s="6" t="str">
        <v>Micro-Computers (PCs);Mainframes &amp; Super Computers;Portable Computers;Monitors/Terminals;Other Peripherals;Other Software (inq. Games);Disk Drives;Printers</v>
      </c>
      <c r="AB623" s="6" t="str">
        <v>Other Peripherals;Other Software (inq. Games);Monitors/Terminals;Portable Computers;Printers;Micro-Computers (PCs);Mainframes &amp; Super Computers;Disk Drives</v>
      </c>
      <c r="AC623" s="8">
        <v>210000</v>
      </c>
      <c r="AD623" s="7">
        <f>=DATE(2017,5,2)</f>
        <v>42856.99949074074</v>
      </c>
      <c r="AF623" s="8" t="str">
        <v>1,456,613.14</v>
      </c>
      <c r="AG623" s="8" t="str">
        <v>1,456,613.14</v>
      </c>
      <c r="AH623" s="6" t="str">
        <v>True</v>
      </c>
      <c r="AI623" s="6" t="str">
        <v>2018</v>
      </c>
      <c r="AJ623" s="6" t="str">
        <v>Completed</v>
      </c>
      <c r="AM623" s="6" t="str">
        <v>Open Market Purchase;Repurchase</v>
      </c>
      <c r="AN623" s="8">
        <v>8620</v>
      </c>
      <c r="AO623" s="6" t="str">
        <v>US - On 19 March 2012, the board of Apple Inc, a Cupertino-based manufacturer of personal computers, portable media players, computer software, and computer hardware accessories, authorized the repurchase of up to USD 10 bil of its outstanding common stock via open market transactions. In April 2013, the board authorized an additional USD 50 bil worth of shares in the program. As of 28 December 2013, the company had purchased 26.099 mil common shares at a total cost of USD 14.025 bil. In April 2014, the board authorized an additional USD 30 bil worth of shares in the program. As of 27 December 2014, the company had purchased 275.803 mil common shares at a total cost of USD 44.816 bil. In April 2015, the board authorized an additional USD 50 bil worth of shares in the program. As of 27 June 2015, the company had purchased 335.903 mil common shares at a total cost of USD 52.432 bil. The current total value of the repurchase program is USD 140 bil. As of 24 September 2016, the company had purchased 515.023 mil common shares at a total cost of USD 71.488 bil. In April 2016, the board authorized an additional USD 35 bil worth of shares in the program. The current total value of the repurchase program is USD 175 bil. As of 31 December 2016, the company had purchased 559.357 mil common shares at a total cost of USD 76.489 bil. In May 2017, the board authorized an additional USD 35 bil worth of shares in the program. The current total value of the repurchase program is USD 210 bil. On 30 September 2018, the board of Apple Inc completed the repurchase of up to USD 138.097 bil of the company's entire share capital, in open market transactions.</v>
      </c>
    </row>
    <row r="624">
      <c r="A624" s="6" t="str">
        <v>023135</v>
      </c>
      <c r="B624" s="6" t="str">
        <v>United States</v>
      </c>
      <c r="C624" s="6" t="str">
        <v>Amazon.com Inc</v>
      </c>
      <c r="D624" s="6" t="str">
        <v>Amazon.com Inc</v>
      </c>
      <c r="F624" s="6" t="str">
        <v>United States</v>
      </c>
      <c r="G624" s="6" t="str">
        <v>Kiva Systems Inc</v>
      </c>
      <c r="H624" s="6" t="str">
        <v>Business Services</v>
      </c>
      <c r="I624" s="6" t="str">
        <v>49497E</v>
      </c>
      <c r="J624" s="6" t="str">
        <v>Kiva Systems Inc</v>
      </c>
      <c r="K624" s="6" t="str">
        <v>Kiva Systems Inc</v>
      </c>
      <c r="L624" s="7">
        <f>=DATE(2012,3,19)</f>
        <v>40986.99949074074</v>
      </c>
      <c r="M624" s="7">
        <f>=DATE(2012,5,1)</f>
        <v>41029.99949074074</v>
      </c>
      <c r="N624" s="8">
        <v>775</v>
      </c>
      <c r="O624" s="8">
        <v>775</v>
      </c>
      <c r="W624" s="6" t="str">
        <v>Primary Business not Hi-Tech</v>
      </c>
      <c r="X624" s="6" t="str">
        <v>Other Computer Systems</v>
      </c>
      <c r="Y624" s="6" t="str">
        <v>Other Computer Systems</v>
      </c>
      <c r="Z624" s="6" t="str">
        <v>Other Computer Systems</v>
      </c>
      <c r="AA624" s="6" t="str">
        <v>Primary Business not Hi-Tech</v>
      </c>
      <c r="AB624" s="6" t="str">
        <v>Primary Business not Hi-Tech</v>
      </c>
      <c r="AC624" s="8">
        <v>775</v>
      </c>
      <c r="AD624" s="7">
        <f>=DATE(2012,3,19)</f>
        <v>40986.99949074074</v>
      </c>
      <c r="AF624" s="8" t="str">
        <v>775.00</v>
      </c>
      <c r="AG624" s="8" t="str">
        <v>775.00</v>
      </c>
      <c r="AH624" s="6" t="str">
        <v>True</v>
      </c>
      <c r="AI624" s="6" t="str">
        <v>2012</v>
      </c>
      <c r="AJ624" s="6" t="str">
        <v>Completed</v>
      </c>
      <c r="AM624" s="6" t="str">
        <v>Not Applicable</v>
      </c>
      <c r="AO624" s="6" t="str">
        <v>US - Amazon.com Inc acquired the entire share capital of Kiva Systems Inc, a North Reading-based provider of material handling services, for USD 775 mil in cash.</v>
      </c>
    </row>
    <row r="625">
      <c r="A625" s="6" t="str">
        <v>38259P</v>
      </c>
      <c r="B625" s="6" t="str">
        <v>United States</v>
      </c>
      <c r="C625" s="6" t="str">
        <v>Google Inc</v>
      </c>
      <c r="D625" s="6" t="str">
        <v>Alphabet Inc</v>
      </c>
      <c r="F625" s="6" t="str">
        <v>United States</v>
      </c>
      <c r="G625" s="6" t="str">
        <v>TxVia Inc</v>
      </c>
      <c r="H625" s="6" t="str">
        <v>Prepackaged Software</v>
      </c>
      <c r="I625" s="6" t="str">
        <v>92134A</v>
      </c>
      <c r="J625" s="6" t="str">
        <v>TxVia Inc</v>
      </c>
      <c r="K625" s="6" t="str">
        <v>TxVia Inc</v>
      </c>
      <c r="L625" s="7">
        <f>=DATE(2012,4,3)</f>
        <v>41001.99949074074</v>
      </c>
      <c r="M625" s="7">
        <f>=DATE(2012,4,3)</f>
        <v>41001.99949074074</v>
      </c>
      <c r="W625" s="6" t="str">
        <v>Programming Services;Internet Services &amp; Software</v>
      </c>
      <c r="X625" s="6" t="str">
        <v>Applications Software(Business</v>
      </c>
      <c r="Y625" s="6" t="str">
        <v>Applications Software(Business</v>
      </c>
      <c r="Z625" s="6" t="str">
        <v>Applications Software(Business</v>
      </c>
      <c r="AA625" s="6" t="str">
        <v>Computer Consulting Services;Internet Services &amp; Software;Telecommunications Equipment;Primary Business not Hi-Tech;Programming Services</v>
      </c>
      <c r="AB625" s="6" t="str">
        <v>Computer Consulting Services;Internet Services &amp; Software;Primary Business not Hi-Tech;Programming Services;Telecommunications Equipment</v>
      </c>
      <c r="AH625" s="6" t="str">
        <v>False</v>
      </c>
      <c r="AI625" s="6" t="str">
        <v>2012</v>
      </c>
      <c r="AJ625" s="6" t="str">
        <v>Completed</v>
      </c>
      <c r="AM625" s="6" t="str">
        <v>Not Applicable</v>
      </c>
      <c r="AO625" s="6" t="str">
        <v>US - Google Inc acquired TxVia Inc, a New York-based developer of payment software. Terms were not disclosed.</v>
      </c>
    </row>
    <row r="626">
      <c r="A626" s="6" t="str">
        <v>30303M</v>
      </c>
      <c r="B626" s="6" t="str">
        <v>United States</v>
      </c>
      <c r="C626" s="6" t="str">
        <v>Facebook Inc</v>
      </c>
      <c r="D626" s="6" t="str">
        <v>Facebook Inc</v>
      </c>
      <c r="F626" s="6" t="str">
        <v>United States</v>
      </c>
      <c r="G626" s="6" t="str">
        <v>Instagram Inc</v>
      </c>
      <c r="H626" s="6" t="str">
        <v>Prepackaged Software</v>
      </c>
      <c r="I626" s="6" t="str">
        <v>49012C</v>
      </c>
      <c r="J626" s="6" t="str">
        <v>Instagram Inc</v>
      </c>
      <c r="K626" s="6" t="str">
        <v>Instagram Inc</v>
      </c>
      <c r="L626" s="7">
        <f>=DATE(2012,4,9)</f>
        <v>41007.99949074074</v>
      </c>
      <c r="M626" s="7">
        <f>=DATE(2012,9,6)</f>
        <v>41157.99949074074</v>
      </c>
      <c r="N626" s="8">
        <v>727.34</v>
      </c>
      <c r="O626" s="8">
        <v>1000</v>
      </c>
      <c r="W626" s="6" t="str">
        <v>Internet Services &amp; Software</v>
      </c>
      <c r="X626" s="6" t="str">
        <v>Communication/Network Software;Internet Services &amp; Software</v>
      </c>
      <c r="Y626" s="6" t="str">
        <v>Internet Services &amp; Software;Communication/Network Software</v>
      </c>
      <c r="Z626" s="6" t="str">
        <v>Internet Services &amp; Software;Communication/Network Software</v>
      </c>
      <c r="AA626" s="6" t="str">
        <v>Internet Services &amp; Software</v>
      </c>
      <c r="AB626" s="6" t="str">
        <v>Internet Services &amp; Software</v>
      </c>
      <c r="AC626" s="8">
        <v>1000</v>
      </c>
      <c r="AD626" s="7">
        <f>=DATE(2012,4,9)</f>
        <v>41007.99949074074</v>
      </c>
      <c r="AF626" s="8" t="str">
        <v>1,000.00</v>
      </c>
      <c r="AG626" s="8" t="str">
        <v>727.34</v>
      </c>
      <c r="AH626" s="6" t="str">
        <v>True</v>
      </c>
      <c r="AI626" s="6" t="str">
        <v>2012</v>
      </c>
      <c r="AJ626" s="6" t="str">
        <v>Completed</v>
      </c>
      <c r="AM626" s="6" t="str">
        <v>Stock Swap;Financial Acquiror</v>
      </c>
      <c r="AO626" s="6" t="str">
        <v>US - Facebook Inc (Facebook) acquired the entire share capital of Instagram Inc, a San Francisco-based provider of image software services, for an estimated USD 1 bil. The consideration consisted of USD 300 mil in cash and an estimated 23 mil Facebook common shares, valued at USD 700 mil.</v>
      </c>
    </row>
    <row r="627">
      <c r="A627" s="6" t="str">
        <v>99521P</v>
      </c>
      <c r="B627" s="6" t="str">
        <v>United States</v>
      </c>
      <c r="C627" s="6" t="str">
        <v>Yammer Inc</v>
      </c>
      <c r="D627" s="6" t="str">
        <v>Yammer Inc</v>
      </c>
      <c r="F627" s="6" t="str">
        <v>United Kingdom</v>
      </c>
      <c r="G627" s="6" t="str">
        <v>Quolos Ltd</v>
      </c>
      <c r="H627" s="6" t="str">
        <v>Prepackaged Software</v>
      </c>
      <c r="I627" s="6" t="str">
        <v>76924N</v>
      </c>
      <c r="J627" s="6" t="str">
        <v>Quolos Ltd</v>
      </c>
      <c r="K627" s="6" t="str">
        <v>Quolos Ltd</v>
      </c>
      <c r="L627" s="7">
        <f>=DATE(2012,4,11)</f>
        <v>41009.99949074074</v>
      </c>
      <c r="M627" s="7">
        <f>=DATE(2012,4,11)</f>
        <v>41009.99949074074</v>
      </c>
      <c r="W627" s="6" t="str">
        <v>Applications Software(Business;Internet Services &amp; Software</v>
      </c>
      <c r="X627" s="6" t="str">
        <v>Computer Consulting Services;Communication/Network Software</v>
      </c>
      <c r="Y627" s="6" t="str">
        <v>Computer Consulting Services;Communication/Network Software</v>
      </c>
      <c r="Z627" s="6" t="str">
        <v>Computer Consulting Services;Communication/Network Software</v>
      </c>
      <c r="AA627" s="6" t="str">
        <v>Internet Services &amp; Software;Applications Software(Business</v>
      </c>
      <c r="AB627" s="6" t="str">
        <v>Internet Services &amp; Software;Applications Software(Business</v>
      </c>
      <c r="AH627" s="6" t="str">
        <v>False</v>
      </c>
      <c r="AI627" s="6" t="str">
        <v>2012</v>
      </c>
      <c r="AJ627" s="6" t="str">
        <v>Completed</v>
      </c>
      <c r="AM627" s="6" t="str">
        <v>Not Applicable</v>
      </c>
      <c r="AO627" s="6" t="str">
        <v>UK - Yammer Inc of the US acquired Quolos Ltd, a Stirling-based provider of software development services doing business as oneDrum. Terms were not disclosed.</v>
      </c>
    </row>
    <row r="628">
      <c r="A628" s="6" t="str">
        <v>38259P</v>
      </c>
      <c r="B628" s="6" t="str">
        <v>United States</v>
      </c>
      <c r="C628" s="6" t="str">
        <v>Google Inc</v>
      </c>
      <c r="D628" s="6" t="str">
        <v>Alphabet Inc</v>
      </c>
      <c r="F628" s="6" t="str">
        <v>United States</v>
      </c>
      <c r="G628" s="6" t="str">
        <v>Google Inc</v>
      </c>
      <c r="H628" s="6" t="str">
        <v>Business Services</v>
      </c>
      <c r="I628" s="6" t="str">
        <v>38259P</v>
      </c>
      <c r="J628" s="6" t="str">
        <v>Alphabet Inc</v>
      </c>
      <c r="K628" s="6" t="str">
        <v>Alphabet Inc</v>
      </c>
      <c r="L628" s="7">
        <f>=DATE(2012,4,12)</f>
        <v>41010.99949074074</v>
      </c>
      <c r="R628" s="8">
        <v>10829</v>
      </c>
      <c r="S628" s="8">
        <v>39909</v>
      </c>
      <c r="T628" s="8">
        <v>2148</v>
      </c>
      <c r="U628" s="8">
        <v>-6469</v>
      </c>
      <c r="V628" s="8">
        <v>15087</v>
      </c>
      <c r="W628" s="6" t="str">
        <v>Internet Services &amp; Software;Programming Services</v>
      </c>
      <c r="X628" s="6" t="str">
        <v>Internet Services &amp; Software;Programming Services</v>
      </c>
      <c r="Y628" s="6" t="str">
        <v>Telecommunications Equipment;Programming Services;Computer Consulting Services;Internet Services &amp; Software;Primary Business not Hi-Tech</v>
      </c>
      <c r="Z628" s="6" t="str">
        <v>Computer Consulting Services;Primary Business not Hi-Tech;Telecommunications Equipment;Programming Services;Internet Services &amp; Software</v>
      </c>
      <c r="AA628" s="6" t="str">
        <v>Programming Services;Primary Business not Hi-Tech;Telecommunications Equipment;Computer Consulting Services;Internet Services &amp; Software</v>
      </c>
      <c r="AB628" s="6" t="str">
        <v>Telecommunications Equipment;Computer Consulting Services;Internet Services &amp; Software;Programming Services;Primary Business not Hi-Tech</v>
      </c>
      <c r="AH628" s="6" t="str">
        <v>True</v>
      </c>
      <c r="AJ628" s="6" t="str">
        <v>Pending</v>
      </c>
      <c r="AM628" s="6" t="str">
        <v>Recapitalization;Exchange Offer</v>
      </c>
      <c r="AN628" s="8">
        <v>8866</v>
      </c>
      <c r="AO628" s="6" t="str">
        <v>US - Google Inc, a Mountain View-based provider of Internet search engine services, agreed to a recapitalization with its shareholders.</v>
      </c>
    </row>
    <row r="629">
      <c r="A629" s="6" t="str">
        <v>30303M</v>
      </c>
      <c r="B629" s="6" t="str">
        <v>United States</v>
      </c>
      <c r="C629" s="6" t="str">
        <v>Facebook Inc</v>
      </c>
      <c r="D629" s="6" t="str">
        <v>Facebook Inc</v>
      </c>
      <c r="F629" s="6" t="str">
        <v>United States</v>
      </c>
      <c r="G629" s="6" t="str">
        <v>Malbec Labs Inc</v>
      </c>
      <c r="H629" s="6" t="str">
        <v>Prepackaged Software</v>
      </c>
      <c r="I629" s="6" t="str">
        <v>56016N</v>
      </c>
      <c r="J629" s="6" t="str">
        <v>Malbec Labs Inc</v>
      </c>
      <c r="K629" s="6" t="str">
        <v>Malbec Labs Inc</v>
      </c>
      <c r="L629" s="7">
        <f>=DATE(2012,4,13)</f>
        <v>41011.99949074074</v>
      </c>
      <c r="M629" s="7">
        <f>=DATE(2012,4,13)</f>
        <v>41011.99949074074</v>
      </c>
      <c r="W629" s="6" t="str">
        <v>Internet Services &amp; Software</v>
      </c>
      <c r="X629" s="6" t="str">
        <v>Other Software (inq. Games);Applications Software(Business</v>
      </c>
      <c r="Y629" s="6" t="str">
        <v>Other Software (inq. Games);Applications Software(Business</v>
      </c>
      <c r="Z629" s="6" t="str">
        <v>Applications Software(Business;Other Software (inq. Games)</v>
      </c>
      <c r="AA629" s="6" t="str">
        <v>Internet Services &amp; Software</v>
      </c>
      <c r="AB629" s="6" t="str">
        <v>Internet Services &amp; Software</v>
      </c>
      <c r="AH629" s="6" t="str">
        <v>True</v>
      </c>
      <c r="AI629" s="6" t="str">
        <v>2012</v>
      </c>
      <c r="AJ629" s="6" t="str">
        <v>Completed</v>
      </c>
      <c r="AM629" s="6" t="str">
        <v>Financial Acquiror</v>
      </c>
      <c r="AO629" s="6" t="str">
        <v>US - Facebook Inc acquired Malbec Labs Inc, a San Francisco-based provider of mobile marketing services. Terms were not disclosed.</v>
      </c>
    </row>
    <row r="630">
      <c r="A630" s="6" t="str">
        <v>594918</v>
      </c>
      <c r="B630" s="6" t="str">
        <v>United States</v>
      </c>
      <c r="C630" s="6" t="str">
        <v>Microsoft Corp</v>
      </c>
      <c r="D630" s="6" t="str">
        <v>Microsoft Corp</v>
      </c>
      <c r="F630" s="6" t="str">
        <v>United States</v>
      </c>
      <c r="G630" s="6" t="str">
        <v>Nook Media LLC</v>
      </c>
      <c r="H630" s="6" t="str">
        <v>Prepackaged Software</v>
      </c>
      <c r="I630" s="6" t="str">
        <v>93558H</v>
      </c>
      <c r="J630" s="6" t="str">
        <v>Barnes &amp; Noble Inc</v>
      </c>
      <c r="K630" s="6" t="str">
        <v>Barnes &amp; Noble Inc</v>
      </c>
      <c r="L630" s="7">
        <f>=DATE(2012,4,30)</f>
        <v>41028.99949074074</v>
      </c>
      <c r="M630" s="7">
        <f>=DATE(2012,10,4)</f>
        <v>41185.99949074074</v>
      </c>
      <c r="N630" s="8">
        <v>300</v>
      </c>
      <c r="O630" s="8">
        <v>300</v>
      </c>
      <c r="W630" s="6" t="str">
        <v>Monitors/Terminals;Internet Services &amp; Software;Applications Software(Business;Operating Systems;Other Peripherals;Computer Consulting Services</v>
      </c>
      <c r="X630" s="6" t="str">
        <v>Applications Software(Home);Internet Services &amp; Software</v>
      </c>
      <c r="Y630" s="6" t="str">
        <v>Internet Services &amp; Software;Primary Business not Hi-Tech</v>
      </c>
      <c r="Z630" s="6" t="str">
        <v>Primary Business not Hi-Tech;Internet Services &amp; Software</v>
      </c>
      <c r="AA630" s="6" t="str">
        <v>Other Peripherals;Applications Software(Business;Operating Systems;Monitors/Terminals;Internet Services &amp; Software;Computer Consulting Services</v>
      </c>
      <c r="AB630" s="6" t="str">
        <v>Internet Services &amp; Software;Monitors/Terminals;Operating Systems;Other Peripherals;Applications Software(Business;Computer Consulting Services</v>
      </c>
      <c r="AC630" s="8">
        <v>300</v>
      </c>
      <c r="AD630" s="7">
        <f>=DATE(2012,4,30)</f>
        <v>41028.99949074074</v>
      </c>
      <c r="AF630" s="8" t="str">
        <v>1,704.55</v>
      </c>
      <c r="AG630" s="8" t="str">
        <v>1,704.55</v>
      </c>
      <c r="AH630" s="6" t="str">
        <v>False</v>
      </c>
      <c r="AI630" s="6" t="str">
        <v>2012</v>
      </c>
      <c r="AJ630" s="6" t="str">
        <v>Completed</v>
      </c>
      <c r="AM630" s="6" t="str">
        <v>Privately Negotiated Purchase;Joint Venture</v>
      </c>
      <c r="AO630" s="6" t="str">
        <v>US - Microsoft Corp acquired a 17.6% stake, in Nook Media LLC, an owner and operator of book stores, from Barnes &amp; Noble Inc, for USD 300 mil, in the formation of a joint venture, in a privately negotiated transaction.</v>
      </c>
    </row>
    <row r="631">
      <c r="A631" s="6" t="str">
        <v>53578A</v>
      </c>
      <c r="B631" s="6" t="str">
        <v>United States</v>
      </c>
      <c r="C631" s="6" t="str">
        <v>LinkedIn Corp</v>
      </c>
      <c r="D631" s="6" t="str">
        <v>LinkedIn Corp</v>
      </c>
      <c r="F631" s="6" t="str">
        <v>United States</v>
      </c>
      <c r="G631" s="6" t="str">
        <v>SlideShare Inc</v>
      </c>
      <c r="H631" s="6" t="str">
        <v>Business Services</v>
      </c>
      <c r="I631" s="6" t="str">
        <v>32085H</v>
      </c>
      <c r="J631" s="6" t="str">
        <v>SlideShare Inc</v>
      </c>
      <c r="K631" s="6" t="str">
        <v>SlideShare Inc</v>
      </c>
      <c r="L631" s="7">
        <f>=DATE(2012,5,3)</f>
        <v>41031.99949074074</v>
      </c>
      <c r="M631" s="7">
        <f>=DATE(2012,5,17)</f>
        <v>41045.99949074074</v>
      </c>
      <c r="N631" s="8">
        <v>119.268</v>
      </c>
      <c r="O631" s="8">
        <v>118.75</v>
      </c>
      <c r="W631" s="6" t="str">
        <v>Internet Services &amp; Software</v>
      </c>
      <c r="X631" s="6" t="str">
        <v>Internet Services &amp; Software</v>
      </c>
      <c r="Y631" s="6" t="str">
        <v>Internet Services &amp; Software</v>
      </c>
      <c r="Z631" s="6" t="str">
        <v>Internet Services &amp; Software</v>
      </c>
      <c r="AA631" s="6" t="str">
        <v>Internet Services &amp; Software</v>
      </c>
      <c r="AB631" s="6" t="str">
        <v>Internet Services &amp; Software</v>
      </c>
      <c r="AC631" s="8">
        <v>118.75</v>
      </c>
      <c r="AD631" s="7">
        <f>=DATE(2012,5,3)</f>
        <v>41031.99949074074</v>
      </c>
      <c r="AF631" s="8" t="str">
        <v>118.75</v>
      </c>
      <c r="AG631" s="8" t="str">
        <v>119.27</v>
      </c>
      <c r="AH631" s="6" t="str">
        <v>False</v>
      </c>
      <c r="AI631" s="6" t="str">
        <v>2012</v>
      </c>
      <c r="AJ631" s="6" t="str">
        <v>Completed</v>
      </c>
      <c r="AM631" s="6" t="str">
        <v>Stock Swap;Financial Acquiror</v>
      </c>
      <c r="AO631" s="6" t="str">
        <v>US - LinkedIn Corp (LinkedIn) acquired SlideShare Inc, a San Francisco-based provider of online content sharing services, for an estimated USD 118.75 mil. The consideration consisted of an estimated USD 52.358 mil in cash and 0.624 mil common shares valued at USD 66.392 mil. The shares were valued based on LinkedIn's closing stock price of USD 106.4 on 2 May 2012, the last full trading day prior to the announcement.</v>
      </c>
    </row>
    <row r="632">
      <c r="A632" s="6" t="str">
        <v>30303M</v>
      </c>
      <c r="B632" s="6" t="str">
        <v>United States</v>
      </c>
      <c r="C632" s="6" t="str">
        <v>Facebook Inc</v>
      </c>
      <c r="D632" s="6" t="str">
        <v>Facebook Inc</v>
      </c>
      <c r="F632" s="6" t="str">
        <v>United States</v>
      </c>
      <c r="G632" s="6" t="str">
        <v>Glancee Inc</v>
      </c>
      <c r="H632" s="6" t="str">
        <v>Prepackaged Software</v>
      </c>
      <c r="I632" s="6" t="str">
        <v>37658H</v>
      </c>
      <c r="J632" s="6" t="str">
        <v>Glancee Inc</v>
      </c>
      <c r="K632" s="6" t="str">
        <v>Glancee Inc</v>
      </c>
      <c r="L632" s="7">
        <f>=DATE(2012,5,8)</f>
        <v>41036.99949074074</v>
      </c>
      <c r="M632" s="7">
        <f>=DATE(2012,5,8)</f>
        <v>41036.99949074074</v>
      </c>
      <c r="W632" s="6" t="str">
        <v>Internet Services &amp; Software</v>
      </c>
      <c r="X632" s="6" t="str">
        <v>Communication/Network Software;Internet Services &amp; Software</v>
      </c>
      <c r="Y632" s="6" t="str">
        <v>Communication/Network Software;Internet Services &amp; Software</v>
      </c>
      <c r="Z632" s="6" t="str">
        <v>Internet Services &amp; Software;Communication/Network Software</v>
      </c>
      <c r="AA632" s="6" t="str">
        <v>Internet Services &amp; Software</v>
      </c>
      <c r="AB632" s="6" t="str">
        <v>Internet Services &amp; Software</v>
      </c>
      <c r="AH632" s="6" t="str">
        <v>True</v>
      </c>
      <c r="AI632" s="6" t="str">
        <v>2012</v>
      </c>
      <c r="AJ632" s="6" t="str">
        <v>Completed</v>
      </c>
      <c r="AM632" s="6" t="str">
        <v>Financial Acquiror</v>
      </c>
      <c r="AO632" s="6" t="str">
        <v>US - Facebook Inc acquired Glancee Inc, a developer of application software. Terms were not disclosed.</v>
      </c>
    </row>
    <row r="633">
      <c r="A633" s="6" t="str">
        <v>30303M</v>
      </c>
      <c r="B633" s="6" t="str">
        <v>United States</v>
      </c>
      <c r="C633" s="6" t="str">
        <v>Facebook Inc</v>
      </c>
      <c r="D633" s="6" t="str">
        <v>Facebook Inc</v>
      </c>
      <c r="F633" s="6" t="str">
        <v>United States</v>
      </c>
      <c r="G633" s="6" t="str">
        <v>Karma Science Inc</v>
      </c>
      <c r="H633" s="6" t="str">
        <v>Business Services</v>
      </c>
      <c r="I633" s="6" t="str">
        <v>85759P</v>
      </c>
      <c r="J633" s="6" t="str">
        <v>Karma Science Inc</v>
      </c>
      <c r="K633" s="6" t="str">
        <v>Karma Science Inc</v>
      </c>
      <c r="L633" s="7">
        <f>=DATE(2012,5,18)</f>
        <v>41046.99949074074</v>
      </c>
      <c r="M633" s="7">
        <f>=DATE(2012,5,18)</f>
        <v>41046.99949074074</v>
      </c>
      <c r="W633" s="6" t="str">
        <v>Internet Services &amp; Software</v>
      </c>
      <c r="X633" s="6" t="str">
        <v>Computer Consulting Services;Other Computer Related Svcs;Programming Services</v>
      </c>
      <c r="Y633" s="6" t="str">
        <v>Programming Services;Other Computer Related Svcs;Computer Consulting Services</v>
      </c>
      <c r="Z633" s="6" t="str">
        <v>Programming Services;Computer Consulting Services;Other Computer Related Svcs</v>
      </c>
      <c r="AA633" s="6" t="str">
        <v>Internet Services &amp; Software</v>
      </c>
      <c r="AB633" s="6" t="str">
        <v>Internet Services &amp; Software</v>
      </c>
      <c r="AH633" s="6" t="str">
        <v>False</v>
      </c>
      <c r="AI633" s="6" t="str">
        <v>2012</v>
      </c>
      <c r="AJ633" s="6" t="str">
        <v>Completed</v>
      </c>
      <c r="AM633" s="6" t="str">
        <v>Financial Acquiror</v>
      </c>
      <c r="AO633" s="6" t="str">
        <v>US - Facebook Inc acquired Karma Science Inc, a San Francisco-based Application Services Provider. Terms were not disclosed.</v>
      </c>
    </row>
    <row r="634">
      <c r="A634" s="6" t="str">
        <v>30303M</v>
      </c>
      <c r="B634" s="6" t="str">
        <v>United States</v>
      </c>
      <c r="C634" s="6" t="str">
        <v>Facebook Inc</v>
      </c>
      <c r="D634" s="6" t="str">
        <v>Facebook Inc</v>
      </c>
      <c r="F634" s="6" t="str">
        <v>United States</v>
      </c>
      <c r="G634" s="6" t="str">
        <v>Bolt &amp; Peters</v>
      </c>
      <c r="H634" s="6" t="str">
        <v>Business Services</v>
      </c>
      <c r="I634" s="6" t="str">
        <v>09827L</v>
      </c>
      <c r="J634" s="6" t="str">
        <v>Bolt &amp; Peters</v>
      </c>
      <c r="K634" s="6" t="str">
        <v>Bolt &amp; Peters</v>
      </c>
      <c r="L634" s="7">
        <f>=DATE(2012,5,24)</f>
        <v>41052.99949074074</v>
      </c>
      <c r="M634" s="7">
        <f>=DATE(2012,5,24)</f>
        <v>41052.99949074074</v>
      </c>
      <c r="W634" s="6" t="str">
        <v>Internet Services &amp; Software</v>
      </c>
      <c r="X634" s="6" t="str">
        <v>Research &amp; Development Firm;Computer Consulting Services</v>
      </c>
      <c r="Y634" s="6" t="str">
        <v>Research &amp; Development Firm;Computer Consulting Services</v>
      </c>
      <c r="Z634" s="6" t="str">
        <v>Computer Consulting Services;Research &amp; Development Firm</v>
      </c>
      <c r="AA634" s="6" t="str">
        <v>Internet Services &amp; Software</v>
      </c>
      <c r="AB634" s="6" t="str">
        <v>Internet Services &amp; Software</v>
      </c>
      <c r="AH634" s="6" t="str">
        <v>False</v>
      </c>
      <c r="AI634" s="6" t="str">
        <v>2012</v>
      </c>
      <c r="AJ634" s="6" t="str">
        <v>Completed</v>
      </c>
      <c r="AM634" s="6" t="str">
        <v>Financial Acquiror</v>
      </c>
      <c r="AO634" s="6" t="str">
        <v>US - Facebook Inc acquired Bolt Peters, a San Francisco-based provider of research and design services.</v>
      </c>
    </row>
    <row r="635">
      <c r="A635" s="6" t="str">
        <v>30303M</v>
      </c>
      <c r="B635" s="6" t="str">
        <v>United States</v>
      </c>
      <c r="C635" s="6" t="str">
        <v>Facebook Inc</v>
      </c>
      <c r="D635" s="6" t="str">
        <v>Facebook Inc</v>
      </c>
      <c r="F635" s="6" t="str">
        <v>Norway</v>
      </c>
      <c r="G635" s="6" t="str">
        <v>Opera Software ASA(NOW 5H4036)</v>
      </c>
      <c r="H635" s="6" t="str">
        <v>Prepackaged Software</v>
      </c>
      <c r="I635" s="6" t="str">
        <v>68422E</v>
      </c>
      <c r="J635" s="6" t="str">
        <v>Opera Software ASA(NOW 5H4036)</v>
      </c>
      <c r="K635" s="6" t="str">
        <v>Opera Software ASA(NOW 5H4036)</v>
      </c>
      <c r="L635" s="7">
        <f>=DATE(2012,5,26)</f>
        <v>41054.99949074074</v>
      </c>
      <c r="R635" s="8">
        <v>29.5485854858549</v>
      </c>
      <c r="S635" s="8">
        <v>179.811280969953</v>
      </c>
      <c r="T635" s="8">
        <v>-81.310997556</v>
      </c>
      <c r="U635" s="8">
        <v>-178.146679428</v>
      </c>
      <c r="V635" s="8">
        <v>233.621274924</v>
      </c>
      <c r="W635" s="6" t="str">
        <v>Internet Services &amp; Software</v>
      </c>
      <c r="X635" s="6" t="str">
        <v>Internet Services &amp; Software;Communication/Network Software</v>
      </c>
      <c r="Y635" s="6" t="str">
        <v>Internet Services &amp; Software;Communication/Network Software</v>
      </c>
      <c r="Z635" s="6" t="str">
        <v>Internet Services &amp; Software;Communication/Network Software</v>
      </c>
      <c r="AA635" s="6" t="str">
        <v>Internet Services &amp; Software</v>
      </c>
      <c r="AB635" s="6" t="str">
        <v>Internet Services &amp; Software</v>
      </c>
      <c r="AH635" s="6" t="str">
        <v>True</v>
      </c>
      <c r="AJ635" s="6" t="str">
        <v>Dismissed Rumor</v>
      </c>
      <c r="AM635" s="6" t="str">
        <v>Rumored Deal;Financial Acquiror</v>
      </c>
      <c r="AN635" s="8">
        <v>83.5480583377262</v>
      </c>
      <c r="AO635" s="6" t="str">
        <v>NORWAY - Facebook Inc of the US is rumored to be planning to acquire Opera Software ASA, an Oslo-based developer of web browser software for PCs, mobile phones and other network devices. The Current status of this deal is unknown.</v>
      </c>
    </row>
    <row r="636">
      <c r="A636" s="6" t="str">
        <v>037833</v>
      </c>
      <c r="B636" s="6" t="str">
        <v>United States</v>
      </c>
      <c r="C636" s="6" t="str">
        <v>Apple Inc</v>
      </c>
      <c r="D636" s="6" t="str">
        <v>Apple Inc</v>
      </c>
      <c r="F636" s="6" t="str">
        <v>Italy</v>
      </c>
      <c r="G636" s="6" t="str">
        <v>Redmatica Srl-Business Branch</v>
      </c>
      <c r="H636" s="6" t="str">
        <v>Computer and Office Equipment</v>
      </c>
      <c r="I636" s="6" t="str">
        <v>76942L</v>
      </c>
      <c r="J636" s="6" t="str">
        <v>Redmatica Srl</v>
      </c>
      <c r="K636" s="6" t="str">
        <v>Redmatica Srl</v>
      </c>
      <c r="L636" s="7">
        <f>=DATE(2012,5,28)</f>
        <v>41056.99949074074</v>
      </c>
      <c r="M636" s="7">
        <f>=DATE(2012,5,28)</f>
        <v>41056.99949074074</v>
      </c>
      <c r="W636" s="6" t="str">
        <v>Micro-Computers (PCs);Monitors/Terminals;Other Peripherals;Printers;Mainframes &amp; Super Computers;Portable Computers;Other Software (inq. Games);Disk Drives</v>
      </c>
      <c r="X636" s="6" t="str">
        <v>Micro-Computers (PCs);Other Peripherals;Printers;Portable Computers;Disk Drives;Mainframes &amp; Super Computers;Monitors/Terminals;Other Software (inq. Games)</v>
      </c>
      <c r="Y636" s="6" t="str">
        <v>Micro-Computers (PCs);Portable Computers;Monitors/Terminals;Other Peripherals;Printers;Disk Drives;Mainframes &amp; Super Computers;Other Software (inq. Games)</v>
      </c>
      <c r="Z636" s="6" t="str">
        <v>Mainframes &amp; Super Computers;Other Software (inq. Games);Other Peripherals;Monitors/Terminals;Disk Drives;Printers;Micro-Computers (PCs);Portable Computers</v>
      </c>
      <c r="AA636" s="6" t="str">
        <v>Portable Computers;Micro-Computers (PCs);Disk Drives;Printers;Mainframes &amp; Super Computers;Other Peripherals;Monitors/Terminals;Other Software (inq. Games)</v>
      </c>
      <c r="AB636" s="6" t="str">
        <v>Monitors/Terminals;Mainframes &amp; Super Computers;Printers;Disk Drives;Portable Computers;Other Peripherals;Other Software (inq. Games);Micro-Computers (PCs)</v>
      </c>
      <c r="AH636" s="6" t="str">
        <v>False</v>
      </c>
      <c r="AI636" s="6" t="str">
        <v>2012</v>
      </c>
      <c r="AJ636" s="6" t="str">
        <v>Completed</v>
      </c>
      <c r="AM636" s="6" t="str">
        <v>Divestiture</v>
      </c>
      <c r="AO636" s="6" t="str">
        <v>ITALY- Apple Inc, acquired a Business Branch of Redmatica Srl, a Correggio-based provider of sampled instruments editor for the EXS24, Kontakt3 and 4, Structure and Reason NNXT formats.</v>
      </c>
    </row>
    <row r="637">
      <c r="A637" s="6" t="str">
        <v>30303M</v>
      </c>
      <c r="B637" s="6" t="str">
        <v>United States</v>
      </c>
      <c r="C637" s="6" t="str">
        <v>Facebook Inc</v>
      </c>
      <c r="D637" s="6" t="str">
        <v>Facebook Inc</v>
      </c>
      <c r="F637" s="6" t="str">
        <v>United States</v>
      </c>
      <c r="G637" s="6" t="str">
        <v>Vevo LLC</v>
      </c>
      <c r="H637" s="6" t="str">
        <v>Business Services</v>
      </c>
      <c r="I637" s="6" t="str">
        <v>93287A</v>
      </c>
      <c r="J637" s="6" t="str">
        <v>Vivendi SE</v>
      </c>
      <c r="K637" s="6" t="str">
        <v>Universal Music Group Inc</v>
      </c>
      <c r="L637" s="7">
        <f>=DATE(2012,5,31)</f>
        <v>41059.99949074074</v>
      </c>
      <c r="W637" s="6" t="str">
        <v>Internet Services &amp; Software</v>
      </c>
      <c r="X637" s="6" t="str">
        <v>Internet Services &amp; Software</v>
      </c>
      <c r="Y637" s="6" t="str">
        <v>Primary Business not Hi-Tech</v>
      </c>
      <c r="Z637" s="6" t="str">
        <v>Internet Services &amp; Software;Primary Business not Hi-Tech;Other Software (inq. Games)</v>
      </c>
      <c r="AA637" s="6" t="str">
        <v>Internet Services &amp; Software</v>
      </c>
      <c r="AB637" s="6" t="str">
        <v>Internet Services &amp; Software</v>
      </c>
      <c r="AH637" s="6" t="str">
        <v>True</v>
      </c>
      <c r="AJ637" s="6" t="str">
        <v>Dismissed Rumor</v>
      </c>
      <c r="AM637" s="6" t="str">
        <v>Rumored Deal;Financial Acquiror</v>
      </c>
      <c r="AO637" s="6" t="str">
        <v>US - Facbook Inc was rumored to be in negotiations to acquire an undisclosed minority stake in Vevo LLC, a New York-based provider of video hosting services. The Current status of this deal is unknown.</v>
      </c>
    </row>
    <row r="638">
      <c r="A638" s="6" t="str">
        <v>38259P</v>
      </c>
      <c r="B638" s="6" t="str">
        <v>United States</v>
      </c>
      <c r="C638" s="6" t="str">
        <v>Google Inc</v>
      </c>
      <c r="D638" s="6" t="str">
        <v>Alphabet Inc</v>
      </c>
      <c r="F638" s="6" t="str">
        <v>United States</v>
      </c>
      <c r="G638" s="6" t="str">
        <v>Meebo.com Inc</v>
      </c>
      <c r="H638" s="6" t="str">
        <v>Business Services</v>
      </c>
      <c r="I638" s="6" t="str">
        <v>58646X</v>
      </c>
      <c r="J638" s="6" t="str">
        <v>Meebo.com Inc</v>
      </c>
      <c r="K638" s="6" t="str">
        <v>Meebo.com Inc</v>
      </c>
      <c r="L638" s="7">
        <f>=DATE(2012,6,4)</f>
        <v>41063.99949074074</v>
      </c>
      <c r="M638" s="7">
        <f>=DATE(2012,12,3)</f>
        <v>41245.99949074074</v>
      </c>
      <c r="W638" s="6" t="str">
        <v>Internet Services &amp; Software;Programming Services</v>
      </c>
      <c r="X638" s="6" t="str">
        <v>Internet Services &amp; Software</v>
      </c>
      <c r="Y638" s="6" t="str">
        <v>Internet Services &amp; Software</v>
      </c>
      <c r="Z638" s="6" t="str">
        <v>Internet Services &amp; Software</v>
      </c>
      <c r="AA638" s="6" t="str">
        <v>Computer Consulting Services;Programming Services;Primary Business not Hi-Tech;Telecommunications Equipment;Internet Services &amp; Software</v>
      </c>
      <c r="AB638" s="6" t="str">
        <v>Computer Consulting Services;Internet Services &amp; Software;Programming Services;Primary Business not Hi-Tech;Telecommunications Equipment</v>
      </c>
      <c r="AH638" s="6" t="str">
        <v>False</v>
      </c>
      <c r="AI638" s="6" t="str">
        <v>2012</v>
      </c>
      <c r="AJ638" s="6" t="str">
        <v>Completed</v>
      </c>
      <c r="AM638" s="6" t="str">
        <v>Rumored Deal</v>
      </c>
      <c r="AO638" s="6" t="str">
        <v>US - Google Inc acquired Meebo.com Inc, a Mountain View-based provider of online messaging services. Terms were not disclosed, but according to the sources close to the situation, the transaction was valued at an estimated USD 100 mil.</v>
      </c>
    </row>
    <row r="639">
      <c r="A639" s="6" t="str">
        <v>38259P</v>
      </c>
      <c r="B639" s="6" t="str">
        <v>United States</v>
      </c>
      <c r="C639" s="6" t="str">
        <v>Google Inc</v>
      </c>
      <c r="D639" s="6" t="str">
        <v>Alphabet Inc</v>
      </c>
      <c r="F639" s="6" t="str">
        <v>United States</v>
      </c>
      <c r="G639" s="6" t="str">
        <v>Quickoffice Inc</v>
      </c>
      <c r="H639" s="6" t="str">
        <v>Prepackaged Software</v>
      </c>
      <c r="I639" s="6" t="str">
        <v>75466V</v>
      </c>
      <c r="J639" s="6" t="str">
        <v>Quickoffice Inc</v>
      </c>
      <c r="K639" s="6" t="str">
        <v>Quickoffice Inc</v>
      </c>
      <c r="L639" s="7">
        <f>=DATE(2012,6,5)</f>
        <v>41064.99949074074</v>
      </c>
      <c r="M639" s="7">
        <f>=DATE(2012,6,5)</f>
        <v>41064.99949074074</v>
      </c>
      <c r="W639" s="6" t="str">
        <v>Programming Services;Internet Services &amp; Software</v>
      </c>
      <c r="X639" s="6" t="str">
        <v>Other Software (inq. Games);Data Processing Services;Computer Consulting Services;Other Computer Related Svcs</v>
      </c>
      <c r="Y639" s="6" t="str">
        <v>Data Processing Services;Computer Consulting Services;Other Software (inq. Games);Other Computer Related Svcs</v>
      </c>
      <c r="Z639" s="6" t="str">
        <v>Data Processing Services;Computer Consulting Services;Other Software (inq. Games);Other Computer Related Svcs</v>
      </c>
      <c r="AA639" s="6" t="str">
        <v>Telecommunications Equipment;Programming Services;Internet Services &amp; Software;Computer Consulting Services;Primary Business not Hi-Tech</v>
      </c>
      <c r="AB639" s="6" t="str">
        <v>Internet Services &amp; Software;Telecommunications Equipment;Programming Services;Primary Business not Hi-Tech;Computer Consulting Services</v>
      </c>
      <c r="AH639" s="6" t="str">
        <v>True</v>
      </c>
      <c r="AI639" s="6" t="str">
        <v>2012</v>
      </c>
      <c r="AJ639" s="6" t="str">
        <v>Completed</v>
      </c>
      <c r="AM639" s="6" t="str">
        <v>Not Applicable</v>
      </c>
      <c r="AO639" s="6" t="str">
        <v>US - Google Inc acquired Quickoffice Inc, a Plano-based developer of mobile office document services. Terms were not disclosed.</v>
      </c>
    </row>
    <row r="640">
      <c r="A640" s="6" t="str">
        <v>594918</v>
      </c>
      <c r="B640" s="6" t="str">
        <v>United States</v>
      </c>
      <c r="C640" s="6" t="str">
        <v>Microsoft Corp</v>
      </c>
      <c r="D640" s="6" t="str">
        <v>Microsoft Corp</v>
      </c>
      <c r="F640" s="6" t="str">
        <v>Denmark</v>
      </c>
      <c r="G640" s="6" t="str">
        <v>Press Play Aps</v>
      </c>
      <c r="H640" s="6" t="str">
        <v>Business Services</v>
      </c>
      <c r="I640" s="6" t="str">
        <v>76946K</v>
      </c>
      <c r="J640" s="6" t="str">
        <v>Press Play Aps</v>
      </c>
      <c r="K640" s="6" t="str">
        <v>Press Play Aps</v>
      </c>
      <c r="L640" s="7">
        <f>=DATE(2012,6,6)</f>
        <v>41065.99949074074</v>
      </c>
      <c r="M640" s="7">
        <f>=DATE(2012,6,6)</f>
        <v>41065.99949074074</v>
      </c>
      <c r="W640" s="6" t="str">
        <v>Computer Consulting Services;Operating Systems;Monitors/Terminals;Internet Services &amp; Software;Applications Software(Business;Other Peripherals</v>
      </c>
      <c r="X640" s="6" t="str">
        <v>Internet Services &amp; Software</v>
      </c>
      <c r="Y640" s="6" t="str">
        <v>Internet Services &amp; Software</v>
      </c>
      <c r="Z640" s="6" t="str">
        <v>Internet Services &amp; Software</v>
      </c>
      <c r="AA640" s="6" t="str">
        <v>Internet Services &amp; Software;Other Peripherals;Applications Software(Business;Operating Systems;Computer Consulting Services;Monitors/Terminals</v>
      </c>
      <c r="AB640" s="6" t="str">
        <v>Applications Software(Business;Monitors/Terminals;Other Peripherals;Computer Consulting Services;Internet Services &amp; Software;Operating Systems</v>
      </c>
      <c r="AH640" s="6" t="str">
        <v>False</v>
      </c>
      <c r="AI640" s="6" t="str">
        <v>2012</v>
      </c>
      <c r="AJ640" s="6" t="str">
        <v>Completed</v>
      </c>
      <c r="AM640" s="6" t="str">
        <v>Not Applicable</v>
      </c>
      <c r="AO640" s="6" t="str">
        <v>DENMARK - Microsoft Corp acquired Press Play Aps, a Copenhagen-based provider of online gaming services.</v>
      </c>
    </row>
    <row r="641">
      <c r="A641" s="6" t="str">
        <v>30303M</v>
      </c>
      <c r="B641" s="6" t="str">
        <v>United States</v>
      </c>
      <c r="C641" s="6" t="str">
        <v>Facebook Inc</v>
      </c>
      <c r="D641" s="6" t="str">
        <v>Facebook Inc</v>
      </c>
      <c r="F641" s="6" t="str">
        <v>Israel</v>
      </c>
      <c r="G641" s="6" t="str">
        <v>Face.com</v>
      </c>
      <c r="H641" s="6" t="str">
        <v>Prepackaged Software</v>
      </c>
      <c r="I641" s="6" t="str">
        <v>30782E</v>
      </c>
      <c r="J641" s="6" t="str">
        <v>Face.com</v>
      </c>
      <c r="K641" s="6" t="str">
        <v>Face.com</v>
      </c>
      <c r="L641" s="7">
        <f>=DATE(2012,6,18)</f>
        <v>41077.99949074074</v>
      </c>
      <c r="M641" s="7">
        <f>=DATE(2012,6,18)</f>
        <v>41077.99949074074</v>
      </c>
      <c r="W641" s="6" t="str">
        <v>Internet Services &amp; Software</v>
      </c>
      <c r="X641" s="6" t="str">
        <v>Internet Services &amp; Software;Communication/Network Software</v>
      </c>
      <c r="Y641" s="6" t="str">
        <v>Internet Services &amp; Software;Communication/Network Software</v>
      </c>
      <c r="Z641" s="6" t="str">
        <v>Internet Services &amp; Software;Communication/Network Software</v>
      </c>
      <c r="AA641" s="6" t="str">
        <v>Internet Services &amp; Software</v>
      </c>
      <c r="AB641" s="6" t="str">
        <v>Internet Services &amp; Software</v>
      </c>
      <c r="AH641" s="6" t="str">
        <v>False</v>
      </c>
      <c r="AI641" s="6" t="str">
        <v>2012</v>
      </c>
      <c r="AJ641" s="6" t="str">
        <v>Completed</v>
      </c>
      <c r="AM641" s="6" t="str">
        <v>Rumored Deal;Financial Acquiror</v>
      </c>
      <c r="AO641" s="6" t="str">
        <v>ISRAEL - Facebook Inc (FB) of the US acquired Face.com (FC), a Tel Aviv-based developer of face recognition software. Terms were not disclosed but, according to people familiar with the transaction, the deal was valued at an estimated ILS 386.220 mil (USD 100 mil). Originally in May 2012, FB was rumored to be planning to acquire FC.</v>
      </c>
    </row>
    <row r="642">
      <c r="A642" s="6" t="str">
        <v>594918</v>
      </c>
      <c r="B642" s="6" t="str">
        <v>United States</v>
      </c>
      <c r="C642" s="6" t="str">
        <v>Microsoft Corp</v>
      </c>
      <c r="D642" s="6" t="str">
        <v>Microsoft Corp</v>
      </c>
      <c r="F642" s="6" t="str">
        <v>United States</v>
      </c>
      <c r="G642" s="6" t="str">
        <v>Yammer Inc</v>
      </c>
      <c r="H642" s="6" t="str">
        <v>Prepackaged Software</v>
      </c>
      <c r="I642" s="6" t="str">
        <v>99521P</v>
      </c>
      <c r="J642" s="6" t="str">
        <v>Yammer Inc</v>
      </c>
      <c r="K642" s="6" t="str">
        <v>Yammer Inc</v>
      </c>
      <c r="L642" s="7">
        <f>=DATE(2012,6,25)</f>
        <v>41084.99949074074</v>
      </c>
      <c r="M642" s="7">
        <f>=DATE(2012,7,19)</f>
        <v>41108.99949074074</v>
      </c>
      <c r="N642" s="8">
        <v>1200</v>
      </c>
      <c r="O642" s="8">
        <v>1200</v>
      </c>
      <c r="W642" s="6" t="str">
        <v>Computer Consulting Services;Operating Systems;Applications Software(Business;Internet Services &amp; Software;Other Peripherals;Monitors/Terminals</v>
      </c>
      <c r="X642" s="6" t="str">
        <v>Applications Software(Business;Internet Services &amp; Software</v>
      </c>
      <c r="Y642" s="6" t="str">
        <v>Applications Software(Business;Internet Services &amp; Software</v>
      </c>
      <c r="Z642" s="6" t="str">
        <v>Internet Services &amp; Software;Applications Software(Business</v>
      </c>
      <c r="AA642" s="6" t="str">
        <v>Applications Software(Business;Other Peripherals;Operating Systems;Internet Services &amp; Software;Computer Consulting Services;Monitors/Terminals</v>
      </c>
      <c r="AB642" s="6" t="str">
        <v>Monitors/Terminals;Operating Systems;Other Peripherals;Applications Software(Business;Computer Consulting Services;Internet Services &amp; Software</v>
      </c>
      <c r="AC642" s="8">
        <v>1200</v>
      </c>
      <c r="AD642" s="7">
        <f>=DATE(2012,6,25)</f>
        <v>41084.99949074074</v>
      </c>
      <c r="AH642" s="6" t="str">
        <v>False</v>
      </c>
      <c r="AI642" s="6" t="str">
        <v>2012</v>
      </c>
      <c r="AJ642" s="6" t="str">
        <v>Completed</v>
      </c>
      <c r="AM642" s="6" t="str">
        <v>Rumored Deal</v>
      </c>
      <c r="AO642" s="6" t="str">
        <v>US - Microsoft Corp acquired Yammer Inc, a San Francisco-based developer of enterprise software, for USD 1.2 bil in cash. Originally, in June 2012, Microsoft was rumored to be planning to acquire Yammer.</v>
      </c>
    </row>
    <row r="643">
      <c r="A643" s="6" t="str">
        <v>07573T</v>
      </c>
      <c r="B643" s="6" t="str">
        <v>United States</v>
      </c>
      <c r="C643" s="6" t="str">
        <v>Beats Electronics LLC</v>
      </c>
      <c r="D643" s="6" t="str">
        <v>HTC Corp</v>
      </c>
      <c r="F643" s="6" t="str">
        <v>United States</v>
      </c>
      <c r="G643" s="6" t="str">
        <v>MOG Inc</v>
      </c>
      <c r="H643" s="6" t="str">
        <v>Prepackaged Software</v>
      </c>
      <c r="I643" s="6" t="str">
        <v>60607V</v>
      </c>
      <c r="J643" s="6" t="str">
        <v>MOG Inc</v>
      </c>
      <c r="K643" s="6" t="str">
        <v>MOG Inc</v>
      </c>
      <c r="L643" s="7">
        <f>=DATE(2012,7,2)</f>
        <v>41091.99949074074</v>
      </c>
      <c r="M643" s="7">
        <f>=DATE(2012,7,2)</f>
        <v>41091.99949074074</v>
      </c>
      <c r="W643" s="6" t="str">
        <v>Other Peripherals</v>
      </c>
      <c r="X643" s="6" t="str">
        <v>Other Computer Related Svcs;Other Software (inq. Games);Internet Services &amp; Software</v>
      </c>
      <c r="Y643" s="6" t="str">
        <v>Internet Services &amp; Software;Other Computer Related Svcs;Other Software (inq. Games)</v>
      </c>
      <c r="Z643" s="6" t="str">
        <v>Other Software (inq. Games);Other Computer Related Svcs;Internet Services &amp; Software</v>
      </c>
      <c r="AA643" s="6" t="str">
        <v>Micro-Computers (PCs);Other Telecommunications Equip;Portable Computers</v>
      </c>
      <c r="AB643" s="6" t="str">
        <v>Other Telecommunications Equip;Portable Computers;Micro-Computers (PCs)</v>
      </c>
      <c r="AH643" s="6" t="str">
        <v>False</v>
      </c>
      <c r="AI643" s="6" t="str">
        <v>2012</v>
      </c>
      <c r="AJ643" s="6" t="str">
        <v>Completed</v>
      </c>
      <c r="AM643" s="6" t="str">
        <v>Rumored Deal</v>
      </c>
      <c r="AO643" s="6" t="str">
        <v>US - Beats Electronics LLC (Beats), a majority-owned unit of HTC Corp, acquired MOG, a Berkeley-based provider of online music services. Terms were not disclosed. Originally, Beats was rumored to be planning to acquire MOG.</v>
      </c>
    </row>
    <row r="644">
      <c r="A644" s="6" t="str">
        <v>023135</v>
      </c>
      <c r="B644" s="6" t="str">
        <v>United States</v>
      </c>
      <c r="C644" s="6" t="str">
        <v>Amazon.com Inc</v>
      </c>
      <c r="D644" s="6" t="str">
        <v>Amazon.com Inc</v>
      </c>
      <c r="F644" s="6" t="str">
        <v>United States</v>
      </c>
      <c r="G644" s="6" t="str">
        <v>UpNext Inc</v>
      </c>
      <c r="H644" s="6" t="str">
        <v>Prepackaged Software</v>
      </c>
      <c r="I644" s="6" t="str">
        <v>93610R</v>
      </c>
      <c r="J644" s="6" t="str">
        <v>UpNext Inc</v>
      </c>
      <c r="K644" s="6" t="str">
        <v>UpNext Inc</v>
      </c>
      <c r="L644" s="7">
        <f>=DATE(2012,7,2)</f>
        <v>41091.99949074074</v>
      </c>
      <c r="W644" s="6" t="str">
        <v>Primary Business not Hi-Tech</v>
      </c>
      <c r="X644" s="6" t="str">
        <v>Communication/Network Software;Applications Software(Business</v>
      </c>
      <c r="Y644" s="6" t="str">
        <v>Applications Software(Business;Communication/Network Software</v>
      </c>
      <c r="Z644" s="6" t="str">
        <v>Applications Software(Business;Communication/Network Software</v>
      </c>
      <c r="AA644" s="6" t="str">
        <v>Primary Business not Hi-Tech</v>
      </c>
      <c r="AB644" s="6" t="str">
        <v>Primary Business not Hi-Tech</v>
      </c>
      <c r="AH644" s="6" t="str">
        <v>True</v>
      </c>
      <c r="AJ644" s="6" t="str">
        <v>Dismissed Rumor</v>
      </c>
      <c r="AM644" s="6" t="str">
        <v>Rumored Deal</v>
      </c>
      <c r="AO644" s="6" t="str">
        <v>US - Amazon.com Inc was rumored to be planning to acquire UpNext Inc, a New York-based developer of map software. The Current status of this deal is unknown.</v>
      </c>
    </row>
    <row r="645">
      <c r="A645" s="6" t="str">
        <v>594918</v>
      </c>
      <c r="B645" s="6" t="str">
        <v>United States</v>
      </c>
      <c r="C645" s="6" t="str">
        <v>Microsoft Corp</v>
      </c>
      <c r="D645" s="6" t="str">
        <v>Microsoft Corp</v>
      </c>
      <c r="F645" s="6" t="str">
        <v>United States</v>
      </c>
      <c r="G645" s="6" t="str">
        <v>Perceptive Pixel Inc</v>
      </c>
      <c r="H645" s="6" t="str">
        <v>Prepackaged Software</v>
      </c>
      <c r="I645" s="6" t="str">
        <v>71410V</v>
      </c>
      <c r="J645" s="6" t="str">
        <v>Perceptive Pixel Inc</v>
      </c>
      <c r="K645" s="6" t="str">
        <v>Perceptive Pixel Inc</v>
      </c>
      <c r="L645" s="7">
        <f>=DATE(2012,7,9)</f>
        <v>41098.99949074074</v>
      </c>
      <c r="M645" s="7">
        <f>=DATE(2012,7,30)</f>
        <v>41119.99949074074</v>
      </c>
      <c r="W645" s="6" t="str">
        <v>Operating Systems;Computer Consulting Services;Applications Software(Business;Internet Services &amp; Software;Monitors/Terminals;Other Peripherals</v>
      </c>
      <c r="X645" s="6" t="str">
        <v>Superconductors;Semiconductors;Other Software (inq. Games)</v>
      </c>
      <c r="Y645" s="6" t="str">
        <v>Other Software (inq. Games);Semiconductors;Superconductors</v>
      </c>
      <c r="Z645" s="6" t="str">
        <v>Other Software (inq. Games);Superconductors;Semiconductors</v>
      </c>
      <c r="AA645" s="6" t="str">
        <v>Operating Systems;Internet Services &amp; Software;Other Peripherals;Applications Software(Business;Computer Consulting Services;Monitors/Terminals</v>
      </c>
      <c r="AB645" s="6" t="str">
        <v>Operating Systems;Internet Services &amp; Software;Computer Consulting Services;Monitors/Terminals;Other Peripherals;Applications Software(Business</v>
      </c>
      <c r="AH645" s="6" t="str">
        <v>False</v>
      </c>
      <c r="AI645" s="6" t="str">
        <v>2012</v>
      </c>
      <c r="AJ645" s="6" t="str">
        <v>Completed</v>
      </c>
      <c r="AM645" s="6" t="str">
        <v>Not Applicable</v>
      </c>
      <c r="AO645" s="6" t="str">
        <v>US - Microsoft Corp acquired Perceptive Pixel Inc, a New York-based developer of multi-touch software. Terms were not disclosed.</v>
      </c>
    </row>
    <row r="646">
      <c r="A646" s="6" t="str">
        <v>30303M</v>
      </c>
      <c r="B646" s="6" t="str">
        <v>United States</v>
      </c>
      <c r="C646" s="6" t="str">
        <v>Facebook Inc</v>
      </c>
      <c r="D646" s="6" t="str">
        <v>Facebook Inc</v>
      </c>
      <c r="F646" s="6" t="str">
        <v>United States</v>
      </c>
      <c r="G646" s="6" t="str">
        <v>Spool Inc</v>
      </c>
      <c r="H646" s="6" t="str">
        <v>Prepackaged Software</v>
      </c>
      <c r="I646" s="6" t="str">
        <v>84901Z</v>
      </c>
      <c r="J646" s="6" t="str">
        <v>Spool Inc</v>
      </c>
      <c r="K646" s="6" t="str">
        <v>Spool Inc</v>
      </c>
      <c r="L646" s="7">
        <f>=DATE(2012,7,14)</f>
        <v>41103.99949074074</v>
      </c>
      <c r="M646" s="7">
        <f>=DATE(2012,7,14)</f>
        <v>41103.99949074074</v>
      </c>
      <c r="W646" s="6" t="str">
        <v>Internet Services &amp; Software</v>
      </c>
      <c r="X646" s="6" t="str">
        <v>Applications Software(Business</v>
      </c>
      <c r="Y646" s="6" t="str">
        <v>Applications Software(Business</v>
      </c>
      <c r="Z646" s="6" t="str">
        <v>Applications Software(Business</v>
      </c>
      <c r="AA646" s="6" t="str">
        <v>Internet Services &amp; Software</v>
      </c>
      <c r="AB646" s="6" t="str">
        <v>Internet Services &amp; Software</v>
      </c>
      <c r="AH646" s="6" t="str">
        <v>False</v>
      </c>
      <c r="AI646" s="6" t="str">
        <v>2012</v>
      </c>
      <c r="AJ646" s="6" t="str">
        <v>Completed</v>
      </c>
      <c r="AM646" s="6" t="str">
        <v>Financial Acquiror</v>
      </c>
      <c r="AO646" s="6" t="str">
        <v>US - Facebook Inc acquired Spool Inc, a San Francisco-based developer of mobile bookmarking application software. Terms were not disclosed.</v>
      </c>
    </row>
    <row r="647">
      <c r="A647" s="6" t="str">
        <v>30303M</v>
      </c>
      <c r="B647" s="6" t="str">
        <v>United States</v>
      </c>
      <c r="C647" s="6" t="str">
        <v>Facebook Inc</v>
      </c>
      <c r="D647" s="6" t="str">
        <v>Facebook Inc</v>
      </c>
      <c r="F647" s="6" t="str">
        <v>Canada</v>
      </c>
      <c r="G647" s="6" t="str">
        <v>Acrylic Software</v>
      </c>
      <c r="H647" s="6" t="str">
        <v>Business Services</v>
      </c>
      <c r="I647" s="6" t="str">
        <v>02034H</v>
      </c>
      <c r="J647" s="6" t="str">
        <v>Acrylic Software</v>
      </c>
      <c r="K647" s="6" t="str">
        <v>Acrylic Software</v>
      </c>
      <c r="L647" s="7">
        <f>=DATE(2012,7,20)</f>
        <v>41109.99949074074</v>
      </c>
      <c r="M647" s="7">
        <f>=DATE(2012,7,20)</f>
        <v>41109.99949074074</v>
      </c>
      <c r="W647" s="6" t="str">
        <v>Internet Services &amp; Software</v>
      </c>
      <c r="X647" s="6" t="str">
        <v>Programming Services;Other Computer Related Svcs;Computer Consulting Services</v>
      </c>
      <c r="Y647" s="6" t="str">
        <v>Programming Services;Other Computer Related Svcs;Computer Consulting Services</v>
      </c>
      <c r="Z647" s="6" t="str">
        <v>Other Computer Related Svcs;Computer Consulting Services;Programming Services</v>
      </c>
      <c r="AA647" s="6" t="str">
        <v>Internet Services &amp; Software</v>
      </c>
      <c r="AB647" s="6" t="str">
        <v>Internet Services &amp; Software</v>
      </c>
      <c r="AH647" s="6" t="str">
        <v>False</v>
      </c>
      <c r="AI647" s="6" t="str">
        <v>2012</v>
      </c>
      <c r="AJ647" s="6" t="str">
        <v>Completed</v>
      </c>
      <c r="AM647" s="6" t="str">
        <v>Financial Acquiror</v>
      </c>
      <c r="AO647" s="6" t="str">
        <v>CANADA - Facebook Inc of the US acquired Acrylic Software, a Vancouver-based application services provider.</v>
      </c>
    </row>
    <row r="648">
      <c r="A648" s="6" t="str">
        <v>38259P</v>
      </c>
      <c r="B648" s="6" t="str">
        <v>United States</v>
      </c>
      <c r="C648" s="6" t="str">
        <v>Google Inc</v>
      </c>
      <c r="D648" s="6" t="str">
        <v>Alphabet Inc</v>
      </c>
      <c r="F648" s="6" t="str">
        <v>France</v>
      </c>
      <c r="G648" s="6" t="str">
        <v>Sparrow SAS</v>
      </c>
      <c r="H648" s="6" t="str">
        <v>Prepackaged Software</v>
      </c>
      <c r="I648" s="6" t="str">
        <v>84675Z</v>
      </c>
      <c r="J648" s="6" t="str">
        <v>Sparrow SAS</v>
      </c>
      <c r="K648" s="6" t="str">
        <v>Sparrow SAS</v>
      </c>
      <c r="L648" s="7">
        <f>=DATE(2012,7,20)</f>
        <v>41109.99949074074</v>
      </c>
      <c r="M648" s="7">
        <f>=DATE(2012,7,20)</f>
        <v>41109.99949074074</v>
      </c>
      <c r="W648" s="6" t="str">
        <v>Internet Services &amp; Software;Programming Services</v>
      </c>
      <c r="X648" s="6" t="str">
        <v>Internet Services &amp; Software;Applications Software(Home)</v>
      </c>
      <c r="Y648" s="6" t="str">
        <v>Internet Services &amp; Software;Applications Software(Home)</v>
      </c>
      <c r="Z648" s="6" t="str">
        <v>Internet Services &amp; Software;Applications Software(Home)</v>
      </c>
      <c r="AA648" s="6" t="str">
        <v>Internet Services &amp; Software;Programming Services;Computer Consulting Services;Telecommunications Equipment;Primary Business not Hi-Tech</v>
      </c>
      <c r="AB648" s="6" t="str">
        <v>Telecommunications Equipment;Computer Consulting Services;Programming Services;Internet Services &amp; Software;Primary Business not Hi-Tech</v>
      </c>
      <c r="AH648" s="6" t="str">
        <v>False</v>
      </c>
      <c r="AI648" s="6" t="str">
        <v>2012</v>
      </c>
      <c r="AJ648" s="6" t="str">
        <v>Completed</v>
      </c>
      <c r="AM648" s="6" t="str">
        <v>Not Applicable</v>
      </c>
      <c r="AO648" s="6" t="str">
        <v>FRANCE - Google Inc of the US acquired Sparrow SAS, a Paris-based developer of e-mail applications software, from Dominique Leca, Hoa Dinh Viet and Kima Ventures SASU. Terms were not disclosed.</v>
      </c>
    </row>
    <row r="649">
      <c r="A649" s="6" t="str">
        <v>07573T</v>
      </c>
      <c r="B649" s="6" t="str">
        <v>United States</v>
      </c>
      <c r="C649" s="6" t="str">
        <v>Beats Electronics LLC</v>
      </c>
      <c r="D649" s="6" t="str">
        <v>HTC Corp</v>
      </c>
      <c r="F649" s="6" t="str">
        <v>United States</v>
      </c>
      <c r="G649" s="6" t="str">
        <v>Beats Electronics LLC</v>
      </c>
      <c r="H649" s="6" t="str">
        <v>Electronic and Electrical Equipment</v>
      </c>
      <c r="I649" s="6" t="str">
        <v>07573T</v>
      </c>
      <c r="J649" s="6" t="str">
        <v>HTC Corp</v>
      </c>
      <c r="K649" s="6" t="str">
        <v>HTC Corp</v>
      </c>
      <c r="L649" s="7">
        <f>=DATE(2012,7,23)</f>
        <v>41112.99949074074</v>
      </c>
      <c r="M649" s="7">
        <f>=DATE(2012,7,23)</f>
        <v>41112.99949074074</v>
      </c>
      <c r="N649" s="8">
        <v>150</v>
      </c>
      <c r="O649" s="8">
        <v>150</v>
      </c>
      <c r="W649" s="6" t="str">
        <v>Other Peripherals</v>
      </c>
      <c r="X649" s="6" t="str">
        <v>Other Peripherals</v>
      </c>
      <c r="Y649" s="6" t="str">
        <v>Other Telecommunications Equip;Micro-Computers (PCs);Portable Computers</v>
      </c>
      <c r="Z649" s="6" t="str">
        <v>Other Telecommunications Equip;Portable Computers;Micro-Computers (PCs)</v>
      </c>
      <c r="AA649" s="6" t="str">
        <v>Micro-Computers (PCs);Other Telecommunications Equip;Portable Computers</v>
      </c>
      <c r="AB649" s="6" t="str">
        <v>Micro-Computers (PCs);Other Telecommunications Equip;Portable Computers</v>
      </c>
      <c r="AC649" s="8">
        <v>150</v>
      </c>
      <c r="AD649" s="7">
        <f>=DATE(2012,7,23)</f>
        <v>41112.99949074074</v>
      </c>
      <c r="AF649" s="8" t="str">
        <v>600.00</v>
      </c>
      <c r="AG649" s="8" t="str">
        <v>600.00</v>
      </c>
      <c r="AH649" s="6" t="str">
        <v>False</v>
      </c>
      <c r="AI649" s="6" t="str">
        <v>2012</v>
      </c>
      <c r="AJ649" s="6" t="str">
        <v>Completed</v>
      </c>
      <c r="AM649" s="6" t="str">
        <v>Privately Negotiated Purchase;Repurchase</v>
      </c>
      <c r="AO649" s="6" t="str">
        <v>US - In July 2012, the board of Beats Electronics LLC completed the repurchase of about 25% of the company's stock outstanding, from HTC Corp, for USD 150 mil, in a privately negotiated transaction.</v>
      </c>
    </row>
    <row r="650">
      <c r="A650" s="6" t="str">
        <v>037833</v>
      </c>
      <c r="B650" s="6" t="str">
        <v>United States</v>
      </c>
      <c r="C650" s="6" t="str">
        <v>Apple Inc</v>
      </c>
      <c r="D650" s="6" t="str">
        <v>Apple Inc</v>
      </c>
      <c r="F650" s="6" t="str">
        <v>United States</v>
      </c>
      <c r="G650" s="6" t="str">
        <v>AuthenTec Inc</v>
      </c>
      <c r="H650" s="6" t="str">
        <v>Electronic and Electrical Equipment</v>
      </c>
      <c r="I650" s="6" t="str">
        <v>052660</v>
      </c>
      <c r="J650" s="6" t="str">
        <v>AuthenTec Inc</v>
      </c>
      <c r="K650" s="6" t="str">
        <v>AuthenTec Inc</v>
      </c>
      <c r="L650" s="7">
        <f>=DATE(2012,7,27)</f>
        <v>41116.99949074074</v>
      </c>
      <c r="M650" s="7">
        <f>=DATE(2012,10,4)</f>
        <v>41185.99949074074</v>
      </c>
      <c r="N650" s="8">
        <v>392.865</v>
      </c>
      <c r="O650" s="8">
        <v>392.865</v>
      </c>
      <c r="P650" s="8" t="str">
        <v>373.34</v>
      </c>
      <c r="R650" s="8">
        <v>-2.461</v>
      </c>
      <c r="S650" s="8">
        <v>76.11</v>
      </c>
      <c r="T650" s="8">
        <v>0.608</v>
      </c>
      <c r="U650" s="8">
        <v>6.987</v>
      </c>
      <c r="V650" s="8">
        <v>6.966</v>
      </c>
      <c r="W650" s="6" t="str">
        <v>Portable Computers;Printers;Disk Drives;Micro-Computers (PCs);Other Peripherals;Other Software (inq. Games);Monitors/Terminals;Mainframes &amp; Super Computers</v>
      </c>
      <c r="X650" s="6" t="str">
        <v>Semiconductors;Search, Detection, Navigation;Other Electronics</v>
      </c>
      <c r="Y650" s="6" t="str">
        <v>Other Electronics;Semiconductors;Search, Detection, Navigation</v>
      </c>
      <c r="Z650" s="6" t="str">
        <v>Other Electronics;Search, Detection, Navigation;Semiconductors</v>
      </c>
      <c r="AA650" s="6" t="str">
        <v>Micro-Computers (PCs);Portable Computers;Other Peripherals;Mainframes &amp; Super Computers;Disk Drives;Monitors/Terminals;Printers;Other Software (inq. Games)</v>
      </c>
      <c r="AB650" s="6" t="str">
        <v>Other Software (inq. Games);Disk Drives;Other Peripherals;Printers;Monitors/Terminals;Portable Computers;Mainframes &amp; Super Computers;Micro-Computers (PCs)</v>
      </c>
      <c r="AC650" s="8">
        <v>392.865</v>
      </c>
      <c r="AD650" s="7">
        <f>=DATE(2012,7,27)</f>
        <v>41116.99949074074</v>
      </c>
      <c r="AE650" s="8">
        <v>413.893176</v>
      </c>
      <c r="AF650" s="8" t="str">
        <v>371.55</v>
      </c>
      <c r="AG650" s="8" t="str">
        <v>373.34</v>
      </c>
      <c r="AH650" s="6" t="str">
        <v>True</v>
      </c>
      <c r="AI650" s="6" t="str">
        <v>2012</v>
      </c>
      <c r="AJ650" s="6" t="str">
        <v>Completed</v>
      </c>
      <c r="AK650" s="8">
        <v>413.893176</v>
      </c>
      <c r="AL650" s="8">
        <v>51.736647</v>
      </c>
      <c r="AM650" s="6" t="str">
        <v>Not Applicable</v>
      </c>
      <c r="AN650" s="8">
        <v>21.914</v>
      </c>
      <c r="AO650" s="6" t="str">
        <v>US - Apple Inc, through its wholly-owned Bryce Acquisition Corp subsidiary, acquired the entire share capital of AuthenTec Inc (AI), a Melbourne-based manufacturer of semiconductors, for USD 8 in cash per share, or a total value of USD 392.865 mil. Upon completion, AI became a wholly-owned subsidiary of Apple.</v>
      </c>
    </row>
    <row r="651">
      <c r="A651" s="6" t="str">
        <v>38259P</v>
      </c>
      <c r="B651" s="6" t="str">
        <v>United States</v>
      </c>
      <c r="C651" s="6" t="str">
        <v>Google Inc</v>
      </c>
      <c r="D651" s="6" t="str">
        <v>Alphabet Inc</v>
      </c>
      <c r="F651" s="6" t="str">
        <v>United States</v>
      </c>
      <c r="G651" s="6" t="str">
        <v>Wildfire Interactive Inc</v>
      </c>
      <c r="H651" s="6" t="str">
        <v>Business Services</v>
      </c>
      <c r="I651" s="6" t="str">
        <v>96788Q</v>
      </c>
      <c r="J651" s="6" t="str">
        <v>Wildfire Interactive Inc</v>
      </c>
      <c r="K651" s="6" t="str">
        <v>Wildfire Interactive Inc</v>
      </c>
      <c r="L651" s="7">
        <f>=DATE(2012,7,31)</f>
        <v>41120.99949074074</v>
      </c>
      <c r="M651" s="7">
        <f>=DATE(2012,7,31)</f>
        <v>41120.99949074074</v>
      </c>
      <c r="N651" s="8">
        <v>250</v>
      </c>
      <c r="O651" s="8">
        <v>250</v>
      </c>
      <c r="W651" s="6" t="str">
        <v>Internet Services &amp; Software;Programming Services</v>
      </c>
      <c r="X651" s="6" t="str">
        <v>Applications Software(Business;Communication/Network Software;Networking Systems (LAN,WAN);Other Software (inq. Games);Internet Services &amp; Software</v>
      </c>
      <c r="Y651" s="6" t="str">
        <v>Internet Services &amp; Software;Networking Systems (LAN,WAN);Applications Software(Business;Other Software (inq. Games);Communication/Network Software</v>
      </c>
      <c r="Z651" s="6" t="str">
        <v>Communication/Network Software;Applications Software(Business;Other Software (inq. Games);Internet Services &amp; Software;Networking Systems (LAN,WAN)</v>
      </c>
      <c r="AA651" s="6" t="str">
        <v>Programming Services;Internet Services &amp; Software;Telecommunications Equipment;Primary Business not Hi-Tech;Computer Consulting Services</v>
      </c>
      <c r="AB651" s="6" t="str">
        <v>Computer Consulting Services;Telecommunications Equipment;Programming Services;Primary Business not Hi-Tech;Internet Services &amp; Software</v>
      </c>
      <c r="AC651" s="8">
        <v>250</v>
      </c>
      <c r="AD651" s="7">
        <f>=DATE(2012,7,31)</f>
        <v>41120.99949074074</v>
      </c>
      <c r="AH651" s="6" t="str">
        <v>False</v>
      </c>
      <c r="AI651" s="6" t="str">
        <v>2012</v>
      </c>
      <c r="AJ651" s="6" t="str">
        <v>Completed</v>
      </c>
      <c r="AM651" s="6" t="str">
        <v>Not Applicable</v>
      </c>
      <c r="AO651" s="6" t="str">
        <v>US - Google Inc acquired Wildfire Interactive Inc, a Redwood City-based provider of online marketing services, for USD 250 mil.</v>
      </c>
    </row>
    <row r="652">
      <c r="A652" s="6" t="str">
        <v>037833</v>
      </c>
      <c r="B652" s="6" t="str">
        <v>United States</v>
      </c>
      <c r="C652" s="6" t="str">
        <v>Apple Inc</v>
      </c>
      <c r="D652" s="6" t="str">
        <v>Apple Inc</v>
      </c>
      <c r="F652" s="6" t="str">
        <v>United States</v>
      </c>
      <c r="G652" s="6" t="str">
        <v>Thing Daemon Inc</v>
      </c>
      <c r="H652" s="6" t="str">
        <v>Business Services</v>
      </c>
      <c r="I652" s="6" t="str">
        <v>85715K</v>
      </c>
      <c r="J652" s="6" t="str">
        <v>Thing Daemon Inc</v>
      </c>
      <c r="K652" s="6" t="str">
        <v>Thing Daemon Inc</v>
      </c>
      <c r="L652" s="7">
        <f>=DATE(2012,8,6)</f>
        <v>41126.99949074074</v>
      </c>
      <c r="W652" s="6" t="str">
        <v>Micro-Computers (PCs);Other Software (inq. Games);Disk Drives;Monitors/Terminals;Portable Computers;Other Peripherals;Printers;Mainframes &amp; Super Computers</v>
      </c>
      <c r="X652" s="6" t="str">
        <v>Internet Services &amp; Software</v>
      </c>
      <c r="Y652" s="6" t="str">
        <v>Internet Services &amp; Software</v>
      </c>
      <c r="Z652" s="6" t="str">
        <v>Internet Services &amp; Software</v>
      </c>
      <c r="AA652" s="6" t="str">
        <v>Disk Drives;Printers;Monitors/Terminals;Micro-Computers (PCs);Other Software (inq. Games);Mainframes &amp; Super Computers;Other Peripherals;Portable Computers</v>
      </c>
      <c r="AB652" s="6" t="str">
        <v>Mainframes &amp; Super Computers;Micro-Computers (PCs);Disk Drives;Portable Computers;Other Peripherals;Printers;Monitors/Terminals;Other Software (inq. Games)</v>
      </c>
      <c r="AH652" s="6" t="str">
        <v>True</v>
      </c>
      <c r="AJ652" s="6" t="str">
        <v>Dismissed Rumor</v>
      </c>
      <c r="AM652" s="6" t="str">
        <v>Rumored Deal</v>
      </c>
      <c r="AO652" s="6" t="str">
        <v>US - Apple Inc was rumored to be planning to acquire Thing Daemon Inc, a New York-based provider of e-commerce services. The Current status of this deal is unknown.</v>
      </c>
    </row>
    <row r="653">
      <c r="A653" s="6" t="str">
        <v>38259P</v>
      </c>
      <c r="B653" s="6" t="str">
        <v>United States</v>
      </c>
      <c r="C653" s="6" t="str">
        <v>Google Inc</v>
      </c>
      <c r="D653" s="6" t="str">
        <v>Alphabet Inc</v>
      </c>
      <c r="F653" s="6" t="str">
        <v>United States</v>
      </c>
      <c r="G653" s="6" t="str">
        <v>John Wiley &amp; Sons Inc-Consumer Print &amp; Digital Publishing Asset</v>
      </c>
      <c r="H653" s="6" t="str">
        <v>Printing, Publishing, and Allied Services</v>
      </c>
      <c r="I653" s="6" t="str">
        <v>96831N</v>
      </c>
      <c r="J653" s="6" t="str">
        <v>John Wiley &amp; Sons Inc</v>
      </c>
      <c r="K653" s="6" t="str">
        <v>John Wiley &amp; Sons Inc</v>
      </c>
      <c r="L653" s="7">
        <f>=DATE(2012,8,13)</f>
        <v>41133.99949074074</v>
      </c>
      <c r="M653" s="7">
        <f>=DATE(2012,8,31)</f>
        <v>41151.99949074074</v>
      </c>
      <c r="W653" s="6" t="str">
        <v>Internet Services &amp; Software;Programming Services</v>
      </c>
      <c r="X653" s="6" t="str">
        <v>Internet Services &amp; Software</v>
      </c>
      <c r="Y653" s="6" t="str">
        <v>Internet Services &amp; Software</v>
      </c>
      <c r="Z653" s="6" t="str">
        <v>Internet Services &amp; Software</v>
      </c>
      <c r="AA653" s="6" t="str">
        <v>Programming Services;Primary Business not Hi-Tech;Telecommunications Equipment;Computer Consulting Services;Internet Services &amp; Software</v>
      </c>
      <c r="AB653" s="6" t="str">
        <v>Computer Consulting Services;Programming Services;Telecommunications Equipment;Internet Services &amp; Software;Primary Business not Hi-Tech</v>
      </c>
      <c r="AH653" s="6" t="str">
        <v>False</v>
      </c>
      <c r="AI653" s="6" t="str">
        <v>2012</v>
      </c>
      <c r="AJ653" s="6" t="str">
        <v>Completed</v>
      </c>
      <c r="AM653" s="6" t="str">
        <v>Divestiture</v>
      </c>
      <c r="AO653" s="6" t="str">
        <v>US - Google Inc acquired the consumer print and digital publishing assets of John Wiley &amp; Sons Inc (John Wiley) , a New York-based publisher of books and magazines. Terms were not disclosed. Originally in March 2012, John Wiley announced that it was seeking a buyer for its consumer print and digital publishing assets.</v>
      </c>
    </row>
    <row r="654">
      <c r="A654" s="6" t="str">
        <v>30303M</v>
      </c>
      <c r="B654" s="6" t="str">
        <v>United States</v>
      </c>
      <c r="C654" s="6" t="str">
        <v>Facebook Inc</v>
      </c>
      <c r="D654" s="6" t="str">
        <v>Facebook Inc</v>
      </c>
      <c r="F654" s="6" t="str">
        <v>United States</v>
      </c>
      <c r="G654" s="6" t="str">
        <v>Threadsy Inc</v>
      </c>
      <c r="H654" s="6" t="str">
        <v>Prepackaged Software</v>
      </c>
      <c r="I654" s="6" t="str">
        <v>93662K</v>
      </c>
      <c r="J654" s="6" t="str">
        <v>Threadsy Inc</v>
      </c>
      <c r="K654" s="6" t="str">
        <v>Threadsy Inc</v>
      </c>
      <c r="L654" s="7">
        <f>=DATE(2012,8,24)</f>
        <v>41144.99949074074</v>
      </c>
      <c r="M654" s="7">
        <f>=DATE(2012,8,24)</f>
        <v>41144.99949074074</v>
      </c>
      <c r="W654" s="6" t="str">
        <v>Internet Services &amp; Software</v>
      </c>
      <c r="X654" s="6" t="str">
        <v>Applications Software(Home);Programming Services;Communication/Network Software;Database Software/Programming;Utilities/File Mgmt Software;Applications Software(Business</v>
      </c>
      <c r="Y654" s="6" t="str">
        <v>Communication/Network Software;Utilities/File Mgmt Software;Applications Software(Business;Applications Software(Home);Programming Services;Database Software/Programming</v>
      </c>
      <c r="Z654" s="6" t="str">
        <v>Applications Software(Home);Database Software/Programming;Applications Software(Business;Communication/Network Software;Programming Services;Utilities/File Mgmt Software</v>
      </c>
      <c r="AA654" s="6" t="str">
        <v>Internet Services &amp; Software</v>
      </c>
      <c r="AB654" s="6" t="str">
        <v>Internet Services &amp; Software</v>
      </c>
      <c r="AH654" s="6" t="str">
        <v>True</v>
      </c>
      <c r="AI654" s="6" t="str">
        <v>2012</v>
      </c>
      <c r="AJ654" s="6" t="str">
        <v>Completed</v>
      </c>
      <c r="AM654" s="6" t="str">
        <v>Financial Acquiror</v>
      </c>
      <c r="AO654" s="6" t="str">
        <v>US - Facebook Inc acquired Threadsy Inc, a San Francisco-based developer of online marketing software. Terms were not disclosed.</v>
      </c>
    </row>
    <row r="655">
      <c r="A655" s="6" t="str">
        <v>30303M</v>
      </c>
      <c r="B655" s="6" t="str">
        <v>United States</v>
      </c>
      <c r="C655" s="6" t="str">
        <v>Facebook Inc</v>
      </c>
      <c r="D655" s="6" t="str">
        <v>Facebook Inc</v>
      </c>
      <c r="F655" s="6" t="str">
        <v>Israel</v>
      </c>
      <c r="G655" s="6" t="str">
        <v>Waze Ltd</v>
      </c>
      <c r="H655" s="6" t="str">
        <v>Business Services</v>
      </c>
      <c r="I655" s="6" t="str">
        <v>94678Y</v>
      </c>
      <c r="J655" s="6" t="str">
        <v>Waze Ltd</v>
      </c>
      <c r="K655" s="6" t="str">
        <v>Waze Ltd</v>
      </c>
      <c r="L655" s="7">
        <f>=DATE(2012,8,28)</f>
        <v>41148.99949074074</v>
      </c>
      <c r="W655" s="6" t="str">
        <v>Internet Services &amp; Software</v>
      </c>
      <c r="X655" s="6" t="str">
        <v>Applications Software(Business;Other Software (inq. Games);Communication/Network Software;Database Software/Programming</v>
      </c>
      <c r="Y655" s="6" t="str">
        <v>Other Software (inq. Games);Applications Software(Business;Database Software/Programming;Communication/Network Software</v>
      </c>
      <c r="Z655" s="6" t="str">
        <v>Applications Software(Business;Database Software/Programming;Communication/Network Software;Other Software (inq. Games)</v>
      </c>
      <c r="AA655" s="6" t="str">
        <v>Internet Services &amp; Software</v>
      </c>
      <c r="AB655" s="6" t="str">
        <v>Internet Services &amp; Software</v>
      </c>
      <c r="AH655" s="6" t="str">
        <v>True</v>
      </c>
      <c r="AJ655" s="6" t="str">
        <v>Dismissed Rumor</v>
      </c>
      <c r="AM655" s="6" t="str">
        <v>Rumored Deal;Financial Acquiror</v>
      </c>
      <c r="AO655" s="6" t="str">
        <v>ISRAEL - Facebook Inc (FB) of the US discontinued rumor that it was planning to acquire Waze Ltd, a provider of traffic reporting services. Terms were not disclosed, but according to analyst estimates, the deal was valued at an estimated ILS 3.55 bil (USD 1 bil).</v>
      </c>
    </row>
    <row r="656">
      <c r="A656" s="6" t="str">
        <v>037833</v>
      </c>
      <c r="B656" s="6" t="str">
        <v>United States</v>
      </c>
      <c r="C656" s="6" t="str">
        <v>Apple Inc</v>
      </c>
      <c r="D656" s="6" t="str">
        <v>Apple Inc</v>
      </c>
      <c r="F656" s="6" t="str">
        <v>United States</v>
      </c>
      <c r="G656" s="6" t="str">
        <v>Apple Inc</v>
      </c>
      <c r="H656" s="6" t="str">
        <v>Computer and Office Equipment</v>
      </c>
      <c r="I656" s="6" t="str">
        <v>037833</v>
      </c>
      <c r="J656" s="6" t="str">
        <v>Apple Inc</v>
      </c>
      <c r="K656" s="6" t="str">
        <v>Apple Inc</v>
      </c>
      <c r="L656" s="7">
        <f>=DATE(2012,8,31)</f>
        <v>41151.99949074074</v>
      </c>
      <c r="M656" s="7">
        <f>=DATE(2013,4,1)</f>
        <v>41364.99949074074</v>
      </c>
      <c r="N656" s="8">
        <v>2000</v>
      </c>
      <c r="O656" s="8">
        <v>2000</v>
      </c>
      <c r="P656" s="8" t="str">
        <v>432,109.59</v>
      </c>
      <c r="R656" s="8">
        <v>40133</v>
      </c>
      <c r="S656" s="8">
        <v>148812</v>
      </c>
      <c r="T656" s="8">
        <v>755</v>
      </c>
      <c r="U656" s="8">
        <v>-57050</v>
      </c>
      <c r="V656" s="8">
        <v>53739</v>
      </c>
      <c r="W656" s="6" t="str">
        <v>Mainframes &amp; Super Computers;Monitors/Terminals;Micro-Computers (PCs);Disk Drives;Portable Computers;Other Software (inq. Games);Other Peripherals;Printers</v>
      </c>
      <c r="X656" s="6" t="str">
        <v>Monitors/Terminals;Disk Drives;Printers;Mainframes &amp; Super Computers;Portable Computers;Other Software (inq. Games);Other Peripherals;Micro-Computers (PCs)</v>
      </c>
      <c r="Y656" s="6" t="str">
        <v>Disk Drives;Monitors/Terminals;Other Peripherals;Mainframes &amp; Super Computers;Micro-Computers (PCs);Portable Computers;Printers;Other Software (inq. Games)</v>
      </c>
      <c r="Z656" s="6" t="str">
        <v>Other Software (inq. Games);Disk Drives;Other Peripherals;Monitors/Terminals;Portable Computers;Micro-Computers (PCs);Printers;Mainframes &amp; Super Computers</v>
      </c>
      <c r="AA656" s="6" t="str">
        <v>Micro-Computers (PCs);Printers;Portable Computers;Disk Drives;Other Software (inq. Games);Mainframes &amp; Super Computers;Monitors/Terminals;Other Peripherals</v>
      </c>
      <c r="AB656" s="6" t="str">
        <v>Other Peripherals;Printers;Micro-Computers (PCs);Disk Drives;Other Software (inq. Games);Monitors/Terminals;Portable Computers;Mainframes &amp; Super Computers</v>
      </c>
      <c r="AC656" s="8">
        <v>2000</v>
      </c>
      <c r="AD656" s="7">
        <f>=DATE(2012,8,31)</f>
        <v>41151.99949074074</v>
      </c>
      <c r="AF656" s="8" t="str">
        <v>432,109.59</v>
      </c>
      <c r="AG656" s="8" t="str">
        <v>432,109.59</v>
      </c>
      <c r="AH656" s="6" t="str">
        <v>True</v>
      </c>
      <c r="AI656" s="6" t="str">
        <v>2013</v>
      </c>
      <c r="AJ656" s="6" t="str">
        <v>Completed</v>
      </c>
      <c r="AL656" s="8">
        <v>4.077774</v>
      </c>
      <c r="AM656" s="6" t="str">
        <v>Repurchase;Open Market Purchase</v>
      </c>
      <c r="AN656" s="8">
        <v>5461</v>
      </c>
      <c r="AO656" s="6" t="str">
        <v>US - On August 2012, the board of Apple Inc, a Cupertino-based manufacturer and wholesaler of mobile communication and media devices, completed the repurchase of USD 2 bil of the company's entire share capital, in an accelerated buyback transaction.</v>
      </c>
    </row>
    <row r="657">
      <c r="A657" s="6" t="str">
        <v>38259P</v>
      </c>
      <c r="B657" s="6" t="str">
        <v>United States</v>
      </c>
      <c r="C657" s="6" t="str">
        <v>Google Inc</v>
      </c>
      <c r="D657" s="6" t="str">
        <v>Alphabet Inc</v>
      </c>
      <c r="F657" s="6" t="str">
        <v>Spain</v>
      </c>
      <c r="G657" s="6" t="str">
        <v>VirusTotal.com</v>
      </c>
      <c r="H657" s="6" t="str">
        <v>Business Services</v>
      </c>
      <c r="I657" s="6" t="str">
        <v>93672E</v>
      </c>
      <c r="J657" s="6" t="str">
        <v>VirusTotal.com</v>
      </c>
      <c r="K657" s="6" t="str">
        <v>VirusTotal.com</v>
      </c>
      <c r="L657" s="7">
        <f>=DATE(2012,9,7)</f>
        <v>41158.99949074074</v>
      </c>
      <c r="M657" s="7">
        <f>=DATE(2012,9,7)</f>
        <v>41158.99949074074</v>
      </c>
      <c r="W657" s="6" t="str">
        <v>Programming Services;Internet Services &amp; Software</v>
      </c>
      <c r="X657" s="6" t="str">
        <v>Networking Systems (LAN,WAN);Internet Services &amp; Software</v>
      </c>
      <c r="Y657" s="6" t="str">
        <v>Networking Systems (LAN,WAN);Internet Services &amp; Software</v>
      </c>
      <c r="Z657" s="6" t="str">
        <v>Networking Systems (LAN,WAN);Internet Services &amp; Software</v>
      </c>
      <c r="AA657" s="6" t="str">
        <v>Computer Consulting Services;Primary Business not Hi-Tech;Internet Services &amp; Software;Programming Services;Telecommunications Equipment</v>
      </c>
      <c r="AB657" s="6" t="str">
        <v>Primary Business not Hi-Tech;Internet Services &amp; Software;Computer Consulting Services;Telecommunications Equipment;Programming Services</v>
      </c>
      <c r="AH657" s="6" t="str">
        <v>False</v>
      </c>
      <c r="AI657" s="6" t="str">
        <v>2012</v>
      </c>
      <c r="AJ657" s="6" t="str">
        <v>Completed</v>
      </c>
      <c r="AM657" s="6" t="str">
        <v>Not Applicable</v>
      </c>
      <c r="AO657" s="6" t="str">
        <v>SPAIN - Google Inc of US acquired VirusTotal.com, a Malaga-based provider of online virus scanning services. Terms were not disclosed.</v>
      </c>
    </row>
    <row r="658">
      <c r="A658" s="6" t="str">
        <v>38259P</v>
      </c>
      <c r="B658" s="6" t="str">
        <v>United States</v>
      </c>
      <c r="C658" s="6" t="str">
        <v>Google Inc</v>
      </c>
      <c r="D658" s="6" t="str">
        <v>Alphabet Inc</v>
      </c>
      <c r="F658" s="6" t="str">
        <v>Germany</v>
      </c>
      <c r="G658" s="6" t="str">
        <v>Nik Software GmbH</v>
      </c>
      <c r="H658" s="6" t="str">
        <v>Prepackaged Software</v>
      </c>
      <c r="I658" s="6" t="str">
        <v>65206Q</v>
      </c>
      <c r="J658" s="6" t="str">
        <v>Nik Software GmbH</v>
      </c>
      <c r="K658" s="6" t="str">
        <v>Nik Software GmbH</v>
      </c>
      <c r="L658" s="7">
        <f>=DATE(2012,9,17)</f>
        <v>41168.99949074074</v>
      </c>
      <c r="M658" s="7">
        <f>=DATE(2012,9,17)</f>
        <v>41168.99949074074</v>
      </c>
      <c r="W658" s="6" t="str">
        <v>Programming Services;Internet Services &amp; Software</v>
      </c>
      <c r="X658" s="6" t="str">
        <v>Communication/Network Software;Internet Services &amp; Software</v>
      </c>
      <c r="Y658" s="6" t="str">
        <v>Internet Services &amp; Software;Communication/Network Software</v>
      </c>
      <c r="Z658" s="6" t="str">
        <v>Communication/Network Software;Internet Services &amp; Software</v>
      </c>
      <c r="AA658" s="6" t="str">
        <v>Programming Services;Internet Services &amp; Software;Primary Business not Hi-Tech;Computer Consulting Services;Telecommunications Equipment</v>
      </c>
      <c r="AB658" s="6" t="str">
        <v>Telecommunications Equipment;Internet Services &amp; Software;Computer Consulting Services;Programming Services;Primary Business not Hi-Tech</v>
      </c>
      <c r="AH658" s="6" t="str">
        <v>False</v>
      </c>
      <c r="AI658" s="6" t="str">
        <v>2012</v>
      </c>
      <c r="AJ658" s="6" t="str">
        <v>Completed</v>
      </c>
      <c r="AM658" s="6" t="str">
        <v>Not Applicable</v>
      </c>
      <c r="AO658" s="6" t="str">
        <v>GERMANY - Google Inc of the US acquired Nik Software GmbH, a Hamburg-based developer of photo editing software. Terms were not disclosed.</v>
      </c>
    </row>
    <row r="659">
      <c r="A659" s="6" t="str">
        <v>67020Y</v>
      </c>
      <c r="B659" s="6" t="str">
        <v>United States</v>
      </c>
      <c r="C659" s="6" t="str">
        <v>Nuance Communications Inc</v>
      </c>
      <c r="D659" s="6" t="str">
        <v>Nuance Communications Inc</v>
      </c>
      <c r="F659" s="6" t="str">
        <v>United States</v>
      </c>
      <c r="G659" s="6" t="str">
        <v>Ditech Networks Inc</v>
      </c>
      <c r="H659" s="6" t="str">
        <v>Communications Equipment</v>
      </c>
      <c r="I659" s="6" t="str">
        <v>25500T</v>
      </c>
      <c r="J659" s="6" t="str">
        <v>Ditech Networks Inc</v>
      </c>
      <c r="K659" s="6" t="str">
        <v>Ditech Networks Inc</v>
      </c>
      <c r="L659" s="7">
        <f>=DATE(2012,9,18)</f>
        <v>41169.99949074074</v>
      </c>
      <c r="M659" s="7">
        <f>=DATE(2012,12,4)</f>
        <v>41246.99949074074</v>
      </c>
      <c r="N659" s="8">
        <v>38.998</v>
      </c>
      <c r="O659" s="8">
        <v>38.998</v>
      </c>
      <c r="P659" s="8" t="str">
        <v>18.14</v>
      </c>
      <c r="R659" s="8">
        <v>-10.94</v>
      </c>
      <c r="S659" s="8">
        <v>16.52</v>
      </c>
      <c r="T659" s="8">
        <v>0.123</v>
      </c>
      <c r="U659" s="8">
        <v>0.256</v>
      </c>
      <c r="V659" s="8">
        <v>-4.275</v>
      </c>
      <c r="W659" s="6" t="str">
        <v>Internet Services &amp; Software;Applications Software(Business;Desktop Publishing;Utilities/File Mgmt Software;Applications Software(Home);Primary Business not Hi-Tech;Computer Consulting Services;Networking Systems (LAN,WAN);Other Software (inq. Games);Communication/Network Software;Database Software/Programming;Programming Services;Other Computer Related Svcs</v>
      </c>
      <c r="X659" s="6" t="str">
        <v>Modems;Telephone Interconnect Equip;Other Telecommunications Equip;Facsimile Equipment;Communication/Network Software</v>
      </c>
      <c r="Y659" s="6" t="str">
        <v>Facsimile Equipment;Other Telecommunications Equip;Communication/Network Software;Modems;Telephone Interconnect Equip</v>
      </c>
      <c r="Z659" s="6" t="str">
        <v>Communication/Network Software;Facsimile Equipment;Telephone Interconnect Equip;Modems;Other Telecommunications Equip</v>
      </c>
      <c r="AA659" s="6" t="str">
        <v>Networking Systems (LAN,WAN);Other Software (inq. Games);Database Software/Programming;Applications Software(Business;Desktop Publishing;Communication/Network Software;Internet Services &amp; Software;Other Computer Related Svcs;Primary Business not Hi-Tech;Applications Software(Home);Programming Services;Computer Consulting Services;Utilities/File Mgmt Software</v>
      </c>
      <c r="AB659" s="6" t="str">
        <v>Database Software/Programming;Internet Services &amp; Software;Other Computer Related Svcs;Desktop Publishing;Utilities/File Mgmt Software;Communication/Network Software;Computer Consulting Services;Other Software (inq. Games);Networking Systems (LAN,WAN);Applications Software(Home);Primary Business not Hi-Tech;Applications Software(Business;Programming Services</v>
      </c>
      <c r="AC659" s="8">
        <v>38.998</v>
      </c>
      <c r="AD659" s="7">
        <f>=DATE(2012,9,18)</f>
        <v>41169.99949074074</v>
      </c>
      <c r="AE659" s="8">
        <v>38.99769635</v>
      </c>
      <c r="AF659" s="8" t="str">
        <v>18.14</v>
      </c>
      <c r="AG659" s="8" t="str">
        <v>18.14</v>
      </c>
      <c r="AH659" s="6" t="str">
        <v>True</v>
      </c>
      <c r="AI659" s="6" t="str">
        <v>2012</v>
      </c>
      <c r="AJ659" s="6" t="str">
        <v>Completed</v>
      </c>
      <c r="AK659" s="8">
        <v>38.99769635</v>
      </c>
      <c r="AL659" s="8">
        <v>26.894963</v>
      </c>
      <c r="AM659" s="6" t="str">
        <v>Financial Acquiror</v>
      </c>
      <c r="AO659" s="6" t="str">
        <v>US - Nuance Communications Inc acquired Ditech Networks Inc, a San Jose-based manufacturer and wholesaler of telecommunications equipment, for USD 1.45 in cash per share, or a total value of USD 38.998 mil in cash.</v>
      </c>
    </row>
    <row r="660">
      <c r="A660" s="6" t="str">
        <v>67020Y</v>
      </c>
      <c r="B660" s="6" t="str">
        <v>United States</v>
      </c>
      <c r="C660" s="6" t="str">
        <v>Nuance Communications Inc</v>
      </c>
      <c r="D660" s="6" t="str">
        <v>Nuance Communications Inc</v>
      </c>
      <c r="F660" s="6" t="str">
        <v>United States</v>
      </c>
      <c r="G660" s="6" t="str">
        <v>QuadraMed Corp-Quantim</v>
      </c>
      <c r="H660" s="6" t="str">
        <v>Business Services</v>
      </c>
      <c r="I660" s="6" t="str">
        <v>77008V</v>
      </c>
      <c r="J660" s="6" t="str">
        <v>Francisco Partners Management LP</v>
      </c>
      <c r="K660" s="6" t="str">
        <v>QuadraMed Corp</v>
      </c>
      <c r="L660" s="7">
        <f>=DATE(2012,9,27)</f>
        <v>41178.99949074074</v>
      </c>
      <c r="W660" s="6" t="str">
        <v>Programming Services;Applications Software(Home);Applications Software(Business;Utilities/File Mgmt Software;Networking Systems (LAN,WAN);Internet Services &amp; Software;Desktop Publishing;Database Software/Programming;Other Software (inq. Games);Communication/Network Software;Primary Business not Hi-Tech;Computer Consulting Services;Other Computer Related Svcs</v>
      </c>
      <c r="X660" s="6" t="str">
        <v>Programming Services;Database Software/Programming;Other Computer Related Svcs</v>
      </c>
      <c r="Y660" s="6" t="str">
        <v>Database Software/Programming;Programming Services;Other Computer Related Svcs</v>
      </c>
      <c r="Z660" s="6" t="str">
        <v>Primary Business not Hi-Tech</v>
      </c>
      <c r="AA660" s="6" t="str">
        <v>Primary Business not Hi-Tech;Programming Services;Networking Systems (LAN,WAN);Communication/Network Software;Other Software (inq. Games);Computer Consulting Services;Other Computer Related Svcs;Applications Software(Business;Internet Services &amp; Software;Desktop Publishing;Utilities/File Mgmt Software;Database Software/Programming;Applications Software(Home)</v>
      </c>
      <c r="AB660" s="6" t="str">
        <v>Utilities/File Mgmt Software;Communication/Network Software;Networking Systems (LAN,WAN);Desktop Publishing;Applications Software(Home);Programming Services;Other Computer Related Svcs;Database Software/Programming;Primary Business not Hi-Tech;Internet Services &amp; Software;Computer Consulting Services;Applications Software(Business;Other Software (inq. Games)</v>
      </c>
      <c r="AH660" s="6" t="str">
        <v>False</v>
      </c>
      <c r="AJ660" s="6" t="str">
        <v>Pending</v>
      </c>
      <c r="AM660" s="6" t="str">
        <v>Divestiture;Financial Acquiror</v>
      </c>
      <c r="AO660" s="6" t="str">
        <v>US - Nuance Communications Inc definitively agreed to acquire Quantim from QuadraMed Corp, a Reston-based provider of healthcare information technology services, and a unit of Francisco Partners Management LLC.</v>
      </c>
    </row>
    <row r="661">
      <c r="A661" s="6" t="str">
        <v>67020Y</v>
      </c>
      <c r="B661" s="6" t="str">
        <v>United States</v>
      </c>
      <c r="C661" s="6" t="str">
        <v>Nuance Communications Inc</v>
      </c>
      <c r="D661" s="6" t="str">
        <v>Nuance Communications Inc</v>
      </c>
      <c r="F661" s="6" t="str">
        <v>United States</v>
      </c>
      <c r="G661" s="6" t="str">
        <v>JA Thomas &amp; Associates Inc</v>
      </c>
      <c r="H661" s="6" t="str">
        <v>Business Services</v>
      </c>
      <c r="I661" s="6" t="str">
        <v>49111M</v>
      </c>
      <c r="J661" s="6" t="str">
        <v>JA Thomas &amp; Associates Inc</v>
      </c>
      <c r="K661" s="6" t="str">
        <v>JA Thomas &amp; Associates Inc</v>
      </c>
      <c r="L661" s="7">
        <f>=DATE(2012,10,1)</f>
        <v>41182.99949074074</v>
      </c>
      <c r="M661" s="7">
        <f>=DATE(2012,10,1)</f>
        <v>41182.99949074074</v>
      </c>
      <c r="N661" s="8">
        <v>265</v>
      </c>
      <c r="O661" s="8">
        <v>265</v>
      </c>
      <c r="W661" s="6" t="str">
        <v>Communication/Network Software;Applications Software(Home);Primary Business not Hi-Tech;Networking Systems (LAN,WAN);Internet Services &amp; Software;Programming Services;Utilities/File Mgmt Software;Database Software/Programming;Applications Software(Business;Desktop Publishing;Computer Consulting Services;Other Computer Related Svcs;Other Software (inq. Games)</v>
      </c>
      <c r="X661" s="6" t="str">
        <v>Data Processing Services</v>
      </c>
      <c r="Y661" s="6" t="str">
        <v>Data Processing Services</v>
      </c>
      <c r="Z661" s="6" t="str">
        <v>Data Processing Services</v>
      </c>
      <c r="AA661" s="6" t="str">
        <v>Desktop Publishing;Other Software (inq. Games);Database Software/Programming;Networking Systems (LAN,WAN);Communication/Network Software;Programming Services;Utilities/File Mgmt Software;Other Computer Related Svcs;Applications Software(Home);Computer Consulting Services;Applications Software(Business;Primary Business not Hi-Tech;Internet Services &amp; Software</v>
      </c>
      <c r="AB661" s="6" t="str">
        <v>Utilities/File Mgmt Software;Programming Services;Networking Systems (LAN,WAN);Applications Software(Business;Database Software/Programming;Applications Software(Home);Desktop Publishing;Other Software (inq. Games);Communication/Network Software;Computer Consulting Services;Primary Business not Hi-Tech;Other Computer Related Svcs;Internet Services &amp; Software</v>
      </c>
      <c r="AC661" s="8">
        <v>265</v>
      </c>
      <c r="AD661" s="7">
        <f>=DATE(2012,10,5)</f>
        <v>41186.99949074074</v>
      </c>
      <c r="AH661" s="6" t="str">
        <v>False</v>
      </c>
      <c r="AI661" s="6" t="str">
        <v>2012</v>
      </c>
      <c r="AJ661" s="6" t="str">
        <v>Completed</v>
      </c>
      <c r="AM661" s="6" t="str">
        <v>Financial Acquiror</v>
      </c>
      <c r="AO661" s="6" t="str">
        <v>US - Nuance Communications Inc acquired JA Thomas &amp; Associates Inc, an Atlanta-based provider of clinical data processing services, for USD 265 mil in cash.</v>
      </c>
    </row>
    <row r="662">
      <c r="A662" s="6" t="str">
        <v>594918</v>
      </c>
      <c r="B662" s="6" t="str">
        <v>United States</v>
      </c>
      <c r="C662" s="6" t="str">
        <v>Microsoft Corp</v>
      </c>
      <c r="D662" s="6" t="str">
        <v>Microsoft Corp</v>
      </c>
      <c r="F662" s="6" t="str">
        <v>United States</v>
      </c>
      <c r="G662" s="6" t="str">
        <v>PhoneFactor Inc</v>
      </c>
      <c r="H662" s="6" t="str">
        <v>Telecommunications</v>
      </c>
      <c r="I662" s="6" t="str">
        <v>71874W</v>
      </c>
      <c r="J662" s="6" t="str">
        <v>PhoneFactor Inc</v>
      </c>
      <c r="K662" s="6" t="str">
        <v>PhoneFactor Inc</v>
      </c>
      <c r="L662" s="7">
        <f>=DATE(2012,10,4)</f>
        <v>41185.99949074074</v>
      </c>
      <c r="M662" s="7">
        <f>=DATE(2012,10,4)</f>
        <v>41185.99949074074</v>
      </c>
      <c r="W662" s="6" t="str">
        <v>Applications Software(Business;Operating Systems;Monitors/Terminals;Computer Consulting Services;Other Peripherals;Internet Services &amp; Software</v>
      </c>
      <c r="X662" s="6" t="str">
        <v>Internet Services &amp; Software</v>
      </c>
      <c r="Y662" s="6" t="str">
        <v>Internet Services &amp; Software</v>
      </c>
      <c r="Z662" s="6" t="str">
        <v>Internet Services &amp; Software</v>
      </c>
      <c r="AA662" s="6" t="str">
        <v>Internet Services &amp; Software;Applications Software(Business;Other Peripherals;Operating Systems;Computer Consulting Services;Monitors/Terminals</v>
      </c>
      <c r="AB662" s="6" t="str">
        <v>Operating Systems;Applications Software(Business;Internet Services &amp; Software;Monitors/Terminals;Computer Consulting Services;Other Peripherals</v>
      </c>
      <c r="AH662" s="6" t="str">
        <v>False</v>
      </c>
      <c r="AI662" s="6" t="str">
        <v>2012</v>
      </c>
      <c r="AJ662" s="6" t="str">
        <v>Completed</v>
      </c>
      <c r="AM662" s="6" t="str">
        <v>Not Applicable</v>
      </c>
      <c r="AO662" s="6" t="str">
        <v>US - Microsoft Corp acquired PhoneFactor Inc, an Overland Park-based provider of phone authentication services. Terms were not disclosed.</v>
      </c>
    </row>
    <row r="663">
      <c r="A663" s="6" t="str">
        <v>620097</v>
      </c>
      <c r="B663" s="6" t="str">
        <v>United States</v>
      </c>
      <c r="C663" s="6" t="str">
        <v>Motorola Mobility Holdings Inc</v>
      </c>
      <c r="D663" s="6" t="str">
        <v>Alphabet Inc</v>
      </c>
      <c r="F663" s="6" t="str">
        <v>United States</v>
      </c>
      <c r="G663" s="6" t="str">
        <v>Viewdle Inc</v>
      </c>
      <c r="H663" s="6" t="str">
        <v>Prepackaged Software</v>
      </c>
      <c r="I663" s="6" t="str">
        <v>92730M</v>
      </c>
      <c r="J663" s="6" t="str">
        <v>Viewdle Inc</v>
      </c>
      <c r="K663" s="6" t="str">
        <v>Viewdle Inc</v>
      </c>
      <c r="L663" s="7">
        <f>=DATE(2012,10,4)</f>
        <v>41185.99949074074</v>
      </c>
      <c r="M663" s="7">
        <f>=DATE(2012,10,4)</f>
        <v>41185.99949074074</v>
      </c>
      <c r="W663" s="6" t="str">
        <v>Other Telecommunications Equip;Cellular Communications;Other Electronics</v>
      </c>
      <c r="X663" s="6" t="str">
        <v>Applications Software(Business;Other Software (inq. Games)</v>
      </c>
      <c r="Y663" s="6" t="str">
        <v>Other Software (inq. Games);Applications Software(Business</v>
      </c>
      <c r="Z663" s="6" t="str">
        <v>Applications Software(Business;Other Software (inq. Games)</v>
      </c>
      <c r="AA663" s="6" t="str">
        <v>Internet Services &amp; Software;Programming Services</v>
      </c>
      <c r="AB663" s="6" t="str">
        <v>Telecommunications Equipment;Computer Consulting Services;Programming Services;Primary Business not Hi-Tech;Internet Services &amp; Software</v>
      </c>
      <c r="AH663" s="6" t="str">
        <v>False</v>
      </c>
      <c r="AI663" s="6" t="str">
        <v>2012</v>
      </c>
      <c r="AJ663" s="6" t="str">
        <v>Completed</v>
      </c>
      <c r="AM663" s="6" t="str">
        <v>Rumored Deal</v>
      </c>
      <c r="AO663" s="6" t="str">
        <v>US - Motorola Mobility Holdings Inc, a unit of Google Inc (Google), acquired Viewdle Inc (Viewdle), a New York-based facial-recognition-based digital software. Terms were not disclosed. Originally, Google was rumored to be planning to acquire Viewdle.</v>
      </c>
    </row>
    <row r="664">
      <c r="A664" s="6" t="str">
        <v>023135</v>
      </c>
      <c r="B664" s="6" t="str">
        <v>United States</v>
      </c>
      <c r="C664" s="6" t="str">
        <v>Amazon.com Inc</v>
      </c>
      <c r="D664" s="6" t="str">
        <v>Amazon.com Inc</v>
      </c>
      <c r="F664" s="6" t="str">
        <v>United States</v>
      </c>
      <c r="G664" s="6" t="str">
        <v>Texas Instruments Inc-Mobile Chip Business</v>
      </c>
      <c r="H664" s="6" t="str">
        <v>Electronic and Electrical Equipment</v>
      </c>
      <c r="I664" s="6" t="str">
        <v>85694Z</v>
      </c>
      <c r="J664" s="6" t="str">
        <v>Texas Instruments Inc</v>
      </c>
      <c r="K664" s="6" t="str">
        <v>Texas Instruments Inc</v>
      </c>
      <c r="L664" s="7">
        <f>=DATE(2012,10,15)</f>
        <v>41196.99949074074</v>
      </c>
      <c r="W664" s="6" t="str">
        <v>Primary Business not Hi-Tech</v>
      </c>
      <c r="X664" s="6" t="str">
        <v>Other Electronics;Semiconductors;Portable Computers;Micro-Computers (PCs);Superconductors</v>
      </c>
      <c r="Y664" s="6" t="str">
        <v>Superconductors;Other Electronics;Other Telecommunications Equip;Process Control Systems;Precision/Measuring Test Equip;Messaging Systems;Data Commun(Exclude networking;Semiconductors;Microwave Communications;Other Peripherals;Search, Detection, Navigation;Printed Circuit Boards</v>
      </c>
      <c r="Z664" s="6" t="str">
        <v>Other Peripherals;Precision/Measuring Test Equip;Printed Circuit Boards;Messaging Systems;Semiconductors;Microwave Communications;Other Electronics;Other Telecommunications Equip;Superconductors;Search, Detection, Navigation;Process Control Systems;Data Commun(Exclude networking</v>
      </c>
      <c r="AA664" s="6" t="str">
        <v>Primary Business not Hi-Tech</v>
      </c>
      <c r="AB664" s="6" t="str">
        <v>Primary Business not Hi-Tech</v>
      </c>
      <c r="AH664" s="6" t="str">
        <v>True</v>
      </c>
      <c r="AJ664" s="6" t="str">
        <v>Dismissed Rumor</v>
      </c>
      <c r="AM664" s="6" t="str">
        <v>Rumored Deal;Divestiture</v>
      </c>
      <c r="AO664" s="6" t="str">
        <v>US - Amazon.com Inc was rumored to be planning to acquire the mobile chip business of Texas Instruments Inc, a Dallas-based manufacturer and wholesaler of integrated circuits. The Current status of this deal is unknown.</v>
      </c>
    </row>
    <row r="665">
      <c r="A665" s="6" t="str">
        <v>594918</v>
      </c>
      <c r="B665" s="6" t="str">
        <v>United States</v>
      </c>
      <c r="C665" s="6" t="str">
        <v>Microsoft Corp</v>
      </c>
      <c r="D665" s="6" t="str">
        <v>Microsoft Corp</v>
      </c>
      <c r="F665" s="6" t="str">
        <v>United States</v>
      </c>
      <c r="G665" s="6" t="str">
        <v>StorSimple Inc</v>
      </c>
      <c r="H665" s="6" t="str">
        <v>Computer and Office Equipment</v>
      </c>
      <c r="I665" s="6" t="str">
        <v>93709E</v>
      </c>
      <c r="J665" s="6" t="str">
        <v>StorSimple Inc</v>
      </c>
      <c r="K665" s="6" t="str">
        <v>StorSimple Inc</v>
      </c>
      <c r="L665" s="7">
        <f>=DATE(2012,10,16)</f>
        <v>41197.99949074074</v>
      </c>
      <c r="M665" s="7">
        <f>=DATE(2012,11,16)</f>
        <v>41228.99949074074</v>
      </c>
      <c r="W665" s="6" t="str">
        <v>Other Peripherals;Monitors/Terminals;Operating Systems;Internet Services &amp; Software;Computer Consulting Services;Applications Software(Business</v>
      </c>
      <c r="X665" s="6" t="str">
        <v>Other Peripherals</v>
      </c>
      <c r="Y665" s="6" t="str">
        <v>Other Peripherals</v>
      </c>
      <c r="Z665" s="6" t="str">
        <v>Other Peripherals</v>
      </c>
      <c r="AA665" s="6" t="str">
        <v>Operating Systems;Computer Consulting Services;Monitors/Terminals;Applications Software(Business;Internet Services &amp; Software;Other Peripherals</v>
      </c>
      <c r="AB665" s="6" t="str">
        <v>Other Peripherals;Monitors/Terminals;Internet Services &amp; Software;Computer Consulting Services;Operating Systems;Applications Software(Business</v>
      </c>
      <c r="AH665" s="6" t="str">
        <v>False</v>
      </c>
      <c r="AI665" s="6" t="str">
        <v>2012</v>
      </c>
      <c r="AJ665" s="6" t="str">
        <v>Completed</v>
      </c>
      <c r="AM665" s="6" t="str">
        <v>Not Applicable</v>
      </c>
      <c r="AO665" s="6" t="str">
        <v>US - Microsoft Corp acquired StorSimple Inc, a Santa Clara-based manufacturer of enterprise storage products. Terms were not disclosed.</v>
      </c>
    </row>
    <row r="666">
      <c r="A666" s="6" t="str">
        <v>594918</v>
      </c>
      <c r="B666" s="6" t="str">
        <v>United States</v>
      </c>
      <c r="C666" s="6" t="str">
        <v>Microsoft Corp</v>
      </c>
      <c r="D666" s="6" t="str">
        <v>Microsoft Corp</v>
      </c>
      <c r="F666" s="6" t="str">
        <v>United States</v>
      </c>
      <c r="G666" s="6" t="str">
        <v>MarketingPilot Software LLC</v>
      </c>
      <c r="H666" s="6" t="str">
        <v>Prepackaged Software</v>
      </c>
      <c r="I666" s="6" t="str">
        <v>57100K</v>
      </c>
      <c r="J666" s="6" t="str">
        <v>MarketingPilot Software LLC</v>
      </c>
      <c r="K666" s="6" t="str">
        <v>MarketingPilot Software LLC</v>
      </c>
      <c r="L666" s="7">
        <f>=DATE(2012,10,17)</f>
        <v>41198.99949074074</v>
      </c>
      <c r="M666" s="7">
        <f>=DATE(2012,10,17)</f>
        <v>41198.99949074074</v>
      </c>
      <c r="W666" s="6" t="str">
        <v>Other Peripherals;Operating Systems;Internet Services &amp; Software;Monitors/Terminals;Applications Software(Business;Computer Consulting Services</v>
      </c>
      <c r="X666" s="6" t="str">
        <v>Other Software (inq. Games)</v>
      </c>
      <c r="Y666" s="6" t="str">
        <v>Other Software (inq. Games)</v>
      </c>
      <c r="Z666" s="6" t="str">
        <v>Other Software (inq. Games)</v>
      </c>
      <c r="AA666" s="6" t="str">
        <v>Monitors/Terminals;Internet Services &amp; Software;Other Peripherals;Applications Software(Business;Computer Consulting Services;Operating Systems</v>
      </c>
      <c r="AB666" s="6" t="str">
        <v>Other Peripherals;Applications Software(Business;Monitors/Terminals;Internet Services &amp; Software;Computer Consulting Services;Operating Systems</v>
      </c>
      <c r="AH666" s="6" t="str">
        <v>False</v>
      </c>
      <c r="AI666" s="6" t="str">
        <v>2012</v>
      </c>
      <c r="AJ666" s="6" t="str">
        <v>Completed</v>
      </c>
      <c r="AM666" s="6" t="str">
        <v>Not Applicable</v>
      </c>
      <c r="AO666" s="6" t="str">
        <v>US - Microsoft Corp acquired MarketingPilot Software LLC, an Evanston-based developer of marketing software. Terms were not disclosed.</v>
      </c>
    </row>
    <row r="667">
      <c r="A667" s="6" t="str">
        <v>037833</v>
      </c>
      <c r="B667" s="6" t="str">
        <v>United States</v>
      </c>
      <c r="C667" s="6" t="str">
        <v>Apple Inc</v>
      </c>
      <c r="D667" s="6" t="str">
        <v>Apple Inc</v>
      </c>
      <c r="F667" s="6" t="str">
        <v>United States</v>
      </c>
      <c r="G667" s="6" t="str">
        <v>Particle LLC</v>
      </c>
      <c r="H667" s="6" t="str">
        <v>Business Services</v>
      </c>
      <c r="I667" s="6" t="str">
        <v>70239Q</v>
      </c>
      <c r="J667" s="6" t="str">
        <v>Particle LLC</v>
      </c>
      <c r="K667" s="6" t="str">
        <v>Particle LLC</v>
      </c>
      <c r="L667" s="7">
        <f>=DATE(2012,10,17)</f>
        <v>41198.99949074074</v>
      </c>
      <c r="W667" s="6" t="str">
        <v>Printers;Other Software (inq. Games);Portable Computers;Micro-Computers (PCs);Other Peripherals;Monitors/Terminals;Disk Drives;Mainframes &amp; Super Computers</v>
      </c>
      <c r="X667" s="6" t="str">
        <v>Other Computer Related Svcs;Computer Consulting Services;Programming Services</v>
      </c>
      <c r="Y667" s="6" t="str">
        <v>Computer Consulting Services;Other Computer Related Svcs;Programming Services</v>
      </c>
      <c r="Z667" s="6" t="str">
        <v>Other Computer Related Svcs;Computer Consulting Services;Programming Services</v>
      </c>
      <c r="AA667" s="6" t="str">
        <v>Portable Computers;Other Peripherals;Mainframes &amp; Super Computers;Printers;Monitors/Terminals;Other Software (inq. Games);Micro-Computers (PCs);Disk Drives</v>
      </c>
      <c r="AB667" s="6" t="str">
        <v>Printers;Portable Computers;Mainframes &amp; Super Computers;Monitors/Terminals;Other Software (inq. Games);Micro-Computers (PCs);Disk Drives;Other Peripherals</v>
      </c>
      <c r="AH667" s="6" t="str">
        <v>False</v>
      </c>
      <c r="AJ667" s="6" t="str">
        <v>Dismissed Rumor</v>
      </c>
      <c r="AM667" s="6" t="str">
        <v>Rumored Deal</v>
      </c>
      <c r="AO667" s="6" t="str">
        <v>US - Apple Inc was rumored to be acquiring Particle LLC, a San Francisco-based provider of application services. Terms were not disclosed. The Current status of this deal is unknown.</v>
      </c>
    </row>
    <row r="668">
      <c r="A668" s="6" t="str">
        <v>037833</v>
      </c>
      <c r="B668" s="6" t="str">
        <v>United States</v>
      </c>
      <c r="C668" s="6" t="str">
        <v>Apple Inc</v>
      </c>
      <c r="D668" s="6" t="str">
        <v>Apple Inc</v>
      </c>
      <c r="F668" s="6" t="str">
        <v>United States</v>
      </c>
      <c r="G668" s="6" t="str">
        <v>Color Labs Inc</v>
      </c>
      <c r="H668" s="6" t="str">
        <v>Prepackaged Software</v>
      </c>
      <c r="I668" s="6" t="str">
        <v>0A5673</v>
      </c>
      <c r="J668" s="6" t="str">
        <v>Color Labs Inc</v>
      </c>
      <c r="K668" s="6" t="str">
        <v>Color Labs Inc</v>
      </c>
      <c r="L668" s="7">
        <f>=DATE(2012,10,18)</f>
        <v>41199.99949074074</v>
      </c>
      <c r="W668" s="6" t="str">
        <v>Printers;Micro-Computers (PCs);Disk Drives;Other Software (inq. Games);Portable Computers;Monitors/Terminals;Other Peripherals;Mainframes &amp; Super Computers</v>
      </c>
      <c r="X668" s="6" t="str">
        <v>Internet Services &amp; Software;Communication/Network Software</v>
      </c>
      <c r="Y668" s="6" t="str">
        <v>Internet Services &amp; Software;Communication/Network Software</v>
      </c>
      <c r="Z668" s="6" t="str">
        <v>Communication/Network Software;Internet Services &amp; Software</v>
      </c>
      <c r="AA668" s="6" t="str">
        <v>Disk Drives;Mainframes &amp; Super Computers;Micro-Computers (PCs);Other Software (inq. Games);Portable Computers;Other Peripherals;Printers;Monitors/Terminals</v>
      </c>
      <c r="AB668" s="6" t="str">
        <v>Other Software (inq. Games);Portable Computers;Disk Drives;Monitors/Terminals;Mainframes &amp; Super Computers;Printers;Other Peripherals;Micro-Computers (PCs)</v>
      </c>
      <c r="AH668" s="6" t="str">
        <v>False</v>
      </c>
      <c r="AJ668" s="6" t="str">
        <v>Dismissed Rumor</v>
      </c>
      <c r="AM668" s="6" t="str">
        <v>Rumored Deal</v>
      </c>
      <c r="AO668" s="6" t="str">
        <v>US - Apple Inc was rumored to be planning to acquire Color Labs Inc, Palo Alto-based provider of image software services. The Current status of this deal is unknown.</v>
      </c>
    </row>
    <row r="669">
      <c r="A669" s="6" t="str">
        <v>01864J</v>
      </c>
      <c r="B669" s="6" t="str">
        <v>United States</v>
      </c>
      <c r="C669" s="6" t="str">
        <v>Avanade Inc</v>
      </c>
      <c r="D669" s="6" t="str">
        <v>Accenture PLC</v>
      </c>
      <c r="F669" s="6" t="str">
        <v>United States</v>
      </c>
      <c r="G669" s="6" t="str">
        <v>Azaleos Corp</v>
      </c>
      <c r="H669" s="6" t="str">
        <v>Prepackaged Software</v>
      </c>
      <c r="I669" s="6" t="str">
        <v>06261F</v>
      </c>
      <c r="J669" s="6" t="str">
        <v>Azaleos Corp</v>
      </c>
      <c r="K669" s="6" t="str">
        <v>Azaleos Corp</v>
      </c>
      <c r="L669" s="7">
        <f>=DATE(2012,11,13)</f>
        <v>41225.99949074074</v>
      </c>
      <c r="M669" s="7">
        <f>=DATE(2012,12,18)</f>
        <v>41260.99949074074</v>
      </c>
      <c r="W669" s="6" t="str">
        <v>Other Computer Related Svcs;Other Software (inq. Games);Computer Consulting Services</v>
      </c>
      <c r="X669" s="6" t="str">
        <v>Applications Software(Business;Communication/Network Software;Utilities/File Mgmt Software</v>
      </c>
      <c r="Y669" s="6" t="str">
        <v>Communication/Network Software;Applications Software(Business;Utilities/File Mgmt Software</v>
      </c>
      <c r="Z669" s="6" t="str">
        <v>Applications Software(Business;Utilities/File Mgmt Software;Communication/Network Software</v>
      </c>
      <c r="AA669" s="6" t="str">
        <v>Other Computer Related Svcs;Utilities/File Mgmt Software;Data Processing Services;Turnkey Systems;Applications Software(Business;Communication/Network Software;Data Commun(Exclude networking;Operating Systems;Desktop Publishing;Computer Consulting Services;Networking Systems (LAN,WAN);Workstations;CAD/CAM/CAE/Graphics Systems;Primary Business not Hi-Tech;Applications Software(Home);Other Software (inq. Games);Internet Services &amp; Software;Other Computer Systems</v>
      </c>
      <c r="AB669" s="6" t="str">
        <v>Other Software (inq. Games);Internet Services &amp; Software;Applications Software(Home);Computer Consulting Services;Operating Systems;Networking Systems (LAN,WAN);Other Computer Systems;Desktop Publishing;Workstations;Utilities/File Mgmt Software;Other Computer Related Svcs;Data Commun(Exclude networking;Primary Business not Hi-Tech;CAD/CAM/CAE/Graphics Systems;Communication/Network Software;Applications Software(Business;Data Processing Services;Turnkey Systems</v>
      </c>
      <c r="AH669" s="6" t="str">
        <v>False</v>
      </c>
      <c r="AI669" s="6" t="str">
        <v>2012</v>
      </c>
      <c r="AJ669" s="6" t="str">
        <v>Completed</v>
      </c>
      <c r="AM669" s="6" t="str">
        <v>Not Applicable</v>
      </c>
      <c r="AO669" s="6" t="str">
        <v>US - Avanade Inc, a joint venture between Accenture PLC and Microsoft Corp, acquired Azaleos Corp, Seattle-based provider of remotely managed messaging and Active Directory services. Terms were not disclosed.</v>
      </c>
    </row>
    <row r="670">
      <c r="A670" s="6" t="str">
        <v>38259P</v>
      </c>
      <c r="B670" s="6" t="str">
        <v>United States</v>
      </c>
      <c r="C670" s="6" t="str">
        <v>Google Inc</v>
      </c>
      <c r="D670" s="6" t="str">
        <v>Alphabet Inc</v>
      </c>
      <c r="F670" s="6" t="str">
        <v>United States</v>
      </c>
      <c r="G670" s="6" t="str">
        <v>ICOA Inc</v>
      </c>
      <c r="H670" s="6" t="str">
        <v>Telecommunications</v>
      </c>
      <c r="I670" s="6" t="str">
        <v>449292</v>
      </c>
      <c r="J670" s="6" t="str">
        <v>ICOA Inc</v>
      </c>
      <c r="K670" s="6" t="str">
        <v>ICOA Inc</v>
      </c>
      <c r="L670" s="7">
        <f>=DATE(2012,11,26)</f>
        <v>41238.99949074074</v>
      </c>
      <c r="W670" s="6" t="str">
        <v>Programming Services;Internet Services &amp; Software</v>
      </c>
      <c r="X670" s="6" t="str">
        <v>Internet Services &amp; Software;Communication/Network Software</v>
      </c>
      <c r="Y670" s="6" t="str">
        <v>Communication/Network Software;Internet Services &amp; Software</v>
      </c>
      <c r="Z670" s="6" t="str">
        <v>Communication/Network Software;Internet Services &amp; Software</v>
      </c>
      <c r="AA670" s="6" t="str">
        <v>Telecommunications Equipment;Internet Services &amp; Software;Programming Services;Primary Business not Hi-Tech;Computer Consulting Services</v>
      </c>
      <c r="AB670" s="6" t="str">
        <v>Programming Services;Primary Business not Hi-Tech;Telecommunications Equipment;Internet Services &amp; Software;Computer Consulting Services</v>
      </c>
      <c r="AH670" s="6" t="str">
        <v>False</v>
      </c>
      <c r="AJ670" s="6" t="str">
        <v>Dismissed Rumor</v>
      </c>
      <c r="AM670" s="6" t="str">
        <v>Rumored Deal</v>
      </c>
      <c r="AO670" s="6" t="str">
        <v>US - Google Inc has been rumored to be planning to acquire ICOA Inc, a Warwick-based provider of wireless broadband services.</v>
      </c>
    </row>
    <row r="671">
      <c r="A671" s="6" t="str">
        <v>38259P</v>
      </c>
      <c r="B671" s="6" t="str">
        <v>United States</v>
      </c>
      <c r="C671" s="6" t="str">
        <v>Google Inc</v>
      </c>
      <c r="D671" s="6" t="str">
        <v>Alphabet Inc</v>
      </c>
      <c r="F671" s="6" t="str">
        <v>United States</v>
      </c>
      <c r="G671" s="6" t="str">
        <v>Incentive Targeting Inc</v>
      </c>
      <c r="H671" s="6" t="str">
        <v>Business Services</v>
      </c>
      <c r="I671" s="6" t="str">
        <v>0A6175</v>
      </c>
      <c r="J671" s="6" t="str">
        <v>Incentive Targeting Inc</v>
      </c>
      <c r="K671" s="6" t="str">
        <v>Incentive Targeting Inc</v>
      </c>
      <c r="L671" s="7">
        <f>=DATE(2012,11,28)</f>
        <v>41240.99949074074</v>
      </c>
      <c r="M671" s="7">
        <f>=DATE(2012,11,28)</f>
        <v>41240.99949074074</v>
      </c>
      <c r="W671" s="6" t="str">
        <v>Programming Services;Internet Services &amp; Software</v>
      </c>
      <c r="X671" s="6" t="str">
        <v>Internet Services &amp; Software</v>
      </c>
      <c r="Y671" s="6" t="str">
        <v>Internet Services &amp; Software</v>
      </c>
      <c r="Z671" s="6" t="str">
        <v>Internet Services &amp; Software</v>
      </c>
      <c r="AA671" s="6" t="str">
        <v>Internet Services &amp; Software;Telecommunications Equipment;Primary Business not Hi-Tech;Programming Services;Computer Consulting Services</v>
      </c>
      <c r="AB671" s="6" t="str">
        <v>Programming Services;Internet Services &amp; Software;Telecommunications Equipment;Computer Consulting Services;Primary Business not Hi-Tech</v>
      </c>
      <c r="AH671" s="6" t="str">
        <v>False</v>
      </c>
      <c r="AI671" s="6" t="str">
        <v>2012</v>
      </c>
      <c r="AJ671" s="6" t="str">
        <v>Completed</v>
      </c>
      <c r="AM671" s="6" t="str">
        <v>Not Applicable</v>
      </c>
      <c r="AO671" s="6" t="str">
        <v>US - Google Inc acquired Incentive Targeting Inc, a Cambridge-based provider of ecommerce services. Terms were not disclosed.</v>
      </c>
    </row>
    <row r="672">
      <c r="A672" s="6" t="str">
        <v>38259P</v>
      </c>
      <c r="B672" s="6" t="str">
        <v>United States</v>
      </c>
      <c r="C672" s="6" t="str">
        <v>Google Inc</v>
      </c>
      <c r="D672" s="6" t="str">
        <v>Alphabet Inc</v>
      </c>
      <c r="F672" s="6" t="str">
        <v>Canada</v>
      </c>
      <c r="G672" s="6" t="str">
        <v>BufferBox Inc</v>
      </c>
      <c r="H672" s="6" t="str">
        <v>Business Services</v>
      </c>
      <c r="I672" s="6" t="str">
        <v>0A6729</v>
      </c>
      <c r="J672" s="6" t="str">
        <v>BufferBox Inc</v>
      </c>
      <c r="K672" s="6" t="str">
        <v>BufferBox Inc</v>
      </c>
      <c r="L672" s="7">
        <f>=DATE(2012,11,30)</f>
        <v>41242.99949074074</v>
      </c>
      <c r="M672" s="7">
        <f>=DATE(2012,11,30)</f>
        <v>41242.99949074074</v>
      </c>
      <c r="W672" s="6" t="str">
        <v>Internet Services &amp; Software;Programming Services</v>
      </c>
      <c r="X672" s="6" t="str">
        <v>Internet Services &amp; Software</v>
      </c>
      <c r="Y672" s="6" t="str">
        <v>Internet Services &amp; Software</v>
      </c>
      <c r="Z672" s="6" t="str">
        <v>Internet Services &amp; Software</v>
      </c>
      <c r="AA672" s="6" t="str">
        <v>Internet Services &amp; Software;Telecommunications Equipment;Primary Business not Hi-Tech;Computer Consulting Services;Programming Services</v>
      </c>
      <c r="AB672" s="6" t="str">
        <v>Programming Services;Computer Consulting Services;Primary Business not Hi-Tech;Telecommunications Equipment;Internet Services &amp; Software</v>
      </c>
      <c r="AH672" s="6" t="str">
        <v>False</v>
      </c>
      <c r="AI672" s="6" t="str">
        <v>2012</v>
      </c>
      <c r="AJ672" s="6" t="str">
        <v>Completed</v>
      </c>
      <c r="AM672" s="6" t="str">
        <v>Not Applicable</v>
      </c>
      <c r="AO672" s="6" t="str">
        <v>CANADA - Google Inc of the US acquired BufferBox Inc, a Kitchener-based provider of ecommerce services.</v>
      </c>
    </row>
    <row r="673">
      <c r="A673" s="6" t="str">
        <v>30303M</v>
      </c>
      <c r="B673" s="6" t="str">
        <v>United States</v>
      </c>
      <c r="C673" s="6" t="str">
        <v>Facebook Inc</v>
      </c>
      <c r="D673" s="6" t="str">
        <v>Facebook Inc</v>
      </c>
      <c r="F673" s="6" t="str">
        <v>United States</v>
      </c>
      <c r="G673" s="6" t="str">
        <v>WhatsApp Inc</v>
      </c>
      <c r="H673" s="6" t="str">
        <v>Prepackaged Software</v>
      </c>
      <c r="I673" s="6" t="str">
        <v>0A6710</v>
      </c>
      <c r="J673" s="6" t="str">
        <v>WhatsApp Inc</v>
      </c>
      <c r="K673" s="6" t="str">
        <v>WhatsApp Inc</v>
      </c>
      <c r="L673" s="7">
        <f>=DATE(2012,12,3)</f>
        <v>41245.99949074074</v>
      </c>
      <c r="W673" s="6" t="str">
        <v>Internet Services &amp; Software</v>
      </c>
      <c r="X673" s="6" t="str">
        <v>Communication/Network Software;Internet Services &amp; Software</v>
      </c>
      <c r="Y673" s="6" t="str">
        <v>Internet Services &amp; Software;Communication/Network Software</v>
      </c>
      <c r="Z673" s="6" t="str">
        <v>Communication/Network Software;Internet Services &amp; Software</v>
      </c>
      <c r="AA673" s="6" t="str">
        <v>Internet Services &amp; Software</v>
      </c>
      <c r="AB673" s="6" t="str">
        <v>Internet Services &amp; Software</v>
      </c>
      <c r="AH673" s="6" t="str">
        <v>False</v>
      </c>
      <c r="AJ673" s="6" t="str">
        <v>Dismissed Rumor</v>
      </c>
      <c r="AM673" s="6" t="str">
        <v>Rumored Deal;Financial Acquiror</v>
      </c>
      <c r="AO673" s="6" t="str">
        <v>US - Facebook Inc had been rumored to be planning to acquire WhatsApp Inc, a Santa Clara-based developer of mobile messaging application software. Terms were not disclosed.</v>
      </c>
    </row>
    <row r="674">
      <c r="A674" s="6" t="str">
        <v>594918</v>
      </c>
      <c r="B674" s="6" t="str">
        <v>United States</v>
      </c>
      <c r="C674" s="6" t="str">
        <v>Microsoft Corp</v>
      </c>
      <c r="D674" s="6" t="str">
        <v>Microsoft Corp</v>
      </c>
      <c r="F674" s="6" t="str">
        <v>United States</v>
      </c>
      <c r="G674" s="6" t="str">
        <v>id8 Group R2 Studios Inc</v>
      </c>
      <c r="H674" s="6" t="str">
        <v>Business Services</v>
      </c>
      <c r="I674" s="6" t="str">
        <v>1A4325</v>
      </c>
      <c r="J674" s="6" t="str">
        <v>id8 Group R2 Studios Inc</v>
      </c>
      <c r="K674" s="6" t="str">
        <v>id8 Group R2 Studios Inc</v>
      </c>
      <c r="L674" s="7">
        <f>=DATE(2013,1,2)</f>
        <v>41275.99949074074</v>
      </c>
      <c r="M674" s="7">
        <f>=DATE(2013,1,10)</f>
        <v>41283.99949074074</v>
      </c>
      <c r="W674" s="6" t="str">
        <v>Monitors/Terminals;Other Peripherals;Internet Services &amp; Software;Computer Consulting Services;Applications Software(Business;Operating Systems</v>
      </c>
      <c r="X674" s="6" t="str">
        <v>Data Processing Services;Computer Consulting Services;Other Software (inq. Games);Other Computer Related Svcs</v>
      </c>
      <c r="Y674" s="6" t="str">
        <v>Computer Consulting Services;Other Computer Related Svcs;Data Processing Services;Other Software (inq. Games)</v>
      </c>
      <c r="Z674" s="6" t="str">
        <v>Other Computer Related Svcs;Computer Consulting Services;Other Software (inq. Games);Data Processing Services</v>
      </c>
      <c r="AA674" s="6" t="str">
        <v>Applications Software(Business;Monitors/Terminals;Operating Systems;Internet Services &amp; Software;Computer Consulting Services;Other Peripherals</v>
      </c>
      <c r="AB674" s="6" t="str">
        <v>Other Peripherals;Computer Consulting Services;Monitors/Terminals;Operating Systems;Internet Services &amp; Software;Applications Software(Business</v>
      </c>
      <c r="AH674" s="6" t="str">
        <v>False</v>
      </c>
      <c r="AI674" s="6" t="str">
        <v>2013</v>
      </c>
      <c r="AJ674" s="6" t="str">
        <v>Completed</v>
      </c>
      <c r="AM674" s="6" t="str">
        <v>Rumored Deal</v>
      </c>
      <c r="AO674" s="6" t="str">
        <v>US - Microsoft Corp acquired id8 Group R2 Studios Inc, a Silicon Valley-based provider of information technology services. Originally, Microsoft Corp was rumored to be planning to acquire id8 Group R2 Studios Inc.</v>
      </c>
    </row>
    <row r="675">
      <c r="A675" s="6" t="str">
        <v>67020Y</v>
      </c>
      <c r="B675" s="6" t="str">
        <v>United States</v>
      </c>
      <c r="C675" s="6" t="str">
        <v>Nuance Communications Inc</v>
      </c>
      <c r="D675" s="6" t="str">
        <v>Nuance Communications Inc</v>
      </c>
      <c r="F675" s="6" t="str">
        <v>United States</v>
      </c>
      <c r="G675" s="6" t="str">
        <v>VirtuOz Inc</v>
      </c>
      <c r="H675" s="6" t="str">
        <v>Business Services</v>
      </c>
      <c r="I675" s="6" t="str">
        <v>92609K</v>
      </c>
      <c r="J675" s="6" t="str">
        <v>VirtuOz SA</v>
      </c>
      <c r="K675" s="6" t="str">
        <v>VirtuOz SA</v>
      </c>
      <c r="L675" s="7">
        <f>=DATE(2013,1,10)</f>
        <v>41283.99949074074</v>
      </c>
      <c r="M675" s="7">
        <f>=DATE(2013,1,10)</f>
        <v>41283.99949074074</v>
      </c>
      <c r="W675" s="6" t="str">
        <v>Primary Business not Hi-Tech;Networking Systems (LAN,WAN);Other Software (inq. Games);Communication/Network Software;Computer Consulting Services;Desktop Publishing;Programming Services;Utilities/File Mgmt Software;Other Computer Related Svcs;Database Software/Programming;Applications Software(Home);Applications Software(Business;Internet Services &amp; Software</v>
      </c>
      <c r="X675" s="6" t="str">
        <v>Programming Services</v>
      </c>
      <c r="Y675" s="6" t="str">
        <v>Other Software (inq. Games)</v>
      </c>
      <c r="Z675" s="6" t="str">
        <v>Other Software (inq. Games)</v>
      </c>
      <c r="AA675" s="6" t="str">
        <v>Other Software (inq. Games);Programming Services;Other Computer Related Svcs;Primary Business not Hi-Tech;Database Software/Programming;Internet Services &amp; Software;Computer Consulting Services;Utilities/File Mgmt Software;Communication/Network Software;Applications Software(Home);Applications Software(Business;Networking Systems (LAN,WAN);Desktop Publishing</v>
      </c>
      <c r="AB675" s="6" t="str">
        <v>Applications Software(Business;Other Software (inq. Games);Networking Systems (LAN,WAN);Other Computer Related Svcs;Applications Software(Home);Utilities/File Mgmt Software;Primary Business not Hi-Tech;Internet Services &amp; Software;Desktop Publishing;Computer Consulting Services;Communication/Network Software;Database Software/Programming;Programming Services</v>
      </c>
      <c r="AH675" s="6" t="str">
        <v>False</v>
      </c>
      <c r="AI675" s="6" t="str">
        <v>2013</v>
      </c>
      <c r="AJ675" s="6" t="str">
        <v>Completed</v>
      </c>
      <c r="AM675" s="6" t="str">
        <v>Financial Acquiror</v>
      </c>
      <c r="AO675" s="6" t="str">
        <v>US - Nuance Communications Inc acquired VirtuOz Inc, a provider of computer programming services, from VirtuOz SA. Terms were not disclosed.</v>
      </c>
    </row>
    <row r="676">
      <c r="A676" s="6" t="str">
        <v>66923W</v>
      </c>
      <c r="B676" s="6" t="str">
        <v>United States</v>
      </c>
      <c r="C676" s="6" t="str">
        <v>Notable Solutions Inc</v>
      </c>
      <c r="D676" s="6" t="str">
        <v>Notable Solutions Inc</v>
      </c>
      <c r="F676" s="6" t="str">
        <v>United States</v>
      </c>
      <c r="G676" s="6" t="str">
        <v>Barr Systems LLC-Enterprise Output Management Business</v>
      </c>
      <c r="H676" s="6" t="str">
        <v>Business Services</v>
      </c>
      <c r="I676" s="6" t="str">
        <v>1A6828</v>
      </c>
      <c r="J676" s="6" t="str">
        <v>Barr Systems LLC</v>
      </c>
      <c r="K676" s="6" t="str">
        <v>Barr Systems LLC</v>
      </c>
      <c r="L676" s="7">
        <f>=DATE(2013,1,14)</f>
        <v>41287.99949074074</v>
      </c>
      <c r="M676" s="7">
        <f>=DATE(2013,1,14)</f>
        <v>41287.99949074074</v>
      </c>
      <c r="W676" s="6" t="str">
        <v>Data Processing Services;Other Software (inq. Games);Computer Consulting Services;Other Computer Related Svcs;Internet Services &amp; Software;Turnkey Systems</v>
      </c>
      <c r="X676" s="6" t="str">
        <v>Programming Services;Other Computer Related Svcs;Computer Consulting Services</v>
      </c>
      <c r="Y676" s="6" t="str">
        <v>Other Computer Related Svcs;Programming Services;Computer Consulting Services</v>
      </c>
      <c r="Z676" s="6" t="str">
        <v>Programming Services;Other Computer Related Svcs;Computer Consulting Services</v>
      </c>
      <c r="AA676" s="6" t="str">
        <v>Other Software (inq. Games);Internet Services &amp; Software;Data Processing Services;Computer Consulting Services;Turnkey Systems;Other Computer Related Svcs</v>
      </c>
      <c r="AB676" s="6" t="str">
        <v>Internet Services &amp; Software;Other Software (inq. Games);Other Computer Related Svcs;Computer Consulting Services;Turnkey Systems;Data Processing Services</v>
      </c>
      <c r="AH676" s="6" t="str">
        <v>False</v>
      </c>
      <c r="AI676" s="6" t="str">
        <v>2013</v>
      </c>
      <c r="AJ676" s="6" t="str">
        <v>Completed</v>
      </c>
      <c r="AM676" s="6" t="str">
        <v>Divestiture</v>
      </c>
      <c r="AO676" s="6" t="str">
        <v>US - Notable Solutions Inc acquired the Enterprise Output Management (EOM) business of Barr Systems LLC, a Gainesville-based provider of computer integrated systems services.</v>
      </c>
    </row>
    <row r="677">
      <c r="A677" s="6" t="str">
        <v>023135</v>
      </c>
      <c r="B677" s="6" t="str">
        <v>United States</v>
      </c>
      <c r="C677" s="6" t="str">
        <v>Amazon.com Inc</v>
      </c>
      <c r="D677" s="6" t="str">
        <v>Amazon.com Inc</v>
      </c>
      <c r="F677" s="6" t="str">
        <v>Poland</v>
      </c>
      <c r="G677" s="6" t="str">
        <v>Ivona Software Sp zoo</v>
      </c>
      <c r="H677" s="6" t="str">
        <v>Prepackaged Software</v>
      </c>
      <c r="I677" s="6" t="str">
        <v>1A8685</v>
      </c>
      <c r="J677" s="6" t="str">
        <v>Ivona Software Sp zoo</v>
      </c>
      <c r="K677" s="6" t="str">
        <v>Ivona Software Sp zoo</v>
      </c>
      <c r="L677" s="7">
        <f>=DATE(2013,1,24)</f>
        <v>41297.99949074074</v>
      </c>
      <c r="M677" s="7">
        <f>=DATE(2013,1,24)</f>
        <v>41297.99949074074</v>
      </c>
      <c r="W677" s="6" t="str">
        <v>Primary Business not Hi-Tech</v>
      </c>
      <c r="X677" s="6" t="str">
        <v>Applications Software(Business</v>
      </c>
      <c r="Y677" s="6" t="str">
        <v>Applications Software(Business</v>
      </c>
      <c r="Z677" s="6" t="str">
        <v>Applications Software(Business</v>
      </c>
      <c r="AA677" s="6" t="str">
        <v>Primary Business not Hi-Tech</v>
      </c>
      <c r="AB677" s="6" t="str">
        <v>Primary Business not Hi-Tech</v>
      </c>
      <c r="AH677" s="6" t="str">
        <v>False</v>
      </c>
      <c r="AI677" s="6" t="str">
        <v>2013</v>
      </c>
      <c r="AJ677" s="6" t="str">
        <v>Completed</v>
      </c>
      <c r="AM677" s="6" t="str">
        <v>Not Applicable</v>
      </c>
      <c r="AO677" s="6" t="str">
        <v>POLAND -Amazon.com Inc of the US acquired Ivona Software Sp zoo, a Gdynia-based developer of prepackaged software.</v>
      </c>
    </row>
    <row r="678">
      <c r="A678" s="6" t="str">
        <v>38259P</v>
      </c>
      <c r="B678" s="6" t="str">
        <v>United States</v>
      </c>
      <c r="C678" s="6" t="str">
        <v>Google Inc</v>
      </c>
      <c r="D678" s="6" t="str">
        <v>Alphabet Inc</v>
      </c>
      <c r="F678" s="6" t="str">
        <v>United States</v>
      </c>
      <c r="G678" s="6" t="str">
        <v>Channel Intelligence Inc</v>
      </c>
      <c r="H678" s="6" t="str">
        <v>Prepackaged Software</v>
      </c>
      <c r="I678" s="6" t="str">
        <v>15921P</v>
      </c>
      <c r="J678" s="6" t="str">
        <v>Channel Intelligence Inc</v>
      </c>
      <c r="K678" s="6" t="str">
        <v>Channel Intelligence Inc</v>
      </c>
      <c r="L678" s="7">
        <f>=DATE(2013,2,6)</f>
        <v>41310.99949074074</v>
      </c>
      <c r="M678" s="7">
        <f>=DATE(2013,2,20)</f>
        <v>41324.99949074074</v>
      </c>
      <c r="N678" s="8">
        <v>125</v>
      </c>
      <c r="O678" s="8">
        <v>125</v>
      </c>
      <c r="W678" s="6" t="str">
        <v>Programming Services;Internet Services &amp; Software</v>
      </c>
      <c r="X678" s="6" t="str">
        <v>Other Software (inq. Games);Applications Software(Home);Applications Software(Business</v>
      </c>
      <c r="Y678" s="6" t="str">
        <v>Applications Software(Business;Applications Software(Home);Other Software (inq. Games)</v>
      </c>
      <c r="Z678" s="6" t="str">
        <v>Other Software (inq. Games);Applications Software(Business;Applications Software(Home)</v>
      </c>
      <c r="AA678" s="6" t="str">
        <v>Primary Business not Hi-Tech;Computer Consulting Services;Internet Services &amp; Software;Telecommunications Equipment;Programming Services</v>
      </c>
      <c r="AB678" s="6" t="str">
        <v>Internet Services &amp; Software;Computer Consulting Services;Telecommunications Equipment;Primary Business not Hi-Tech;Programming Services</v>
      </c>
      <c r="AC678" s="8">
        <v>125</v>
      </c>
      <c r="AD678" s="7">
        <f>=DATE(2013,2,6)</f>
        <v>41310.99949074074</v>
      </c>
      <c r="AH678" s="6" t="str">
        <v>False</v>
      </c>
      <c r="AI678" s="6" t="str">
        <v>2013</v>
      </c>
      <c r="AJ678" s="6" t="str">
        <v>Completed</v>
      </c>
      <c r="AM678" s="6" t="str">
        <v>Divestiture</v>
      </c>
      <c r="AO678" s="6" t="str">
        <v>US - Google Inc acquired Channel Intelligence Inc, a Celebration-based developer of ecommerce software, from ICG Group Inc, for USD 125 mil in cash.</v>
      </c>
    </row>
    <row r="679">
      <c r="A679" s="6" t="str">
        <v>01864J</v>
      </c>
      <c r="B679" s="6" t="str">
        <v>United States</v>
      </c>
      <c r="C679" s="6" t="str">
        <v>Avanade Inc</v>
      </c>
      <c r="D679" s="6" t="str">
        <v>Accenture PLC</v>
      </c>
      <c r="F679" s="6" t="str">
        <v>United States</v>
      </c>
      <c r="G679" s="6" t="str">
        <v>Opstera Inc</v>
      </c>
      <c r="H679" s="6" t="str">
        <v>Prepackaged Software</v>
      </c>
      <c r="I679" s="6" t="str">
        <v>2A1368</v>
      </c>
      <c r="J679" s="6" t="str">
        <v>Opstera Inc</v>
      </c>
      <c r="K679" s="6" t="str">
        <v>Opstera Inc</v>
      </c>
      <c r="L679" s="7">
        <f>=DATE(2013,2,7)</f>
        <v>41311.99949074074</v>
      </c>
      <c r="M679" s="7">
        <f>=DATE(2013,2,7)</f>
        <v>41311.99949074074</v>
      </c>
      <c r="W679" s="6" t="str">
        <v>Other Computer Related Svcs;Other Software (inq. Games);Computer Consulting Services</v>
      </c>
      <c r="X679" s="6" t="str">
        <v>Internet Services &amp; Software;Communication/Network Software</v>
      </c>
      <c r="Y679" s="6" t="str">
        <v>Communication/Network Software;Internet Services &amp; Software</v>
      </c>
      <c r="Z679" s="6" t="str">
        <v>Communication/Network Software;Internet Services &amp; Software</v>
      </c>
      <c r="AA679" s="6" t="str">
        <v>Workstations;Internet Services &amp; Software;Data Commun(Exclude networking;Other Computer Related Svcs;Primary Business not Hi-Tech;Desktop Publishing;Data Processing Services;Computer Consulting Services;CAD/CAM/CAE/Graphics Systems;Turnkey Systems;Networking Systems (LAN,WAN);Operating Systems;Other Computer Systems;Communication/Network Software;Applications Software(Business;Other Software (inq. Games);Applications Software(Home);Utilities/File Mgmt Software</v>
      </c>
      <c r="AB679" s="6" t="str">
        <v>Other Computer Systems;Computer Consulting Services;Networking Systems (LAN,WAN);Communication/Network Software;Data Processing Services;Other Software (inq. Games);Applications Software(Home);Primary Business not Hi-Tech;Turnkey Systems;Other Computer Related Svcs;Internet Services &amp; Software;Workstations;Utilities/File Mgmt Software;Operating Systems;Data Commun(Exclude networking;Applications Software(Business;Desktop Publishing;CAD/CAM/CAE/Graphics Systems</v>
      </c>
      <c r="AH679" s="6" t="str">
        <v>False</v>
      </c>
      <c r="AI679" s="6" t="str">
        <v>2013</v>
      </c>
      <c r="AJ679" s="6" t="str">
        <v>Completed</v>
      </c>
      <c r="AM679" s="6" t="str">
        <v>Not Applicable</v>
      </c>
      <c r="AO679" s="6" t="str">
        <v>US - Avanade Inc, a joint venture between Microsoft Corp and Accenture Ltd, acquired Opstera Inc, a Bellevue-based software developer. Terms were not disclosed.</v>
      </c>
    </row>
    <row r="680">
      <c r="A680" s="6" t="str">
        <v>55126T</v>
      </c>
      <c r="B680" s="6" t="str">
        <v>United States</v>
      </c>
      <c r="C680" s="6" t="str">
        <v>Lynda.com Inc</v>
      </c>
      <c r="D680" s="6" t="str">
        <v>Lynda.com Inc</v>
      </c>
      <c r="F680" s="6" t="str">
        <v>Austria</v>
      </c>
      <c r="G680" s="6" t="str">
        <v>video2brain GmbH</v>
      </c>
      <c r="H680" s="6" t="str">
        <v>Business Services</v>
      </c>
      <c r="I680" s="6" t="str">
        <v>2A2645</v>
      </c>
      <c r="J680" s="6" t="str">
        <v>video2brain GmbH</v>
      </c>
      <c r="K680" s="6" t="str">
        <v>video2brain GmbH</v>
      </c>
      <c r="L680" s="7">
        <f>=DATE(2013,2,14)</f>
        <v>41318.99949074074</v>
      </c>
      <c r="M680" s="7">
        <f>=DATE(2013,2,14)</f>
        <v>41318.99949074074</v>
      </c>
      <c r="W680" s="6" t="str">
        <v>Internet Services &amp; Software</v>
      </c>
      <c r="X680" s="6" t="str">
        <v>Internet Services &amp; Software</v>
      </c>
      <c r="Y680" s="6" t="str">
        <v>Internet Services &amp; Software</v>
      </c>
      <c r="Z680" s="6" t="str">
        <v>Internet Services &amp; Software</v>
      </c>
      <c r="AA680" s="6" t="str">
        <v>Internet Services &amp; Software</v>
      </c>
      <c r="AB680" s="6" t="str">
        <v>Internet Services &amp; Software</v>
      </c>
      <c r="AH680" s="6" t="str">
        <v>False</v>
      </c>
      <c r="AI680" s="6" t="str">
        <v>2013</v>
      </c>
      <c r="AJ680" s="6" t="str">
        <v>Completed</v>
      </c>
      <c r="AM680" s="6" t="str">
        <v>Not Applicable</v>
      </c>
      <c r="AO680" s="6" t="str">
        <v>AUSTRIA - Lynda.com Inc of the US, acquired video2brain GmbH, a Graz-based provider of online training services.</v>
      </c>
    </row>
    <row r="681">
      <c r="A681" s="6" t="str">
        <v>30303M</v>
      </c>
      <c r="B681" s="6" t="str">
        <v>United States</v>
      </c>
      <c r="C681" s="6" t="str">
        <v>Facebook Inc</v>
      </c>
      <c r="D681" s="6" t="str">
        <v>Facebook Inc</v>
      </c>
      <c r="F681" s="6" t="str">
        <v>United States</v>
      </c>
      <c r="G681" s="6" t="str">
        <v>Atlas Advertiser Suite</v>
      </c>
      <c r="H681" s="6" t="str">
        <v>Advertising Services</v>
      </c>
      <c r="I681" s="6" t="str">
        <v>04943Q</v>
      </c>
      <c r="J681" s="6" t="str">
        <v>Microsoft Corp</v>
      </c>
      <c r="K681" s="6" t="str">
        <v>aQuantive Inc</v>
      </c>
      <c r="L681" s="7">
        <f>=DATE(2013,3,1)</f>
        <v>41333.99949074074</v>
      </c>
      <c r="M681" s="7">
        <f>=DATE(2013,4,26)</f>
        <v>41389.99949074074</v>
      </c>
      <c r="W681" s="6" t="str">
        <v>Internet Services &amp; Software</v>
      </c>
      <c r="X681" s="6" t="str">
        <v>Internet Services &amp; Software</v>
      </c>
      <c r="Y681" s="6" t="str">
        <v>Internet Services &amp; Software</v>
      </c>
      <c r="Z681" s="6" t="str">
        <v>Other Peripherals;Operating Systems;Internet Services &amp; Software;Applications Software(Business;Monitors/Terminals;Computer Consulting Services</v>
      </c>
      <c r="AA681" s="6" t="str">
        <v>Internet Services &amp; Software</v>
      </c>
      <c r="AB681" s="6" t="str">
        <v>Internet Services &amp; Software</v>
      </c>
      <c r="AH681" s="6" t="str">
        <v>False</v>
      </c>
      <c r="AI681" s="6" t="str">
        <v>2013</v>
      </c>
      <c r="AJ681" s="6" t="str">
        <v>Completed</v>
      </c>
      <c r="AM681" s="6" t="str">
        <v>Rumored Deal;Financial Acquiror;Divestiture</v>
      </c>
      <c r="AO681" s="6" t="str">
        <v>US - Facebook Inc (Facebook) acquired Atlas Advertiser Suite, a New York-based provider of digital marketing services, from aQuantive Inc, a unit of Microsoft Corp. Terms were not disclosed. Originally, In Dec 2012, Facebook was rumored to be acquiring Atlas.</v>
      </c>
    </row>
    <row r="682">
      <c r="A682" s="6" t="str">
        <v>30303M</v>
      </c>
      <c r="B682" s="6" t="str">
        <v>United States</v>
      </c>
      <c r="C682" s="6" t="str">
        <v>Facebook Inc</v>
      </c>
      <c r="D682" s="6" t="str">
        <v>Facebook Inc</v>
      </c>
      <c r="F682" s="6" t="str">
        <v>United States</v>
      </c>
      <c r="G682" s="6" t="str">
        <v>Mixtent Inc</v>
      </c>
      <c r="H682" s="6" t="str">
        <v>Business Services</v>
      </c>
      <c r="I682" s="6" t="str">
        <v>2A7932</v>
      </c>
      <c r="J682" s="6" t="str">
        <v>Mixtent Inc</v>
      </c>
      <c r="K682" s="6" t="str">
        <v>Mixtent Inc</v>
      </c>
      <c r="L682" s="7">
        <f>=DATE(2013,3,11)</f>
        <v>41343.99949074074</v>
      </c>
      <c r="M682" s="7">
        <f>=DATE(2013,3,11)</f>
        <v>41343.99949074074</v>
      </c>
      <c r="W682" s="6" t="str">
        <v>Internet Services &amp; Software</v>
      </c>
      <c r="X682" s="6" t="str">
        <v>Internet Services &amp; Software</v>
      </c>
      <c r="Y682" s="6" t="str">
        <v>Internet Services &amp; Software</v>
      </c>
      <c r="Z682" s="6" t="str">
        <v>Internet Services &amp; Software</v>
      </c>
      <c r="AA682" s="6" t="str">
        <v>Internet Services &amp; Software</v>
      </c>
      <c r="AB682" s="6" t="str">
        <v>Internet Services &amp; Software</v>
      </c>
      <c r="AH682" s="6" t="str">
        <v>False</v>
      </c>
      <c r="AI682" s="6" t="str">
        <v>2013</v>
      </c>
      <c r="AJ682" s="6" t="str">
        <v>Completed</v>
      </c>
      <c r="AM682" s="6" t="str">
        <v>Financial Acquiror</v>
      </c>
      <c r="AO682" s="6" t="str">
        <v>US - Facebook Inc acquired Mixtent Inc, doing business as Storylane, a Palo Alto-based provider of online social networking services. Terms were not disclosed.</v>
      </c>
    </row>
    <row r="683">
      <c r="A683" s="6" t="str">
        <v>4C7902</v>
      </c>
      <c r="B683" s="6" t="str">
        <v>United States</v>
      </c>
      <c r="C683" s="6" t="str">
        <v>Amazon Web Services Inc</v>
      </c>
      <c r="D683" s="6" t="str">
        <v>Amazon.com Inc</v>
      </c>
      <c r="F683" s="6" t="str">
        <v>Germany</v>
      </c>
      <c r="G683" s="6" t="str">
        <v>Peritor GmbH</v>
      </c>
      <c r="H683" s="6" t="str">
        <v>Business Services</v>
      </c>
      <c r="I683" s="6" t="str">
        <v>4C7895</v>
      </c>
      <c r="J683" s="6" t="str">
        <v>Peritor GmbH</v>
      </c>
      <c r="K683" s="6" t="str">
        <v>Peritor GmbH</v>
      </c>
      <c r="L683" s="7">
        <f>=DATE(2013,3,13)</f>
        <v>41345.99949074074</v>
      </c>
      <c r="M683" s="7">
        <f>=DATE(2013,3,13)</f>
        <v>41345.99949074074</v>
      </c>
      <c r="W683" s="6" t="str">
        <v>Primary Business not Hi-Tech;Other Computer Related Svcs;Computer Consulting Services;Internet Services &amp; Software;Data Processing Services</v>
      </c>
      <c r="X683" s="6" t="str">
        <v>Database Software/Programming</v>
      </c>
      <c r="Y683" s="6" t="str">
        <v>Database Software/Programming</v>
      </c>
      <c r="Z683" s="6" t="str">
        <v>Database Software/Programming</v>
      </c>
      <c r="AA683" s="6" t="str">
        <v>Primary Business not Hi-Tech</v>
      </c>
      <c r="AB683" s="6" t="str">
        <v>Primary Business not Hi-Tech</v>
      </c>
      <c r="AH683" s="6" t="str">
        <v>True</v>
      </c>
      <c r="AI683" s="6" t="str">
        <v>2013</v>
      </c>
      <c r="AJ683" s="6" t="str">
        <v>Completed</v>
      </c>
      <c r="AM683" s="6" t="str">
        <v>Not Applicable</v>
      </c>
      <c r="AO683" s="6" t="str">
        <v>GERMANY - Amazon Web Services Inc of the US, a unit of Amazon.com Inc, acquired Peritor GmbH, a Berlin-based provider of custom computer programming services.</v>
      </c>
    </row>
    <row r="684">
      <c r="A684" s="6" t="str">
        <v>594918</v>
      </c>
      <c r="B684" s="6" t="str">
        <v>United States</v>
      </c>
      <c r="C684" s="6" t="str">
        <v>Microsoft Corp</v>
      </c>
      <c r="D684" s="6" t="str">
        <v>Microsoft Corp</v>
      </c>
      <c r="F684" s="6" t="str">
        <v>Switzerland</v>
      </c>
      <c r="G684" s="6" t="str">
        <v>Netbreeze GmbH</v>
      </c>
      <c r="H684" s="6" t="str">
        <v>Business Services</v>
      </c>
      <c r="I684" s="6" t="str">
        <v>2A8836</v>
      </c>
      <c r="J684" s="6" t="str">
        <v>Netbreeze GmbH</v>
      </c>
      <c r="K684" s="6" t="str">
        <v>Netbreeze GmbH</v>
      </c>
      <c r="L684" s="7">
        <f>=DATE(2013,3,19)</f>
        <v>41351.99949074074</v>
      </c>
      <c r="M684" s="7">
        <f>=DATE(2013,3,19)</f>
        <v>41351.99949074074</v>
      </c>
      <c r="W684" s="6" t="str">
        <v>Applications Software(Business;Internet Services &amp; Software;Computer Consulting Services;Other Peripherals;Operating Systems;Monitors/Terminals</v>
      </c>
      <c r="X684" s="6" t="str">
        <v>Programming Services</v>
      </c>
      <c r="Y684" s="6" t="str">
        <v>Programming Services</v>
      </c>
      <c r="Z684" s="6" t="str">
        <v>Programming Services</v>
      </c>
      <c r="AA684" s="6" t="str">
        <v>Internet Services &amp; Software;Operating Systems;Computer Consulting Services;Monitors/Terminals;Other Peripherals;Applications Software(Business</v>
      </c>
      <c r="AB684" s="6" t="str">
        <v>Operating Systems;Monitors/Terminals;Computer Consulting Services;Internet Services &amp; Software;Applications Software(Business;Other Peripherals</v>
      </c>
      <c r="AH684" s="6" t="str">
        <v>False</v>
      </c>
      <c r="AI684" s="6" t="str">
        <v>2013</v>
      </c>
      <c r="AJ684" s="6" t="str">
        <v>Completed</v>
      </c>
      <c r="AM684" s="6" t="str">
        <v>Not Applicable</v>
      </c>
      <c r="AO684" s="6" t="str">
        <v>SWITZERLAND - Microsoft Corp of the US acquired Netbreeze GmbH, a Duebendorf-based provider of social media listening and analysis services. Terms of the transaction were not disclosed.</v>
      </c>
    </row>
    <row r="685">
      <c r="A685" s="6" t="str">
        <v>037833</v>
      </c>
      <c r="B685" s="6" t="str">
        <v>United States</v>
      </c>
      <c r="C685" s="6" t="str">
        <v>Apple Inc</v>
      </c>
      <c r="D685" s="6" t="str">
        <v>Apple Inc</v>
      </c>
      <c r="F685" s="6" t="str">
        <v>United States</v>
      </c>
      <c r="G685" s="6" t="str">
        <v>WifiSLAM</v>
      </c>
      <c r="H685" s="6" t="str">
        <v>Prepackaged Software</v>
      </c>
      <c r="I685" s="6" t="str">
        <v>2A9722</v>
      </c>
      <c r="J685" s="6" t="str">
        <v>WifiSLAM</v>
      </c>
      <c r="K685" s="6" t="str">
        <v>WifiSLAM</v>
      </c>
      <c r="L685" s="7">
        <f>=DATE(2013,3,24)</f>
        <v>41356.99949074074</v>
      </c>
      <c r="M685" s="7">
        <f>=DATE(2013,3,24)</f>
        <v>41356.99949074074</v>
      </c>
      <c r="W685" s="6" t="str">
        <v>Micro-Computers (PCs);Disk Drives;Portable Computers;Other Peripherals;Other Software (inq. Games);Mainframes &amp; Super Computers;Monitors/Terminals;Printers</v>
      </c>
      <c r="X685" s="6" t="str">
        <v>Applications Software(Business;Applications Software(Home)</v>
      </c>
      <c r="Y685" s="6" t="str">
        <v>Applications Software(Business;Applications Software(Home)</v>
      </c>
      <c r="Z685" s="6" t="str">
        <v>Applications Software(Home);Applications Software(Business</v>
      </c>
      <c r="AA685" s="6" t="str">
        <v>Printers;Disk Drives;Monitors/Terminals;Mainframes &amp; Super Computers;Micro-Computers (PCs);Portable Computers;Other Software (inq. Games);Other Peripherals</v>
      </c>
      <c r="AB685" s="6" t="str">
        <v>Monitors/Terminals;Other Peripherals;Micro-Computers (PCs);Disk Drives;Mainframes &amp; Super Computers;Other Software (inq. Games);Portable Computers;Printers</v>
      </c>
      <c r="AH685" s="6" t="str">
        <v>True</v>
      </c>
      <c r="AI685" s="6" t="str">
        <v>2013</v>
      </c>
      <c r="AJ685" s="6" t="str">
        <v>Completed</v>
      </c>
      <c r="AM685" s="6" t="str">
        <v>Not Applicable</v>
      </c>
      <c r="AO685" s="6" t="str">
        <v>US - Apple Inc acquired WifiSLAM, a Palo Alto-based developer of mapping application software. Terms were not disclosed but, according to people familiar with the transaction, the deal was valued at an estimated USD 20 mil.</v>
      </c>
    </row>
    <row r="686">
      <c r="A686" s="6" t="str">
        <v>023135</v>
      </c>
      <c r="B686" s="6" t="str">
        <v>United States</v>
      </c>
      <c r="C686" s="6" t="str">
        <v>Amazon.com Inc</v>
      </c>
      <c r="D686" s="6" t="str">
        <v>Amazon.com Inc</v>
      </c>
      <c r="F686" s="6" t="str">
        <v>United States</v>
      </c>
      <c r="G686" s="6" t="str">
        <v>Goodreads Inc</v>
      </c>
      <c r="H686" s="6" t="str">
        <v>Business Services</v>
      </c>
      <c r="I686" s="6" t="str">
        <v>3A1096</v>
      </c>
      <c r="J686" s="6" t="str">
        <v>Goodreads Inc</v>
      </c>
      <c r="K686" s="6" t="str">
        <v>Goodreads Inc</v>
      </c>
      <c r="L686" s="7">
        <f>=DATE(2013,3,28)</f>
        <v>41360.99949074074</v>
      </c>
      <c r="M686" s="7">
        <f>=DATE(2013,7,23)</f>
        <v>41477.99949074074</v>
      </c>
      <c r="W686" s="6" t="str">
        <v>Primary Business not Hi-Tech</v>
      </c>
      <c r="X686" s="6" t="str">
        <v>Internet Services &amp; Software</v>
      </c>
      <c r="Y686" s="6" t="str">
        <v>Internet Services &amp; Software</v>
      </c>
      <c r="Z686" s="6" t="str">
        <v>Internet Services &amp; Software</v>
      </c>
      <c r="AA686" s="6" t="str">
        <v>Primary Business not Hi-Tech</v>
      </c>
      <c r="AB686" s="6" t="str">
        <v>Primary Business not Hi-Tech</v>
      </c>
      <c r="AH686" s="6" t="str">
        <v>True</v>
      </c>
      <c r="AI686" s="6" t="str">
        <v>2013</v>
      </c>
      <c r="AJ686" s="6" t="str">
        <v>Completed</v>
      </c>
      <c r="AM686" s="6" t="str">
        <v>Not Applicable</v>
      </c>
      <c r="AO686" s="6" t="str">
        <v>US - Amazon.com Inc acquired Goodreads Inc, a San Francisco-based provider of online book information services. Terms were not disclosed.</v>
      </c>
    </row>
    <row r="687">
      <c r="A687" s="6" t="str">
        <v>38259P</v>
      </c>
      <c r="B687" s="6" t="str">
        <v>United States</v>
      </c>
      <c r="C687" s="6" t="str">
        <v>Google Inc</v>
      </c>
      <c r="D687" s="6" t="str">
        <v>Alphabet Inc</v>
      </c>
      <c r="F687" s="6" t="str">
        <v>United States</v>
      </c>
      <c r="G687" s="6" t="str">
        <v>WhatsApp Inc</v>
      </c>
      <c r="H687" s="6" t="str">
        <v>Prepackaged Software</v>
      </c>
      <c r="I687" s="6" t="str">
        <v>0A6710</v>
      </c>
      <c r="J687" s="6" t="str">
        <v>WhatsApp Inc</v>
      </c>
      <c r="K687" s="6" t="str">
        <v>WhatsApp Inc</v>
      </c>
      <c r="L687" s="7">
        <f>=DATE(2013,4,8)</f>
        <v>41371.99949074074</v>
      </c>
      <c r="W687" s="6" t="str">
        <v>Programming Services;Internet Services &amp; Software</v>
      </c>
      <c r="X687" s="6" t="str">
        <v>Communication/Network Software;Internet Services &amp; Software</v>
      </c>
      <c r="Y687" s="6" t="str">
        <v>Internet Services &amp; Software;Communication/Network Software</v>
      </c>
      <c r="Z687" s="6" t="str">
        <v>Communication/Network Software;Internet Services &amp; Software</v>
      </c>
      <c r="AA687" s="6" t="str">
        <v>Computer Consulting Services;Internet Services &amp; Software;Programming Services;Primary Business not Hi-Tech;Telecommunications Equipment</v>
      </c>
      <c r="AB687" s="6" t="str">
        <v>Telecommunications Equipment;Programming Services;Computer Consulting Services;Primary Business not Hi-Tech;Internet Services &amp; Software</v>
      </c>
      <c r="AH687" s="6" t="str">
        <v>False</v>
      </c>
      <c r="AJ687" s="6" t="str">
        <v>Dismissed Rumor</v>
      </c>
      <c r="AM687" s="6" t="str">
        <v>Rumored Deal</v>
      </c>
      <c r="AO687" s="6" t="str">
        <v>US - Google Inc was rumored to be planning to acquire WhatsApp Inc, a Santa Clara-based developer of cross-platform mobile messaging application software. Terms were not disclosed, but according to sources, the transaction is valued at USD 1 bil. The Current status of this deal is unknown.</v>
      </c>
    </row>
    <row r="688">
      <c r="A688" s="6" t="str">
        <v>09362H</v>
      </c>
      <c r="B688" s="6" t="str">
        <v>United States</v>
      </c>
      <c r="C688" s="6" t="str">
        <v>Blizzard Entertainment Inc</v>
      </c>
      <c r="D688" s="6" t="str">
        <v>Vivendi SE</v>
      </c>
      <c r="F688" s="6" t="str">
        <v>United States</v>
      </c>
      <c r="G688" s="6" t="str">
        <v>IGN Entertainment Inc-IGN Pro League Assets &amp; Technology</v>
      </c>
      <c r="H688" s="6" t="str">
        <v>Business Services</v>
      </c>
      <c r="I688" s="6" t="str">
        <v>3A8994</v>
      </c>
      <c r="J688" s="6" t="str">
        <v>J2 Global Inc</v>
      </c>
      <c r="K688" s="6" t="str">
        <v>IGN Entertainment Inc</v>
      </c>
      <c r="L688" s="7">
        <f>=DATE(2013,4,8)</f>
        <v>41371.99949074074</v>
      </c>
      <c r="M688" s="7">
        <f>=DATE(2013,4,8)</f>
        <v>41371.99949074074</v>
      </c>
      <c r="W688" s="6" t="str">
        <v>Other Software (inq. Games)</v>
      </c>
      <c r="X688" s="6" t="str">
        <v>Internet Services &amp; Software;Other Software (inq. Games);Communication/Network Software</v>
      </c>
      <c r="Y688" s="6" t="str">
        <v>Other Software (inq. Games);Internet Services &amp; Software;Communication/Network Software</v>
      </c>
      <c r="Z688" s="6" t="str">
        <v>Communication/Network Software;Internet Services &amp; Software</v>
      </c>
      <c r="AA688" s="6" t="str">
        <v>Other Software (inq. Games);Operating Systems;Other Computer Systems</v>
      </c>
      <c r="AB688" s="6" t="str">
        <v>Internet Services &amp; Software;Other Software (inq. Games);Primary Business not Hi-Tech</v>
      </c>
      <c r="AH688" s="6" t="str">
        <v>True</v>
      </c>
      <c r="AI688" s="6" t="str">
        <v>2013</v>
      </c>
      <c r="AJ688" s="6" t="str">
        <v>Completed</v>
      </c>
      <c r="AM688" s="6" t="str">
        <v>Divestiture</v>
      </c>
      <c r="AO688" s="6" t="str">
        <v>US - Blizzard Entertainment Inc, a unit of Activision Blizzard Inc, acquired the IGN Pro League assets and technology of IGN Entertainment Inc, a San Francisco-based provider of online media services, and a unit of News Corp.</v>
      </c>
    </row>
    <row r="689">
      <c r="A689" s="6" t="str">
        <v>53578A</v>
      </c>
      <c r="B689" s="6" t="str">
        <v>United States</v>
      </c>
      <c r="C689" s="6" t="str">
        <v>LinkedIn Corp</v>
      </c>
      <c r="D689" s="6" t="str">
        <v>LinkedIn Corp</v>
      </c>
      <c r="F689" s="6" t="str">
        <v>United States</v>
      </c>
      <c r="G689" s="6" t="str">
        <v>Pulse</v>
      </c>
      <c r="H689" s="6" t="str">
        <v>Prepackaged Software</v>
      </c>
      <c r="I689" s="6" t="str">
        <v>2A7584</v>
      </c>
      <c r="J689" s="6" t="str">
        <v>Pulse</v>
      </c>
      <c r="K689" s="6" t="str">
        <v>Pulse</v>
      </c>
      <c r="L689" s="7">
        <f>=DATE(2013,4,11)</f>
        <v>41374.99949074074</v>
      </c>
      <c r="M689" s="7">
        <f>=DATE(2013,4,17)</f>
        <v>41380.99949074074</v>
      </c>
      <c r="N689" s="8">
        <v>90</v>
      </c>
      <c r="O689" s="8">
        <v>90</v>
      </c>
      <c r="W689" s="6" t="str">
        <v>Internet Services &amp; Software</v>
      </c>
      <c r="X689" s="6" t="str">
        <v>Other Software (inq. Games)</v>
      </c>
      <c r="Y689" s="6" t="str">
        <v>Other Software (inq. Games)</v>
      </c>
      <c r="Z689" s="6" t="str">
        <v>Other Software (inq. Games)</v>
      </c>
      <c r="AA689" s="6" t="str">
        <v>Internet Services &amp; Software</v>
      </c>
      <c r="AB689" s="6" t="str">
        <v>Internet Services &amp; Software</v>
      </c>
      <c r="AC689" s="8">
        <v>90</v>
      </c>
      <c r="AD689" s="7">
        <f>=DATE(2013,4,11)</f>
        <v>41374.99949074074</v>
      </c>
      <c r="AH689" s="6" t="str">
        <v>False</v>
      </c>
      <c r="AI689" s="6" t="str">
        <v>2013</v>
      </c>
      <c r="AJ689" s="6" t="str">
        <v>Completed</v>
      </c>
      <c r="AM689" s="6" t="str">
        <v>Financial Acquiror;Rumored Deal</v>
      </c>
      <c r="AO689" s="6" t="str">
        <v>US - LinkedIn Corp acquired Pulse LinkedIn Corp, a San Francisco-based developer news application software, for an estimated USD 90 mil. The consideration consisted of USD 81 mil in cash and USD 9 mil in LinkedIn common shares. Originally, LinkedIn was rumored to be planning to acquire Pulse.</v>
      </c>
    </row>
    <row r="690">
      <c r="A690" s="6" t="str">
        <v>023135</v>
      </c>
      <c r="B690" s="6" t="str">
        <v>United States</v>
      </c>
      <c r="C690" s="6" t="str">
        <v>Amazon.com Inc</v>
      </c>
      <c r="D690" s="6" t="str">
        <v>Amazon.com Inc</v>
      </c>
      <c r="F690" s="6" t="str">
        <v>United Kingdom</v>
      </c>
      <c r="G690" s="6" t="str">
        <v>Evi Technologies Ltd</v>
      </c>
      <c r="H690" s="6" t="str">
        <v>Prepackaged Software</v>
      </c>
      <c r="I690" s="6" t="str">
        <v>3A5765</v>
      </c>
      <c r="J690" s="6" t="str">
        <v>Evi Technologies Ltd</v>
      </c>
      <c r="K690" s="6" t="str">
        <v>Evi Technologies Ltd</v>
      </c>
      <c r="L690" s="7">
        <f>=DATE(2013,4,17)</f>
        <v>41380.99949074074</v>
      </c>
      <c r="W690" s="6" t="str">
        <v>Primary Business not Hi-Tech</v>
      </c>
      <c r="X690" s="6" t="str">
        <v>Other Software (inq. Games);Applications Software(Home);Communication/Network Software</v>
      </c>
      <c r="Y690" s="6" t="str">
        <v>Other Software (inq. Games);Communication/Network Software;Applications Software(Home)</v>
      </c>
      <c r="Z690" s="6" t="str">
        <v>Communication/Network Software;Other Software (inq. Games);Applications Software(Home)</v>
      </c>
      <c r="AA690" s="6" t="str">
        <v>Primary Business not Hi-Tech</v>
      </c>
      <c r="AB690" s="6" t="str">
        <v>Primary Business not Hi-Tech</v>
      </c>
      <c r="AH690" s="6" t="str">
        <v>True</v>
      </c>
      <c r="AJ690" s="6" t="str">
        <v>Dismissed Rumor</v>
      </c>
      <c r="AM690" s="6" t="str">
        <v>Rumored Deal</v>
      </c>
      <c r="AO690" s="6" t="str">
        <v>UK - Amazon.com Inc was rumored to be planning to acquire Evi Technologies Ltd, a Cambridge-based developer of mobile software. Terms were not disclosed, but according to analyst estimates, the deal was valued at an estimated GBP 17.06 mil (USD 26 mil). The Current status of this deal is unknown.</v>
      </c>
    </row>
    <row r="691">
      <c r="A691" s="6" t="str">
        <v>30303M</v>
      </c>
      <c r="B691" s="6" t="str">
        <v>United States</v>
      </c>
      <c r="C691" s="6" t="str">
        <v>Facebook Inc</v>
      </c>
      <c r="D691" s="6" t="str">
        <v>Facebook Inc</v>
      </c>
      <c r="F691" s="6" t="str">
        <v>United States</v>
      </c>
      <c r="G691" s="6" t="str">
        <v>Parse Inc</v>
      </c>
      <c r="H691" s="6" t="str">
        <v>Prepackaged Software</v>
      </c>
      <c r="I691" s="6" t="str">
        <v>3A5775</v>
      </c>
      <c r="J691" s="6" t="str">
        <v>Parse Inc</v>
      </c>
      <c r="K691" s="6" t="str">
        <v>Parse Inc</v>
      </c>
      <c r="L691" s="7">
        <f>=DATE(2013,4,25)</f>
        <v>41388.99949074074</v>
      </c>
      <c r="M691" s="7">
        <f>=DATE(2013,5,23)</f>
        <v>41416.99949074074</v>
      </c>
      <c r="W691" s="6" t="str">
        <v>Internet Services &amp; Software</v>
      </c>
      <c r="X691" s="6" t="str">
        <v>Internet Services &amp; Software;Communication/Network Software</v>
      </c>
      <c r="Y691" s="6" t="str">
        <v>Internet Services &amp; Software;Communication/Network Software</v>
      </c>
      <c r="Z691" s="6" t="str">
        <v>Communication/Network Software;Internet Services &amp; Software</v>
      </c>
      <c r="AA691" s="6" t="str">
        <v>Internet Services &amp; Software</v>
      </c>
      <c r="AB691" s="6" t="str">
        <v>Internet Services &amp; Software</v>
      </c>
      <c r="AH691" s="6" t="str">
        <v>True</v>
      </c>
      <c r="AI691" s="6" t="str">
        <v>2013</v>
      </c>
      <c r="AJ691" s="6" t="str">
        <v>Completed</v>
      </c>
      <c r="AM691" s="6" t="str">
        <v>Financial Acquiror</v>
      </c>
      <c r="AO691" s="6" t="str">
        <v>US - Facebook Inc (Facebook) acquired Parse Inc, a San Francisco-based developer of mobile application software, from Ignition Venture Partners and other shareholders. Terms were not disclosed but, according to people familiar with the transaction, the deal was valued at an estimated USD 85 mil in cash and Facebook common stock.</v>
      </c>
    </row>
    <row r="692">
      <c r="A692" s="6" t="str">
        <v>38259P</v>
      </c>
      <c r="B692" s="6" t="str">
        <v>United States</v>
      </c>
      <c r="C692" s="6" t="str">
        <v>Google Inc</v>
      </c>
      <c r="D692" s="6" t="str">
        <v>Alphabet Inc</v>
      </c>
      <c r="F692" s="6" t="str">
        <v>United States</v>
      </c>
      <c r="G692" s="6" t="str">
        <v>Wavii Inc</v>
      </c>
      <c r="H692" s="6" t="str">
        <v>Prepackaged Software</v>
      </c>
      <c r="I692" s="6" t="str">
        <v>3A5263</v>
      </c>
      <c r="J692" s="6" t="str">
        <v>Wavii Inc</v>
      </c>
      <c r="K692" s="6" t="str">
        <v>Wavii Inc</v>
      </c>
      <c r="L692" s="7">
        <f>=DATE(2013,4,26)</f>
        <v>41389.99949074074</v>
      </c>
      <c r="M692" s="7">
        <f>=DATE(2013,4,26)</f>
        <v>41389.99949074074</v>
      </c>
      <c r="W692" s="6" t="str">
        <v>Programming Services;Internet Services &amp; Software</v>
      </c>
      <c r="X692" s="6" t="str">
        <v>Applications Software(Business</v>
      </c>
      <c r="Y692" s="6" t="str">
        <v>Applications Software(Business</v>
      </c>
      <c r="Z692" s="6" t="str">
        <v>Applications Software(Business</v>
      </c>
      <c r="AA692" s="6" t="str">
        <v>Internet Services &amp; Software;Computer Consulting Services;Primary Business not Hi-Tech;Telecommunications Equipment;Programming Services</v>
      </c>
      <c r="AB692" s="6" t="str">
        <v>Primary Business not Hi-Tech;Computer Consulting Services;Internet Services &amp; Software;Telecommunications Equipment;Programming Services</v>
      </c>
      <c r="AH692" s="6" t="str">
        <v>False</v>
      </c>
      <c r="AI692" s="6" t="str">
        <v>2013</v>
      </c>
      <c r="AJ692" s="6" t="str">
        <v>Completed</v>
      </c>
      <c r="AM692" s="6" t="str">
        <v>Rumored Deal</v>
      </c>
      <c r="AO692" s="6" t="str">
        <v>US - Google Inc acquired Wavii Inc, a Seattle-based developer of news summarization application software. Terms were not disclosed but, according to people familiar with the transaction, the deal was valued at an estimated USD 30 mil in cash. Originally, in April 2013, Google was was rumored to be planning to acquire Wavii.</v>
      </c>
    </row>
    <row r="693">
      <c r="A693" s="6" t="str">
        <v>037833</v>
      </c>
      <c r="B693" s="6" t="str">
        <v>United States</v>
      </c>
      <c r="C693" s="6" t="str">
        <v>Apple Inc</v>
      </c>
      <c r="D693" s="6" t="str">
        <v>Apple Inc</v>
      </c>
      <c r="F693" s="6" t="str">
        <v>United States</v>
      </c>
      <c r="G693" s="6" t="str">
        <v>Apple Inc</v>
      </c>
      <c r="H693" s="6" t="str">
        <v>Computer and Office Equipment</v>
      </c>
      <c r="I693" s="6" t="str">
        <v>037833</v>
      </c>
      <c r="J693" s="6" t="str">
        <v>Apple Inc</v>
      </c>
      <c r="K693" s="6" t="str">
        <v>Apple Inc</v>
      </c>
      <c r="L693" s="7">
        <f>=DATE(2013,4,30)</f>
        <v>41393.99949074074</v>
      </c>
      <c r="M693" s="7">
        <f>=DATE(2014,3,31)</f>
        <v>41728.99949074074</v>
      </c>
      <c r="N693" s="8">
        <v>12000</v>
      </c>
      <c r="O693" s="8">
        <v>12000</v>
      </c>
      <c r="P693" s="8" t="str">
        <v>395,097.00</v>
      </c>
      <c r="R693" s="8">
        <v>39672</v>
      </c>
      <c r="S693" s="8">
        <v>169104</v>
      </c>
      <c r="T693" s="8">
        <v>-8822</v>
      </c>
      <c r="U693" s="8">
        <v>-44501</v>
      </c>
      <c r="V693" s="8">
        <v>57271</v>
      </c>
      <c r="W693" s="6" t="str">
        <v>Printers;Monitors/Terminals;Other Software (inq. Games);Other Peripherals;Portable Computers;Disk Drives;Mainframes &amp; Super Computers;Micro-Computers (PCs)</v>
      </c>
      <c r="X693" s="6" t="str">
        <v>Printers;Monitors/Terminals;Other Software (inq. Games);Micro-Computers (PCs);Other Peripherals;Disk Drives;Portable Computers;Mainframes &amp; Super Computers</v>
      </c>
      <c r="Y693" s="6" t="str">
        <v>Other Software (inq. Games);Micro-Computers (PCs);Other Peripherals;Monitors/Terminals;Printers;Portable Computers;Mainframes &amp; Super Computers;Disk Drives</v>
      </c>
      <c r="Z693" s="6" t="str">
        <v>Printers;Other Peripherals;Mainframes &amp; Super Computers;Micro-Computers (PCs);Monitors/Terminals;Other Software (inq. Games);Disk Drives;Portable Computers</v>
      </c>
      <c r="AA693" s="6" t="str">
        <v>Monitors/Terminals;Disk Drives;Printers;Micro-Computers (PCs);Portable Computers;Mainframes &amp; Super Computers;Other Peripherals;Other Software (inq. Games)</v>
      </c>
      <c r="AB693" s="6" t="str">
        <v>Printers;Micro-Computers (PCs);Mainframes &amp; Super Computers;Portable Computers;Other Software (inq. Games);Other Peripherals;Disk Drives;Monitors/Terminals</v>
      </c>
      <c r="AC693" s="8">
        <v>12000</v>
      </c>
      <c r="AD693" s="7">
        <f>=DATE(2013,4,30)</f>
        <v>41393.99949074074</v>
      </c>
      <c r="AF693" s="8" t="str">
        <v>395,097.00</v>
      </c>
      <c r="AG693" s="8" t="str">
        <v>395,097.00</v>
      </c>
      <c r="AH693" s="6" t="str">
        <v>True</v>
      </c>
      <c r="AI693" s="6" t="str">
        <v>2014</v>
      </c>
      <c r="AJ693" s="6" t="str">
        <v>Completed</v>
      </c>
      <c r="AL693" s="8">
        <v>24.65</v>
      </c>
      <c r="AM693" s="6" t="str">
        <v>Repurchase;Open Market Purchase</v>
      </c>
      <c r="AN693" s="8">
        <v>5536</v>
      </c>
      <c r="AO693" s="6" t="str">
        <v>US - On April 2013, the board of Apple Inc, a Cupertino-based manufacturer and wholesaler of mobile communication and media devices, completed the repurchase of USD 12 bil of the company's entire share capital, in an accelerated buyback transaction.</v>
      </c>
    </row>
    <row r="694">
      <c r="A694" s="6" t="str">
        <v>38259P</v>
      </c>
      <c r="B694" s="6" t="str">
        <v>United States</v>
      </c>
      <c r="C694" s="6" t="str">
        <v>Google Inc</v>
      </c>
      <c r="D694" s="6" t="str">
        <v>Alphabet Inc</v>
      </c>
      <c r="F694" s="6" t="str">
        <v>United States</v>
      </c>
      <c r="G694" s="6" t="str">
        <v>LendingClub Corp</v>
      </c>
      <c r="H694" s="6" t="str">
        <v>Credit Institutions</v>
      </c>
      <c r="I694" s="6" t="str">
        <v>0A9472</v>
      </c>
      <c r="J694" s="6" t="str">
        <v>LendingClub Corp</v>
      </c>
      <c r="K694" s="6" t="str">
        <v>LendingClub Corp</v>
      </c>
      <c r="L694" s="7">
        <f>=DATE(2013,5,2)</f>
        <v>41395.99949074074</v>
      </c>
      <c r="M694" s="7">
        <f>=DATE(2013,5,2)</f>
        <v>41395.99949074074</v>
      </c>
      <c r="W694" s="6" t="str">
        <v>Programming Services;Internet Services &amp; Software</v>
      </c>
      <c r="X694" s="6" t="str">
        <v>Internet Services &amp; Software;Primary Business not Hi-Tech</v>
      </c>
      <c r="Y694" s="6" t="str">
        <v>Internet Services &amp; Software;Primary Business not Hi-Tech</v>
      </c>
      <c r="Z694" s="6" t="str">
        <v>Internet Services &amp; Software;Primary Business not Hi-Tech</v>
      </c>
      <c r="AA694" s="6" t="str">
        <v>Telecommunications Equipment;Computer Consulting Services;Programming Services;Internet Services &amp; Software;Primary Business not Hi-Tech</v>
      </c>
      <c r="AB694" s="6" t="str">
        <v>Programming Services;Internet Services &amp; Software;Primary Business not Hi-Tech;Computer Consulting Services;Telecommunications Equipment</v>
      </c>
      <c r="AH694" s="6" t="str">
        <v>True</v>
      </c>
      <c r="AI694" s="6" t="str">
        <v>2013</v>
      </c>
      <c r="AJ694" s="6" t="str">
        <v>Completed</v>
      </c>
      <c r="AM694" s="6" t="str">
        <v>Privately Negotiated Purchase</v>
      </c>
      <c r="AO694" s="6" t="str">
        <v>US - Google Inc acquired an undisclosed minority stake in LendingClub Corp, a San Francisco-based provider of online loan services, in a privately negotiated transaction.</v>
      </c>
    </row>
    <row r="695">
      <c r="A695" s="6" t="str">
        <v>594918</v>
      </c>
      <c r="B695" s="6" t="str">
        <v>United States</v>
      </c>
      <c r="C695" s="6" t="str">
        <v>Microsoft Corp</v>
      </c>
      <c r="D695" s="6" t="str">
        <v>Microsoft Corp</v>
      </c>
      <c r="F695" s="6" t="str">
        <v>United States</v>
      </c>
      <c r="G695" s="6" t="str">
        <v>Nook Media LLC-Digital Assets</v>
      </c>
      <c r="H695" s="6" t="str">
        <v>Miscellaneous Retail Trade</v>
      </c>
      <c r="I695" s="6" t="str">
        <v>3A7916</v>
      </c>
      <c r="J695" s="6" t="str">
        <v>Barnes &amp; Noble Inc</v>
      </c>
      <c r="K695" s="6" t="str">
        <v>Nook Media LLC</v>
      </c>
      <c r="L695" s="7">
        <f>=DATE(2013,5,9)</f>
        <v>41402.99949074074</v>
      </c>
      <c r="W695" s="6" t="str">
        <v>Monitors/Terminals;Applications Software(Business;Computer Consulting Services;Other Peripherals;Internet Services &amp; Software;Operating Systems</v>
      </c>
      <c r="X695" s="6" t="str">
        <v>Internet Services &amp; Software;Primary Business not Hi-Tech</v>
      </c>
      <c r="Y695" s="6" t="str">
        <v>Applications Software(Home);Internet Services &amp; Software</v>
      </c>
      <c r="Z695" s="6" t="str">
        <v>Primary Business not Hi-Tech;Internet Services &amp; Software</v>
      </c>
      <c r="AA695" s="6" t="str">
        <v>Monitors/Terminals;Computer Consulting Services;Other Peripherals;Applications Software(Business;Operating Systems;Internet Services &amp; Software</v>
      </c>
      <c r="AB695" s="6" t="str">
        <v>Other Peripherals;Internet Services &amp; Software;Operating Systems;Computer Consulting Services;Applications Software(Business;Monitors/Terminals</v>
      </c>
      <c r="AH695" s="6" t="str">
        <v>False</v>
      </c>
      <c r="AJ695" s="6" t="str">
        <v>Dismissed Rumor</v>
      </c>
      <c r="AM695" s="6" t="str">
        <v>Rumored Deal;Divestiture</v>
      </c>
      <c r="AO695" s="6" t="str">
        <v>US - Microsoft Corp was rumored to be planning to acquire the digital assets of Nook Media LLC, an owner and operator of book stores, and a unit of Barnes &amp; Noble Inc. The Current status of this deal is unknown.</v>
      </c>
    </row>
    <row r="696">
      <c r="A696" s="6" t="str">
        <v>023135</v>
      </c>
      <c r="B696" s="6" t="str">
        <v>United States</v>
      </c>
      <c r="C696" s="6" t="str">
        <v>Amazon.com Inc</v>
      </c>
      <c r="D696" s="6" t="str">
        <v>Amazon.com Inc</v>
      </c>
      <c r="F696" s="6" t="str">
        <v>Netherlands</v>
      </c>
      <c r="G696" s="6" t="str">
        <v>Liquavista BV</v>
      </c>
      <c r="H696" s="6" t="str">
        <v>Electronic and Electrical Equipment</v>
      </c>
      <c r="I696" s="6" t="str">
        <v>53649Q</v>
      </c>
      <c r="J696" s="6" t="str">
        <v>Samsung Electronics Co Ltd</v>
      </c>
      <c r="K696" s="6" t="str">
        <v>Samsung Electronics Europe Holding Cooperatief UA</v>
      </c>
      <c r="L696" s="7">
        <f>=DATE(2013,5,13)</f>
        <v>41406.99949074074</v>
      </c>
      <c r="M696" s="7">
        <f>=DATE(2013,5,13)</f>
        <v>41406.99949074074</v>
      </c>
      <c r="R696" s="8">
        <v>-10.0617479417353</v>
      </c>
      <c r="W696" s="6" t="str">
        <v>Primary Business not Hi-Tech</v>
      </c>
      <c r="X696" s="6" t="str">
        <v>Other Electronics</v>
      </c>
      <c r="Y696" s="6" t="str">
        <v>Primary Business not Hi-Tech</v>
      </c>
      <c r="Z696" s="6" t="str">
        <v>Semiconductors;Cellular Communications;Other Telecommunications Equip;Primary Business not Hi-Tech;Satellite Communications;Micro-Computers (PCs);Data Commun(Exclude networking;Robotics;Superconductors;Mainframes &amp; Super Computers;Lasers(Excluding Medical);Microwave Communications;Other Electronics;Portable Computers</v>
      </c>
      <c r="AA696" s="6" t="str">
        <v>Primary Business not Hi-Tech</v>
      </c>
      <c r="AB696" s="6" t="str">
        <v>Primary Business not Hi-Tech</v>
      </c>
      <c r="AH696" s="6" t="str">
        <v>True</v>
      </c>
      <c r="AI696" s="6" t="str">
        <v>2013</v>
      </c>
      <c r="AJ696" s="6" t="str">
        <v>Completed</v>
      </c>
      <c r="AM696" s="6" t="str">
        <v>Rumored Deal</v>
      </c>
      <c r="AN696" s="8">
        <v>0.902469917669411</v>
      </c>
      <c r="AO696" s="6" t="str">
        <v>NETHERLANDS - Amazon.com Inc of the US acquired Liquavista BV, an Eindhoven-based manufacturer of electronics displays, from Samsung Electronics Europe Holding Cooperatief UA, and a unit of Samsung Electronics Co Ltd. Terms were not disclosed. Orginally, in March 2013, Amazon.com Inc was rumored to be planning to acquire Liquavista.</v>
      </c>
    </row>
    <row r="697">
      <c r="A697" s="6" t="str">
        <v>67020Y</v>
      </c>
      <c r="B697" s="6" t="str">
        <v>United States</v>
      </c>
      <c r="C697" s="6" t="str">
        <v>Nuance Communications Inc</v>
      </c>
      <c r="D697" s="6" t="str">
        <v>Nuance Communications Inc</v>
      </c>
      <c r="F697" s="6" t="str">
        <v>United States</v>
      </c>
      <c r="G697" s="6" t="str">
        <v>Tweddle Group Inc-Tweddle Connect Business</v>
      </c>
      <c r="H697" s="6" t="str">
        <v>Business Services</v>
      </c>
      <c r="I697" s="6" t="str">
        <v>4A1250</v>
      </c>
      <c r="J697" s="6" t="str">
        <v>Tweddle Group Inc</v>
      </c>
      <c r="K697" s="6" t="str">
        <v>Tweddle Group Inc</v>
      </c>
      <c r="L697" s="7">
        <f>=DATE(2013,5,30)</f>
        <v>41423.99949074074</v>
      </c>
      <c r="M697" s="7">
        <f>=DATE(2013,5,31)</f>
        <v>41424.99949074074</v>
      </c>
      <c r="N697" s="8">
        <v>80</v>
      </c>
      <c r="O697" s="8">
        <v>80</v>
      </c>
      <c r="W697" s="6" t="str">
        <v>Networking Systems (LAN,WAN);Communication/Network Software;Internet Services &amp; Software;Applications Software(Home);Applications Software(Business;Computer Consulting Services;Utilities/File Mgmt Software;Desktop Publishing;Other Computer Related Svcs;Other Software (inq. Games);Programming Services;Database Software/Programming;Primary Business not Hi-Tech</v>
      </c>
      <c r="X697" s="6" t="str">
        <v>Other Software (inq. Games);Computer Consulting Services;Other Computer Related Svcs;Data Processing Services</v>
      </c>
      <c r="Y697" s="6" t="str">
        <v>Data Processing Services;Computer Consulting Services;Other Computer Related Svcs;Other Software (inq. Games)</v>
      </c>
      <c r="Z697" s="6" t="str">
        <v>Data Processing Services;Computer Consulting Services;Other Software (inq. Games);Other Computer Related Svcs</v>
      </c>
      <c r="AA697" s="6" t="str">
        <v>Primary Business not Hi-Tech;Applications Software(Business;Computer Consulting Services;Internet Services &amp; Software;Desktop Publishing;Networking Systems (LAN,WAN);Other Computer Related Svcs;Communication/Network Software;Database Software/Programming;Utilities/File Mgmt Software;Other Software (inq. Games);Programming Services;Applications Software(Home)</v>
      </c>
      <c r="AB697" s="6" t="str">
        <v>Programming Services;Networking Systems (LAN,WAN);Other Software (inq. Games);Internet Services &amp; Software;Applications Software(Business;Applications Software(Home);Database Software/Programming;Desktop Publishing;Utilities/File Mgmt Software;Other Computer Related Svcs;Primary Business not Hi-Tech;Computer Consulting Services;Communication/Network Software</v>
      </c>
      <c r="AC697" s="8">
        <v>80</v>
      </c>
      <c r="AD697" s="7">
        <f>=DATE(2013,5,30)</f>
        <v>41423.99949074074</v>
      </c>
      <c r="AH697" s="6" t="str">
        <v>False</v>
      </c>
      <c r="AI697" s="6" t="str">
        <v>2013</v>
      </c>
      <c r="AJ697" s="6" t="str">
        <v>Completed</v>
      </c>
      <c r="AM697" s="6" t="str">
        <v>Divestiture;Financial Acquiror</v>
      </c>
      <c r="AO697" s="6" t="str">
        <v>US - Nuance Communications Inc acquired the Tweddle Connect Business of Tweddle Group Inc, a Clinton Township-based provider of information solutions service, for an estimated USD 80 mil in cash.</v>
      </c>
    </row>
    <row r="698">
      <c r="A698" s="6" t="str">
        <v>594918</v>
      </c>
      <c r="B698" s="6" t="str">
        <v>United States</v>
      </c>
      <c r="C698" s="6" t="str">
        <v>Microsoft Corp</v>
      </c>
      <c r="D698" s="6" t="str">
        <v>Microsoft Corp</v>
      </c>
      <c r="F698" s="6" t="str">
        <v>Canada</v>
      </c>
      <c r="G698" s="6" t="str">
        <v>InCycle Software Inc-InRelease Business Unit</v>
      </c>
      <c r="H698" s="6" t="str">
        <v>Prepackaged Software</v>
      </c>
      <c r="I698" s="6" t="str">
        <v>4A1915</v>
      </c>
      <c r="J698" s="6" t="str">
        <v>InCycle Software Inc</v>
      </c>
      <c r="K698" s="6" t="str">
        <v>InCycle Software Inc</v>
      </c>
      <c r="L698" s="7">
        <f>=DATE(2013,6,3)</f>
        <v>41427.99949074074</v>
      </c>
      <c r="W698" s="6" t="str">
        <v>Computer Consulting Services;Other Peripherals;Applications Software(Business;Operating Systems;Internet Services &amp; Software;Monitors/Terminals</v>
      </c>
      <c r="X698" s="6" t="str">
        <v>Applications Software(Business</v>
      </c>
      <c r="Y698" s="6" t="str">
        <v>Computer Consulting Services;Applications Software(Business</v>
      </c>
      <c r="Z698" s="6" t="str">
        <v>Applications Software(Business;Computer Consulting Services</v>
      </c>
      <c r="AA698" s="6" t="str">
        <v>Monitors/Terminals;Computer Consulting Services;Operating Systems;Internet Services &amp; Software;Applications Software(Business;Other Peripherals</v>
      </c>
      <c r="AB698" s="6" t="str">
        <v>Monitors/Terminals;Computer Consulting Services;Operating Systems;Applications Software(Business;Internet Services &amp; Software;Other Peripherals</v>
      </c>
      <c r="AH698" s="6" t="str">
        <v>False</v>
      </c>
      <c r="AJ698" s="6" t="str">
        <v>Pending</v>
      </c>
      <c r="AM698" s="6" t="str">
        <v>Divestiture</v>
      </c>
      <c r="AO698" s="6" t="str">
        <v>CANADA - Microsoft Corp agreed to acquire the InRelease business unit of InCycle Software Inc, a Laval-based provider of Application Lifecycle Management (ALM) consulting services. Terms were not disclosed.</v>
      </c>
    </row>
    <row r="699">
      <c r="A699" s="6" t="str">
        <v>38259P</v>
      </c>
      <c r="B699" s="6" t="str">
        <v>United States</v>
      </c>
      <c r="C699" s="6" t="str">
        <v>Google Inc</v>
      </c>
      <c r="D699" s="6" t="str">
        <v>Alphabet Inc</v>
      </c>
      <c r="F699" s="6" t="str">
        <v>Israel</v>
      </c>
      <c r="G699" s="6" t="str">
        <v>Waze Ltd</v>
      </c>
      <c r="H699" s="6" t="str">
        <v>Business Services</v>
      </c>
      <c r="I699" s="6" t="str">
        <v>94678Y</v>
      </c>
      <c r="J699" s="6" t="str">
        <v>Waze Ltd</v>
      </c>
      <c r="K699" s="6" t="str">
        <v>Waze Ltd</v>
      </c>
      <c r="L699" s="7">
        <f>=DATE(2013,6,11)</f>
        <v>41435.99949074074</v>
      </c>
      <c r="M699" s="7">
        <f>=DATE(2013,6,11)</f>
        <v>41435.99949074074</v>
      </c>
      <c r="N699" s="8">
        <v>966</v>
      </c>
      <c r="O699" s="8">
        <v>966</v>
      </c>
      <c r="W699" s="6" t="str">
        <v>Internet Services &amp; Software;Programming Services</v>
      </c>
      <c r="X699" s="6" t="str">
        <v>Other Software (inq. Games);Applications Software(Business;Communication/Network Software;Database Software/Programming</v>
      </c>
      <c r="Y699" s="6" t="str">
        <v>Database Software/Programming;Applications Software(Business;Other Software (inq. Games);Communication/Network Software</v>
      </c>
      <c r="Z699" s="6" t="str">
        <v>Communication/Network Software;Other Software (inq. Games);Database Software/Programming;Applications Software(Business</v>
      </c>
      <c r="AA699" s="6" t="str">
        <v>Internet Services &amp; Software;Telecommunications Equipment;Computer Consulting Services;Programming Services;Primary Business not Hi-Tech</v>
      </c>
      <c r="AB699" s="6" t="str">
        <v>Programming Services;Computer Consulting Services;Primary Business not Hi-Tech;Telecommunications Equipment;Internet Services &amp; Software</v>
      </c>
      <c r="AC699" s="8">
        <v>966</v>
      </c>
      <c r="AD699" s="7">
        <f>=DATE(2013,6,11)</f>
        <v>41435.99949074074</v>
      </c>
      <c r="AH699" s="6" t="str">
        <v>False</v>
      </c>
      <c r="AI699" s="6" t="str">
        <v>2013</v>
      </c>
      <c r="AJ699" s="6" t="str">
        <v>Completed</v>
      </c>
      <c r="AM699" s="6" t="str">
        <v>Rumored Deal</v>
      </c>
      <c r="AO699" s="6" t="str">
        <v>ISRAEL - Google Inc of the US acquired Waze Ltd, a provider of traffic reporting services, for a total consideration of ILS 3.502 bil (USD 966 mil) in cash. Originally, Google was rumored to be planning to acquire Waze. Terms were not disclosed, but according to analyst estimates, the deal was valued at an estimated ILS 4.718 bil (USD 1.3 bil).</v>
      </c>
    </row>
    <row r="700">
      <c r="A700" s="6" t="str">
        <v>037833</v>
      </c>
      <c r="B700" s="6" t="str">
        <v>United States</v>
      </c>
      <c r="C700" s="6" t="str">
        <v>Apple Inc</v>
      </c>
      <c r="D700" s="6" t="str">
        <v>Apple Inc</v>
      </c>
      <c r="F700" s="6" t="str">
        <v>United States</v>
      </c>
      <c r="G700" s="6" t="str">
        <v>Catch.Com</v>
      </c>
      <c r="H700" s="6" t="str">
        <v>Prepackaged Software</v>
      </c>
      <c r="I700" s="6" t="str">
        <v>0L2670</v>
      </c>
      <c r="J700" s="6" t="str">
        <v>Catch.Com</v>
      </c>
      <c r="K700" s="6" t="str">
        <v>Catch.Com</v>
      </c>
      <c r="L700" s="7">
        <f>=DATE(2013,7,1)</f>
        <v>41455.99949074074</v>
      </c>
      <c r="M700" s="7">
        <f>=DATE(2013,7,1)</f>
        <v>41455.99949074074</v>
      </c>
      <c r="W700" s="6" t="str">
        <v>Mainframes &amp; Super Computers;Other Peripherals;Printers;Micro-Computers (PCs);Disk Drives;Portable Computers;Monitors/Terminals;Other Software (inq. Games)</v>
      </c>
      <c r="X700" s="6" t="str">
        <v>Applications Software(Home);Desktop Publishing;Communication/Network Software;Utilities/File Mgmt Software;Internet Services &amp; Software;Other Software (inq. Games);Applications Software(Business</v>
      </c>
      <c r="Y700" s="6" t="str">
        <v>Other Software (inq. Games);Communication/Network Software;Utilities/File Mgmt Software;Desktop Publishing;Applications Software(Business;Applications Software(Home);Internet Services &amp; Software</v>
      </c>
      <c r="Z700" s="6" t="str">
        <v>Desktop Publishing;Internet Services &amp; Software;Communication/Network Software;Other Software (inq. Games);Utilities/File Mgmt Software;Applications Software(Home);Applications Software(Business</v>
      </c>
      <c r="AA700" s="6" t="str">
        <v>Portable Computers;Disk Drives;Other Software (inq. Games);Monitors/Terminals;Other Peripherals;Mainframes &amp; Super Computers;Printers;Micro-Computers (PCs)</v>
      </c>
      <c r="AB700" s="6" t="str">
        <v>Other Software (inq. Games);Other Peripherals;Disk Drives;Monitors/Terminals;Mainframes &amp; Super Computers;Printers;Micro-Computers (PCs);Portable Computers</v>
      </c>
      <c r="AH700" s="6" t="str">
        <v>True</v>
      </c>
      <c r="AI700" s="6" t="str">
        <v>2013</v>
      </c>
      <c r="AJ700" s="6" t="str">
        <v>Completed</v>
      </c>
      <c r="AM700" s="6" t="str">
        <v>Not Applicable</v>
      </c>
      <c r="AO700" s="6" t="str">
        <v>US - Apple Inc acquired Catch.Com, software publisher.</v>
      </c>
    </row>
    <row r="701">
      <c r="A701" s="6" t="str">
        <v>38259P</v>
      </c>
      <c r="B701" s="6" t="str">
        <v>United States</v>
      </c>
      <c r="C701" s="6" t="str">
        <v>Google Inc</v>
      </c>
      <c r="D701" s="6" t="str">
        <v>Alphabet Inc</v>
      </c>
      <c r="F701" s="6" t="str">
        <v>United States</v>
      </c>
      <c r="G701" s="6" t="str">
        <v>Vevo LLC</v>
      </c>
      <c r="H701" s="6" t="str">
        <v>Business Services</v>
      </c>
      <c r="I701" s="6" t="str">
        <v>93287A</v>
      </c>
      <c r="J701" s="6" t="str">
        <v>Vivendi SE</v>
      </c>
      <c r="K701" s="6" t="str">
        <v>Universal Music Group Inc</v>
      </c>
      <c r="L701" s="7">
        <f>=DATE(2013,7,3)</f>
        <v>41457.99949074074</v>
      </c>
      <c r="M701" s="7">
        <f>=DATE(2013,7,3)</f>
        <v>41457.99949074074</v>
      </c>
      <c r="W701" s="6" t="str">
        <v>Programming Services;Internet Services &amp; Software</v>
      </c>
      <c r="X701" s="6" t="str">
        <v>Internet Services &amp; Software</v>
      </c>
      <c r="Y701" s="6" t="str">
        <v>Primary Business not Hi-Tech</v>
      </c>
      <c r="Z701" s="6" t="str">
        <v>Primary Business not Hi-Tech;Internet Services &amp; Software;Other Software (inq. Games)</v>
      </c>
      <c r="AA701" s="6" t="str">
        <v>Computer Consulting Services;Programming Services;Telecommunications Equipment;Primary Business not Hi-Tech;Internet Services &amp; Software</v>
      </c>
      <c r="AB701" s="6" t="str">
        <v>Telecommunications Equipment;Programming Services;Primary Business not Hi-Tech;Computer Consulting Services;Internet Services &amp; Software</v>
      </c>
      <c r="AH701" s="6" t="str">
        <v>True</v>
      </c>
      <c r="AI701" s="6" t="str">
        <v>2013</v>
      </c>
      <c r="AJ701" s="6" t="str">
        <v>Completed</v>
      </c>
      <c r="AM701" s="6" t="str">
        <v>Rumored Deal</v>
      </c>
      <c r="AO701" s="6" t="str">
        <v>US - Google Inc acquired a 7% stake in Vevo LLC, a New-York based provider of video hosting services. Terms were not disclosed but, according to the people familiar with the transaction, the deal was valued at an estimated USD 50 mil. YouTube Inc and Guggenheim Digital Media were named potential bidders. Originally in May 2013, Google was rumored to be planning to acquire an undisclosed minority stake in Vevo.</v>
      </c>
    </row>
    <row r="702">
      <c r="A702" s="6" t="str">
        <v>30303M</v>
      </c>
      <c r="B702" s="6" t="str">
        <v>United States</v>
      </c>
      <c r="C702" s="6" t="str">
        <v>Facebook Inc</v>
      </c>
      <c r="D702" s="6" t="str">
        <v>Facebook Inc</v>
      </c>
      <c r="F702" s="6" t="str">
        <v>United Kingdom</v>
      </c>
      <c r="G702" s="6" t="str">
        <v>Monoidics</v>
      </c>
      <c r="H702" s="6" t="str">
        <v>Prepackaged Software</v>
      </c>
      <c r="I702" s="6" t="str">
        <v>5A0891</v>
      </c>
      <c r="J702" s="6" t="str">
        <v>Monoidics</v>
      </c>
      <c r="K702" s="6" t="str">
        <v>Monoidics</v>
      </c>
      <c r="L702" s="7">
        <f>=DATE(2013,7,18)</f>
        <v>41472.99949074074</v>
      </c>
      <c r="W702" s="6" t="str">
        <v>Internet Services &amp; Software</v>
      </c>
      <c r="X702" s="6" t="str">
        <v>Other Software (inq. Games)</v>
      </c>
      <c r="Y702" s="6" t="str">
        <v>Other Software (inq. Games)</v>
      </c>
      <c r="Z702" s="6" t="str">
        <v>Other Software (inq. Games)</v>
      </c>
      <c r="AA702" s="6" t="str">
        <v>Internet Services &amp; Software</v>
      </c>
      <c r="AB702" s="6" t="str">
        <v>Internet Services &amp; Software</v>
      </c>
      <c r="AH702" s="6" t="str">
        <v>True</v>
      </c>
      <c r="AJ702" s="6" t="str">
        <v>Pending</v>
      </c>
      <c r="AM702" s="6" t="str">
        <v>Financial Acquiror</v>
      </c>
      <c r="AN702" s="8">
        <v>0.006500365645568</v>
      </c>
      <c r="AO702" s="6" t="str">
        <v>UK - Facebook Inc of the US planned to acquire Monoidics a London-based software developer. Terms were not disclosed.</v>
      </c>
    </row>
    <row r="703">
      <c r="A703" s="6" t="str">
        <v>037833</v>
      </c>
      <c r="B703" s="6" t="str">
        <v>United States</v>
      </c>
      <c r="C703" s="6" t="str">
        <v>Apple Inc</v>
      </c>
      <c r="D703" s="6" t="str">
        <v>Apple Inc</v>
      </c>
      <c r="F703" s="6" t="str">
        <v>Canada</v>
      </c>
      <c r="G703" s="6" t="str">
        <v>Locationary Inc</v>
      </c>
      <c r="H703" s="6" t="str">
        <v>Prepackaged Software</v>
      </c>
      <c r="I703" s="6" t="str">
        <v>5A0944</v>
      </c>
      <c r="J703" s="6" t="str">
        <v>Locationary Inc</v>
      </c>
      <c r="K703" s="6" t="str">
        <v>Locationary Inc</v>
      </c>
      <c r="L703" s="7">
        <f>=DATE(2013,7,19)</f>
        <v>41473.99949074074</v>
      </c>
      <c r="M703" s="7">
        <f>=DATE(2013,7,19)</f>
        <v>41473.99949074074</v>
      </c>
      <c r="W703" s="6" t="str">
        <v>Printers;Mainframes &amp; Super Computers;Other Peripherals;Micro-Computers (PCs);Monitors/Terminals;Portable Computers;Other Software (inq. Games);Disk Drives</v>
      </c>
      <c r="X703" s="6" t="str">
        <v>Applications Software(Business</v>
      </c>
      <c r="Y703" s="6" t="str">
        <v>Applications Software(Business</v>
      </c>
      <c r="Z703" s="6" t="str">
        <v>Applications Software(Business</v>
      </c>
      <c r="AA703" s="6" t="str">
        <v>Disk Drives;Monitors/Terminals;Other Software (inq. Games);Printers;Mainframes &amp; Super Computers;Portable Computers;Other Peripherals;Micro-Computers (PCs)</v>
      </c>
      <c r="AB703" s="6" t="str">
        <v>Mainframes &amp; Super Computers;Disk Drives;Portable Computers;Other Software (inq. Games);Monitors/Terminals;Micro-Computers (PCs);Printers;Other Peripherals</v>
      </c>
      <c r="AH703" s="6" t="str">
        <v>False</v>
      </c>
      <c r="AI703" s="6" t="str">
        <v>2013</v>
      </c>
      <c r="AJ703" s="6" t="str">
        <v>Completed</v>
      </c>
      <c r="AM703" s="6" t="str">
        <v>Not Applicable</v>
      </c>
      <c r="AO703" s="6" t="str">
        <v>CANADA - Apple Inc acquired Locationary Inc, a Toronto-based developer of software.</v>
      </c>
    </row>
    <row r="704">
      <c r="A704" s="6" t="str">
        <v>037833</v>
      </c>
      <c r="B704" s="6" t="str">
        <v>United States</v>
      </c>
      <c r="C704" s="6" t="str">
        <v>Apple Inc</v>
      </c>
      <c r="D704" s="6" t="str">
        <v>Apple Inc</v>
      </c>
      <c r="F704" s="6" t="str">
        <v>United States</v>
      </c>
      <c r="G704" s="6" t="str">
        <v>Hopstop.com Inc</v>
      </c>
      <c r="H704" s="6" t="str">
        <v>Business Services</v>
      </c>
      <c r="I704" s="6" t="str">
        <v>5A1147</v>
      </c>
      <c r="J704" s="6" t="str">
        <v>Hopstop.com Inc</v>
      </c>
      <c r="K704" s="6" t="str">
        <v>Hopstop.com Inc</v>
      </c>
      <c r="L704" s="7">
        <f>=DATE(2013,7,20)</f>
        <v>41474.99949074074</v>
      </c>
      <c r="M704" s="7">
        <f>=DATE(2013,7,20)</f>
        <v>41474.99949074074</v>
      </c>
      <c r="W704" s="6" t="str">
        <v>Portable Computers;Disk Drives;Printers;Micro-Computers (PCs);Other Software (inq. Games);Mainframes &amp; Super Computers;Other Peripherals;Monitors/Terminals</v>
      </c>
      <c r="X704" s="6" t="str">
        <v>Computer Consulting Services;Other Software (inq. Games);Data Processing Services;Other Computer Related Svcs</v>
      </c>
      <c r="Y704" s="6" t="str">
        <v>Data Processing Services;Computer Consulting Services;Other Software (inq. Games);Other Computer Related Svcs</v>
      </c>
      <c r="Z704" s="6" t="str">
        <v>Data Processing Services;Other Computer Related Svcs;Other Software (inq. Games);Computer Consulting Services</v>
      </c>
      <c r="AA704" s="6" t="str">
        <v>Mainframes &amp; Super Computers;Other Peripherals;Monitors/Terminals;Micro-Computers (PCs);Printers;Disk Drives;Other Software (inq. Games);Portable Computers</v>
      </c>
      <c r="AB704" s="6" t="str">
        <v>Portable Computers;Monitors/Terminals;Mainframes &amp; Super Computers;Other Peripherals;Micro-Computers (PCs);Other Software (inq. Games);Printers;Disk Drives</v>
      </c>
      <c r="AH704" s="6" t="str">
        <v>True</v>
      </c>
      <c r="AI704" s="6" t="str">
        <v>2013</v>
      </c>
      <c r="AJ704" s="6" t="str">
        <v>Completed</v>
      </c>
      <c r="AM704" s="6" t="str">
        <v>Not Applicable</v>
      </c>
      <c r="AO704" s="6" t="str">
        <v>US - Apple Inc acquired Hopstop.com Inc, a New York-based provider of local transit navigation services. Terms of the deal were not disclosed.</v>
      </c>
    </row>
    <row r="705">
      <c r="A705" s="6" t="str">
        <v>00507V</v>
      </c>
      <c r="B705" s="6" t="str">
        <v>United States</v>
      </c>
      <c r="C705" s="6" t="str">
        <v>Activision Blizzard Inc</v>
      </c>
      <c r="D705" s="6" t="str">
        <v>Vivendi SE</v>
      </c>
      <c r="F705" s="6" t="str">
        <v>United States</v>
      </c>
      <c r="G705" s="6" t="str">
        <v>Activision Blizzard Inc</v>
      </c>
      <c r="H705" s="6" t="str">
        <v>Prepackaged Software</v>
      </c>
      <c r="I705" s="6" t="str">
        <v>00507V</v>
      </c>
      <c r="J705" s="6" t="str">
        <v>Vivendi SE</v>
      </c>
      <c r="K705" s="6" t="str">
        <v>Vivendi SE</v>
      </c>
      <c r="L705" s="7">
        <f>=DATE(2013,7,26)</f>
        <v>41480.99949074074</v>
      </c>
      <c r="M705" s="7">
        <f>=DATE(2013,10,11)</f>
        <v>41557.99949074074</v>
      </c>
      <c r="N705" s="8">
        <v>5834.4</v>
      </c>
      <c r="O705" s="8">
        <v>5834.4</v>
      </c>
      <c r="P705" s="8" t="str">
        <v>10,672.61</v>
      </c>
      <c r="R705" s="8">
        <v>1360</v>
      </c>
      <c r="S705" s="8">
        <v>4984</v>
      </c>
      <c r="T705" s="8">
        <v>-177</v>
      </c>
      <c r="U705" s="8">
        <v>126</v>
      </c>
      <c r="V705" s="8">
        <v>1534</v>
      </c>
      <c r="W705" s="6" t="str">
        <v>Other Computer Systems;Other Software (inq. Games);Operating Systems</v>
      </c>
      <c r="X705" s="6" t="str">
        <v>Other Software (inq. Games);Other Computer Systems;Operating Systems</v>
      </c>
      <c r="Y705" s="6" t="str">
        <v>Primary Business not Hi-Tech;Internet Services &amp; Software;Other Software (inq. Games)</v>
      </c>
      <c r="Z705" s="6" t="str">
        <v>Primary Business not Hi-Tech;Internet Services &amp; Software;Other Software (inq. Games)</v>
      </c>
      <c r="AA705" s="6" t="str">
        <v>Internet Services &amp; Software;Other Software (inq. Games);Primary Business not Hi-Tech</v>
      </c>
      <c r="AB705" s="6" t="str">
        <v>Internet Services &amp; Software;Other Software (inq. Games);Primary Business not Hi-Tech</v>
      </c>
      <c r="AC705" s="8">
        <v>5834.4</v>
      </c>
      <c r="AD705" s="7">
        <f>=DATE(2013,7,26)</f>
        <v>41480.99949074074</v>
      </c>
      <c r="AE705" s="8">
        <v>15198.5691464</v>
      </c>
      <c r="AF705" s="8" t="str">
        <v>10,652.57</v>
      </c>
      <c r="AG705" s="8" t="str">
        <v>10,672.61</v>
      </c>
      <c r="AH705" s="6" t="str">
        <v>True</v>
      </c>
      <c r="AI705" s="6" t="str">
        <v>2013</v>
      </c>
      <c r="AJ705" s="6" t="str">
        <v>Completed</v>
      </c>
      <c r="AK705" s="8">
        <v>15198.5691464</v>
      </c>
      <c r="AM705" s="6" t="str">
        <v>Privately Negotiated Purchase;Repurchase</v>
      </c>
      <c r="AN705" s="8">
        <v>7631</v>
      </c>
      <c r="AO705" s="6" t="str">
        <v>US - On 11 October 2013, the board of Activision Blizzard Inc, a Santa Monica-based developer and wholesaler of interactive software, completed the repurchase of up to 429 mil common shares or about 38.39% of the company's entire share capital, for USD 13.60 per share, or a total value of USD 5.834 bil in cash, from Vivendi SA, in a privately negotiated transaction.</v>
      </c>
    </row>
    <row r="706">
      <c r="A706" s="6" t="str">
        <v>037833</v>
      </c>
      <c r="B706" s="6" t="str">
        <v>United States</v>
      </c>
      <c r="C706" s="6" t="str">
        <v>Apple Inc</v>
      </c>
      <c r="D706" s="6" t="str">
        <v>Apple Inc</v>
      </c>
      <c r="F706" s="6" t="str">
        <v>United States</v>
      </c>
      <c r="G706" s="6" t="str">
        <v>Passif Semiconductor Corp</v>
      </c>
      <c r="H706" s="6" t="str">
        <v>Electronic and Electrical Equipment</v>
      </c>
      <c r="I706" s="6" t="str">
        <v>5A3262</v>
      </c>
      <c r="J706" s="6" t="str">
        <v>Passif Semiconductor Corp</v>
      </c>
      <c r="K706" s="6" t="str">
        <v>Passif Semiconductor Corp</v>
      </c>
      <c r="L706" s="7">
        <f>=DATE(2013,8,1)</f>
        <v>41486.99949074074</v>
      </c>
      <c r="M706" s="7">
        <f>=DATE(2013,8,1)</f>
        <v>41486.99949074074</v>
      </c>
      <c r="W706" s="6" t="str">
        <v>Portable Computers;Mainframes &amp; Super Computers;Other Peripherals;Printers;Disk Drives;Monitors/Terminals;Other Software (inq. Games);Micro-Computers (PCs)</v>
      </c>
      <c r="X706" s="6" t="str">
        <v>Semiconductors</v>
      </c>
      <c r="Y706" s="6" t="str">
        <v>Semiconductors</v>
      </c>
      <c r="Z706" s="6" t="str">
        <v>Semiconductors</v>
      </c>
      <c r="AA706" s="6" t="str">
        <v>Other Software (inq. Games);Micro-Computers (PCs);Printers;Mainframes &amp; Super Computers;Portable Computers;Other Peripherals;Disk Drives;Monitors/Terminals</v>
      </c>
      <c r="AB706" s="6" t="str">
        <v>Portable Computers;Other Peripherals;Mainframes &amp; Super Computers;Disk Drives;Monitors/Terminals;Micro-Computers (PCs);Printers;Other Software (inq. Games)</v>
      </c>
      <c r="AH706" s="6" t="str">
        <v>True</v>
      </c>
      <c r="AI706" s="6" t="str">
        <v>2013</v>
      </c>
      <c r="AJ706" s="6" t="str">
        <v>Completed</v>
      </c>
      <c r="AM706" s="6" t="str">
        <v>Not Applicable</v>
      </c>
      <c r="AO706" s="6" t="str">
        <v>US - Apple Inc acquired Passif Semiconductor Corp, an Oakland-based manufacturer of semiconductors and related device.</v>
      </c>
    </row>
    <row r="707">
      <c r="A707" s="6" t="str">
        <v>30303M</v>
      </c>
      <c r="B707" s="6" t="str">
        <v>United States</v>
      </c>
      <c r="C707" s="6" t="str">
        <v>Facebook Inc</v>
      </c>
      <c r="D707" s="6" t="str">
        <v>Facebook Inc</v>
      </c>
      <c r="F707" s="6" t="str">
        <v>United States</v>
      </c>
      <c r="G707" s="6" t="str">
        <v>Mobile Technologies</v>
      </c>
      <c r="H707" s="6" t="str">
        <v>Prepackaged Software</v>
      </c>
      <c r="I707" s="6" t="str">
        <v>5A4753</v>
      </c>
      <c r="J707" s="6" t="str">
        <v>Mobile Technologies</v>
      </c>
      <c r="K707" s="6" t="str">
        <v>Mobile Technologies</v>
      </c>
      <c r="L707" s="7">
        <f>=DATE(2013,8,12)</f>
        <v>41497.99949074074</v>
      </c>
      <c r="M707" s="7">
        <f>=DATE(2013,9,25)</f>
        <v>41541.99949074074</v>
      </c>
      <c r="W707" s="6" t="str">
        <v>Internet Services &amp; Software</v>
      </c>
      <c r="X707" s="6" t="str">
        <v>Communication/Network Software;Internet Services &amp; Software</v>
      </c>
      <c r="Y707" s="6" t="str">
        <v>Internet Services &amp; Software;Communication/Network Software</v>
      </c>
      <c r="Z707" s="6" t="str">
        <v>Communication/Network Software;Internet Services &amp; Software</v>
      </c>
      <c r="AA707" s="6" t="str">
        <v>Internet Services &amp; Software</v>
      </c>
      <c r="AB707" s="6" t="str">
        <v>Internet Services &amp; Software</v>
      </c>
      <c r="AH707" s="6" t="str">
        <v>False</v>
      </c>
      <c r="AI707" s="6" t="str">
        <v>2013</v>
      </c>
      <c r="AJ707" s="6" t="str">
        <v>Completed</v>
      </c>
      <c r="AM707" s="6" t="str">
        <v>Financial Acquiror</v>
      </c>
      <c r="AO707" s="6" t="str">
        <v>US - Facebook Inc acquired Mobile Technologies, a Pittsburgh-based developer of online applications. Terms were not disclosed.</v>
      </c>
    </row>
    <row r="708">
      <c r="A708" s="6" t="str">
        <v>037833</v>
      </c>
      <c r="B708" s="6" t="str">
        <v>United States</v>
      </c>
      <c r="C708" s="6" t="str">
        <v>Apple Inc</v>
      </c>
      <c r="D708" s="6" t="str">
        <v>Apple Inc</v>
      </c>
      <c r="F708" s="6" t="str">
        <v>United States</v>
      </c>
      <c r="G708" s="6" t="str">
        <v>Matcha Inc</v>
      </c>
      <c r="H708" s="6" t="str">
        <v>Business Services</v>
      </c>
      <c r="I708" s="6" t="str">
        <v>5A5156</v>
      </c>
      <c r="J708" s="6" t="str">
        <v>Matcha Inc</v>
      </c>
      <c r="K708" s="6" t="str">
        <v>Matcha Inc</v>
      </c>
      <c r="L708" s="7">
        <f>=DATE(2013,8,14)</f>
        <v>41499.99949074074</v>
      </c>
      <c r="M708" s="7">
        <f>=DATE(2013,8,14)</f>
        <v>41499.99949074074</v>
      </c>
      <c r="W708" s="6" t="str">
        <v>Micro-Computers (PCs);Mainframes &amp; Super Computers;Other Peripherals;Disk Drives;Other Software (inq. Games);Portable Computers;Monitors/Terminals;Printers</v>
      </c>
      <c r="X708" s="6" t="str">
        <v>Other Computer Related Svcs;Programming Services;Computer Consulting Services</v>
      </c>
      <c r="Y708" s="6" t="str">
        <v>Computer Consulting Services;Other Computer Related Svcs;Programming Services</v>
      </c>
      <c r="Z708" s="6" t="str">
        <v>Computer Consulting Services;Programming Services;Other Computer Related Svcs</v>
      </c>
      <c r="AA708" s="6" t="str">
        <v>Other Software (inq. Games);Portable Computers;Micro-Computers (PCs);Printers;Monitors/Terminals;Disk Drives;Other Peripherals;Mainframes &amp; Super Computers</v>
      </c>
      <c r="AB708" s="6" t="str">
        <v>Mainframes &amp; Super Computers;Printers;Other Software (inq. Games);Micro-Computers (PCs);Disk Drives;Monitors/Terminals;Other Peripherals;Portable Computers</v>
      </c>
      <c r="AH708" s="6" t="str">
        <v>True</v>
      </c>
      <c r="AI708" s="6" t="str">
        <v>2013</v>
      </c>
      <c r="AJ708" s="6" t="str">
        <v>Completed</v>
      </c>
      <c r="AM708" s="6" t="str">
        <v>Not Applicable</v>
      </c>
      <c r="AO708" s="6" t="str">
        <v>US - Apple Inc acquired Matcha Inc, a Mountain View-based provider of application services. Terms were not disclosed.</v>
      </c>
    </row>
    <row r="709">
      <c r="A709" s="6" t="str">
        <v>037833</v>
      </c>
      <c r="B709" s="6" t="str">
        <v>United States</v>
      </c>
      <c r="C709" s="6" t="str">
        <v>Apple Inc</v>
      </c>
      <c r="D709" s="6" t="str">
        <v>Apple Inc</v>
      </c>
      <c r="F709" s="6" t="str">
        <v>United States</v>
      </c>
      <c r="G709" s="6" t="str">
        <v>Embark Inc</v>
      </c>
      <c r="H709" s="6" t="str">
        <v>Prepackaged Software</v>
      </c>
      <c r="I709" s="6" t="str">
        <v>5A6422</v>
      </c>
      <c r="J709" s="6" t="str">
        <v>Embark Inc</v>
      </c>
      <c r="K709" s="6" t="str">
        <v>Embark Inc</v>
      </c>
      <c r="L709" s="7">
        <f>=DATE(2013,8,22)</f>
        <v>41507.99949074074</v>
      </c>
      <c r="M709" s="7">
        <f>=DATE(2013,8,22)</f>
        <v>41507.99949074074</v>
      </c>
      <c r="W709" s="6" t="str">
        <v>Micro-Computers (PCs);Other Software (inq. Games);Mainframes &amp; Super Computers;Disk Drives;Printers;Portable Computers;Other Peripherals;Monitors/Terminals</v>
      </c>
      <c r="X709" s="6" t="str">
        <v>Communication/Network Software;Internet Services &amp; Software</v>
      </c>
      <c r="Y709" s="6" t="str">
        <v>Internet Services &amp; Software;Communication/Network Software</v>
      </c>
      <c r="Z709" s="6" t="str">
        <v>Communication/Network Software;Internet Services &amp; Software</v>
      </c>
      <c r="AA709" s="6" t="str">
        <v>Mainframes &amp; Super Computers;Other Peripherals;Micro-Computers (PCs);Disk Drives;Printers;Monitors/Terminals;Other Software (inq. Games);Portable Computers</v>
      </c>
      <c r="AB709" s="6" t="str">
        <v>Portable Computers;Monitors/Terminals;Micro-Computers (PCs);Other Software (inq. Games);Printers;Disk Drives;Other Peripherals;Mainframes &amp; Super Computers</v>
      </c>
      <c r="AH709" s="6" t="str">
        <v>False</v>
      </c>
      <c r="AI709" s="6" t="str">
        <v>2013</v>
      </c>
      <c r="AJ709" s="6" t="str">
        <v>Completed</v>
      </c>
      <c r="AM709" s="6" t="str">
        <v>Not Applicable</v>
      </c>
      <c r="AO709" s="6" t="str">
        <v>US - Apple Inc acquired Embark Inc, a San Francisco-based developer of mobile applications. Terms were not disclosed.</v>
      </c>
    </row>
    <row r="710">
      <c r="A710" s="6" t="str">
        <v>49012C</v>
      </c>
      <c r="B710" s="6" t="str">
        <v>United States</v>
      </c>
      <c r="C710" s="6" t="str">
        <v>Instagram Inc</v>
      </c>
      <c r="D710" s="6" t="str">
        <v>Facebook Inc</v>
      </c>
      <c r="F710" s="6" t="str">
        <v>United States</v>
      </c>
      <c r="G710" s="6" t="str">
        <v>Midnox Inc</v>
      </c>
      <c r="H710" s="6" t="str">
        <v>Prepackaged Software</v>
      </c>
      <c r="I710" s="6" t="str">
        <v>5A6876</v>
      </c>
      <c r="J710" s="6" t="str">
        <v>Midnox Inc</v>
      </c>
      <c r="K710" s="6" t="str">
        <v>Midnox Inc</v>
      </c>
      <c r="L710" s="7">
        <f>=DATE(2013,8,23)</f>
        <v>41508.99949074074</v>
      </c>
      <c r="M710" s="7">
        <f>=DATE(2013,8,23)</f>
        <v>41508.99949074074</v>
      </c>
      <c r="W710" s="6" t="str">
        <v>Computer Consulting Services;Primary Business not Hi-Tech;Desktop Publishing;Internet Services &amp; Software;Applications Software(Home);Communication/Network Software;Utilities/File Mgmt Software;Applications Software(Business;Other Software (inq. Games);Other Computer Related Svcs;Networking Systems (LAN,WAN)</v>
      </c>
      <c r="X710" s="6" t="str">
        <v>Other Software (inq. Games);Internet Services &amp; Software</v>
      </c>
      <c r="Y710" s="6" t="str">
        <v>Internet Services &amp; Software;Other Software (inq. Games)</v>
      </c>
      <c r="Z710" s="6" t="str">
        <v>Other Software (inq. Games);Internet Services &amp; Software</v>
      </c>
      <c r="AA710" s="6" t="str">
        <v>Internet Services &amp; Software</v>
      </c>
      <c r="AB710" s="6" t="str">
        <v>Internet Services &amp; Software</v>
      </c>
      <c r="AH710" s="6" t="str">
        <v>False</v>
      </c>
      <c r="AI710" s="6" t="str">
        <v>2013</v>
      </c>
      <c r="AJ710" s="6" t="str">
        <v>Completed</v>
      </c>
      <c r="AM710" s="6" t="str">
        <v>Financial Acquiror</v>
      </c>
      <c r="AO710" s="6" t="str">
        <v>US - Instagram Inc, a unit of Facebook Inc, acquired Midnox Inc, a Palo Alto-based developer of video sharing software. Terms were not disclosed.</v>
      </c>
    </row>
    <row r="711">
      <c r="A711" s="6" t="str">
        <v>037833</v>
      </c>
      <c r="B711" s="6" t="str">
        <v>United States</v>
      </c>
      <c r="C711" s="6" t="str">
        <v>Apple Inc</v>
      </c>
      <c r="D711" s="6" t="str">
        <v>Apple Inc</v>
      </c>
      <c r="F711" s="6" t="str">
        <v>Sweden</v>
      </c>
      <c r="G711" s="6" t="str">
        <v>AlgoTrim AB</v>
      </c>
      <c r="H711" s="6" t="str">
        <v>Prepackaged Software</v>
      </c>
      <c r="I711" s="6" t="str">
        <v>5A7569</v>
      </c>
      <c r="J711" s="6" t="str">
        <v>AlgoTrim AB</v>
      </c>
      <c r="K711" s="6" t="str">
        <v>AlgoTrim AB</v>
      </c>
      <c r="L711" s="7">
        <f>=DATE(2013,8,28)</f>
        <v>41513.99949074074</v>
      </c>
      <c r="M711" s="7">
        <f>=DATE(2013,8,28)</f>
        <v>41513.99949074074</v>
      </c>
      <c r="W711" s="6" t="str">
        <v>Other Peripherals;Micro-Computers (PCs);Portable Computers;Other Software (inq. Games);Printers;Mainframes &amp; Super Computers;Disk Drives;Monitors/Terminals</v>
      </c>
      <c r="X711" s="6" t="str">
        <v>Applications Software(Business</v>
      </c>
      <c r="Y711" s="6" t="str">
        <v>Applications Software(Business</v>
      </c>
      <c r="Z711" s="6" t="str">
        <v>Applications Software(Business</v>
      </c>
      <c r="AA711" s="6" t="str">
        <v>Monitors/Terminals;Other Software (inq. Games);Disk Drives;Micro-Computers (PCs);Portable Computers;Printers;Other Peripherals;Mainframes &amp; Super Computers</v>
      </c>
      <c r="AB711" s="6" t="str">
        <v>Mainframes &amp; Super Computers;Portable Computers;Monitors/Terminals;Other Software (inq. Games);Disk Drives;Printers;Micro-Computers (PCs);Other Peripherals</v>
      </c>
      <c r="AH711" s="6" t="str">
        <v>False</v>
      </c>
      <c r="AI711" s="6" t="str">
        <v>2013</v>
      </c>
      <c r="AJ711" s="6" t="str">
        <v>Completed</v>
      </c>
      <c r="AM711" s="6" t="str">
        <v>Not Applicable</v>
      </c>
      <c r="AO711" s="6" t="str">
        <v>SWEDEN - Apple Inc of the US, acquired AlgoTrim AB, a Malmo-based developer of prepackaged software.</v>
      </c>
    </row>
    <row r="712">
      <c r="A712" s="6" t="str">
        <v>38259P</v>
      </c>
      <c r="B712" s="6" t="str">
        <v>United States</v>
      </c>
      <c r="C712" s="6" t="str">
        <v>Google Inc</v>
      </c>
      <c r="D712" s="6" t="str">
        <v>Alphabet Inc</v>
      </c>
      <c r="F712" s="6" t="str">
        <v>United States</v>
      </c>
      <c r="G712" s="6" t="str">
        <v>WIMM Labs Inc</v>
      </c>
      <c r="H712" s="6" t="str">
        <v>Business Services</v>
      </c>
      <c r="I712" s="6" t="str">
        <v>5A8231</v>
      </c>
      <c r="J712" s="6" t="str">
        <v>WIMM Labs Inc</v>
      </c>
      <c r="K712" s="6" t="str">
        <v>WIMM Labs Inc</v>
      </c>
      <c r="L712" s="7">
        <f>=DATE(2013,8,30)</f>
        <v>41515.99949074074</v>
      </c>
      <c r="M712" s="7">
        <f>=DATE(2013,8,30)</f>
        <v>41515.99949074074</v>
      </c>
      <c r="W712" s="6" t="str">
        <v>Programming Services;Internet Services &amp; Software</v>
      </c>
      <c r="X712" s="6" t="str">
        <v>Applications Software(Business;Other Computer Related Svcs;Computer Consulting Services;Programming Services</v>
      </c>
      <c r="Y712" s="6" t="str">
        <v>Other Computer Related Svcs;Applications Software(Business;Programming Services;Computer Consulting Services</v>
      </c>
      <c r="Z712" s="6" t="str">
        <v>Computer Consulting Services;Programming Services;Other Computer Related Svcs;Applications Software(Business</v>
      </c>
      <c r="AA712" s="6" t="str">
        <v>Programming Services;Telecommunications Equipment;Internet Services &amp; Software;Computer Consulting Services;Primary Business not Hi-Tech</v>
      </c>
      <c r="AB712" s="6" t="str">
        <v>Internet Services &amp; Software;Computer Consulting Services;Telecommunications Equipment;Primary Business not Hi-Tech;Programming Services</v>
      </c>
      <c r="AH712" s="6" t="str">
        <v>False</v>
      </c>
      <c r="AI712" s="6" t="str">
        <v>2013</v>
      </c>
      <c r="AJ712" s="6" t="str">
        <v>Completed</v>
      </c>
      <c r="AM712" s="6" t="str">
        <v>Not Applicable</v>
      </c>
      <c r="AO712" s="6" t="str">
        <v>US - Google Inc acquired WIMM Labs Inc, a Los Altos-based provider of application services.</v>
      </c>
    </row>
    <row r="713">
      <c r="A713" s="6" t="str">
        <v>594918</v>
      </c>
      <c r="B713" s="6" t="str">
        <v>United States</v>
      </c>
      <c r="C713" s="6" t="str">
        <v>Microsoft Corp</v>
      </c>
      <c r="D713" s="6" t="str">
        <v>Microsoft Corp</v>
      </c>
      <c r="E713" s="6" t="str">
        <v>Nokita</v>
      </c>
      <c r="F713" s="6" t="str">
        <v>Finland</v>
      </c>
      <c r="G713" s="6" t="str">
        <v>Nokia Oyj-Devices &amp; Services Business</v>
      </c>
      <c r="H713" s="6" t="str">
        <v>Communications Equipment</v>
      </c>
      <c r="I713" s="6" t="str">
        <v>5A8218</v>
      </c>
      <c r="J713" s="6" t="str">
        <v>Nokia Oyj</v>
      </c>
      <c r="K713" s="6" t="str">
        <v>Nokia Oyj</v>
      </c>
      <c r="L713" s="7">
        <f>=DATE(2013,9,3)</f>
        <v>41519.99949074074</v>
      </c>
      <c r="M713" s="7">
        <f>=DATE(2014,4,25)</f>
        <v>41753.99949074074</v>
      </c>
      <c r="N713" s="8">
        <v>4991.04509060261</v>
      </c>
      <c r="O713" s="8">
        <v>4991.04509060261</v>
      </c>
      <c r="W713" s="6" t="str">
        <v>Internet Services &amp; Software;Computer Consulting Services;Operating Systems;Monitors/Terminals;Other Peripherals;Applications Software(Business</v>
      </c>
      <c r="X713" s="6" t="str">
        <v>Other Telecommunications Equip;Internet Services &amp; Software;Communication/Network Software;Telephone Interconnect Equip;Satellite Communications;Other Software (inq. Games)</v>
      </c>
      <c r="Y713" s="6" t="str">
        <v>Telephone Interconnect Equip;Other Telecommunications Equip;Satellite Communications;Other Software (inq. Games);Internet Services &amp; Software;Communication/Network Software</v>
      </c>
      <c r="Z713" s="6" t="str">
        <v>Other Software (inq. Games);Telephone Interconnect Equip;Satellite Communications;Internet Services &amp; Software;Communication/Network Software;Other Telecommunications Equip</v>
      </c>
      <c r="AA713" s="6" t="str">
        <v>Other Peripherals;Applications Software(Business;Monitors/Terminals;Internet Services &amp; Software;Operating Systems;Computer Consulting Services</v>
      </c>
      <c r="AB713" s="6" t="str">
        <v>Computer Consulting Services;Monitors/Terminals;Other Peripherals;Internet Services &amp; Software;Applications Software(Business;Operating Systems</v>
      </c>
      <c r="AC713" s="8">
        <v>4991.04509060261</v>
      </c>
      <c r="AD713" s="7">
        <f>=DATE(2013,9,3)</f>
        <v>41519.99949074074</v>
      </c>
      <c r="AH713" s="6" t="str">
        <v>False</v>
      </c>
      <c r="AI713" s="6" t="str">
        <v>2014</v>
      </c>
      <c r="AJ713" s="6" t="str">
        <v>Completed</v>
      </c>
      <c r="AM713" s="6" t="str">
        <v>Divestiture</v>
      </c>
      <c r="AO713" s="6" t="str">
        <v>FINLAND - Microsoft Corp of the US, acquired devices &amp; services business of Nokia Oyj, an Espoo-based, manufacturer and wholesaler of mobile phones, for an estimated EUR 3.79 bil (USD 4.992 bil) in cash. Subsequently, withdrew its plans to acquire devices &amp; services business of Nokia.</v>
      </c>
    </row>
    <row r="714">
      <c r="A714" s="6" t="str">
        <v>38259P</v>
      </c>
      <c r="B714" s="6" t="str">
        <v>United States</v>
      </c>
      <c r="C714" s="6" t="str">
        <v>Google Inc</v>
      </c>
      <c r="D714" s="6" t="str">
        <v>Alphabet Inc</v>
      </c>
      <c r="F714" s="6" t="str">
        <v>United States</v>
      </c>
      <c r="G714" s="6" t="str">
        <v>Bump Technologies Inc</v>
      </c>
      <c r="H714" s="6" t="str">
        <v>Prepackaged Software</v>
      </c>
      <c r="I714" s="6" t="str">
        <v>6A1283</v>
      </c>
      <c r="J714" s="6" t="str">
        <v>Bump Technologies Inc</v>
      </c>
      <c r="K714" s="6" t="str">
        <v>Bump Technologies Inc</v>
      </c>
      <c r="L714" s="7">
        <f>=DATE(2013,9,16)</f>
        <v>41532.99949074074</v>
      </c>
      <c r="M714" s="7">
        <f>=DATE(2013,9,16)</f>
        <v>41532.99949074074</v>
      </c>
      <c r="W714" s="6" t="str">
        <v>Programming Services;Internet Services &amp; Software</v>
      </c>
      <c r="X714" s="6" t="str">
        <v>Applications Software(Home);Other Software (inq. Games)</v>
      </c>
      <c r="Y714" s="6" t="str">
        <v>Other Software (inq. Games);Applications Software(Home)</v>
      </c>
      <c r="Z714" s="6" t="str">
        <v>Applications Software(Home);Other Software (inq. Games)</v>
      </c>
      <c r="AA714" s="6" t="str">
        <v>Telecommunications Equipment;Programming Services;Computer Consulting Services;Internet Services &amp; Software;Primary Business not Hi-Tech</v>
      </c>
      <c r="AB714" s="6" t="str">
        <v>Telecommunications Equipment;Internet Services &amp; Software;Programming Services;Computer Consulting Services;Primary Business not Hi-Tech</v>
      </c>
      <c r="AH714" s="6" t="str">
        <v>False</v>
      </c>
      <c r="AI714" s="6" t="str">
        <v>2013</v>
      </c>
      <c r="AJ714" s="6" t="str">
        <v>Completed</v>
      </c>
      <c r="AM714" s="6" t="str">
        <v>Not Applicable</v>
      </c>
      <c r="AO714" s="6" t="str">
        <v>US - Google Inc acquired Bump Technologies Inc, a Mountain View-based developer of file sharing software. Terms were not disclosed.</v>
      </c>
    </row>
    <row r="715">
      <c r="A715" s="6" t="str">
        <v>594918</v>
      </c>
      <c r="B715" s="6" t="str">
        <v>United States</v>
      </c>
      <c r="C715" s="6" t="str">
        <v>Microsoft Corp</v>
      </c>
      <c r="D715" s="6" t="str">
        <v>Microsoft Corp</v>
      </c>
      <c r="F715" s="6" t="str">
        <v>United States</v>
      </c>
      <c r="G715" s="6" t="str">
        <v>Microsoft Corp</v>
      </c>
      <c r="H715" s="6" t="str">
        <v>Prepackaged Software</v>
      </c>
      <c r="I715" s="6" t="str">
        <v>594918</v>
      </c>
      <c r="J715" s="6" t="str">
        <v>Microsoft Corp</v>
      </c>
      <c r="K715" s="6" t="str">
        <v>Microsoft Corp</v>
      </c>
      <c r="L715" s="7">
        <f>=DATE(2013,9,17)</f>
        <v>41533.99949074074</v>
      </c>
      <c r="M715" s="7">
        <f>=DATE(2016,12,22)</f>
        <v>42725.99949074074</v>
      </c>
      <c r="N715" s="8">
        <v>40000</v>
      </c>
      <c r="O715" s="8">
        <v>40000</v>
      </c>
      <c r="P715" s="8" t="str">
        <v>314,446.10</v>
      </c>
      <c r="R715" s="8">
        <v>21863</v>
      </c>
      <c r="S715" s="8">
        <v>77849</v>
      </c>
      <c r="T715" s="8">
        <v>-8148</v>
      </c>
      <c r="U715" s="8">
        <v>-23811</v>
      </c>
      <c r="V715" s="8">
        <v>28833</v>
      </c>
      <c r="W715" s="6" t="str">
        <v>Operating Systems;Monitors/Terminals;Computer Consulting Services;Applications Software(Business;Other Peripherals;Internet Services &amp; Software</v>
      </c>
      <c r="X715" s="6" t="str">
        <v>Computer Consulting Services;Monitors/Terminals;Applications Software(Business;Other Peripherals;Operating Systems;Internet Services &amp; Software</v>
      </c>
      <c r="Y715" s="6" t="str">
        <v>Internet Services &amp; Software;Applications Software(Business;Operating Systems;Computer Consulting Services;Monitors/Terminals;Other Peripherals</v>
      </c>
      <c r="Z715" s="6" t="str">
        <v>Computer Consulting Services;Internet Services &amp; Software;Operating Systems;Monitors/Terminals;Other Peripherals;Applications Software(Business</v>
      </c>
      <c r="AA715" s="6" t="str">
        <v>Internet Services &amp; Software;Other Peripherals;Monitors/Terminals;Computer Consulting Services;Applications Software(Business;Operating Systems</v>
      </c>
      <c r="AB715" s="6" t="str">
        <v>Internet Services &amp; Software;Applications Software(Business;Operating Systems;Other Peripherals;Computer Consulting Services;Monitors/Terminals</v>
      </c>
      <c r="AC715" s="8">
        <v>40000</v>
      </c>
      <c r="AD715" s="7">
        <f>=DATE(2013,9,17)</f>
        <v>41533.99949074074</v>
      </c>
      <c r="AF715" s="8" t="str">
        <v>314,446.10</v>
      </c>
      <c r="AG715" s="8" t="str">
        <v>314,446.10</v>
      </c>
      <c r="AH715" s="6" t="str">
        <v>True</v>
      </c>
      <c r="AI715" s="6" t="str">
        <v>2016</v>
      </c>
      <c r="AJ715" s="6" t="str">
        <v>Completed</v>
      </c>
      <c r="AL715" s="8">
        <v>887.059481</v>
      </c>
      <c r="AM715" s="6" t="str">
        <v>Repurchase;Privately Negotiated Purchase;Open Market Purchase</v>
      </c>
      <c r="AN715" s="8">
        <v>17738</v>
      </c>
      <c r="AO715" s="6" t="str">
        <v>US - On 22 December 2016, the board of Microsoft Corp, a Redmond-based developer and wholesaler of computer software, completed the repurchase of up to USD 40 bil of the company's entire share capital in open market or negotiated transactions.</v>
      </c>
    </row>
    <row r="716">
      <c r="A716" s="6" t="str">
        <v>07573T</v>
      </c>
      <c r="B716" s="6" t="str">
        <v>United States</v>
      </c>
      <c r="C716" s="6" t="str">
        <v>Beats Electronics LLC</v>
      </c>
      <c r="D716" s="6" t="str">
        <v>Beats Electronics LLC</v>
      </c>
      <c r="F716" s="6" t="str">
        <v>United States</v>
      </c>
      <c r="G716" s="6" t="str">
        <v>Beats Electronics LLC</v>
      </c>
      <c r="H716" s="6" t="str">
        <v>Electronic and Electrical Equipment</v>
      </c>
      <c r="I716" s="6" t="str">
        <v>07573T</v>
      </c>
      <c r="J716" s="6" t="str">
        <v>Beats Electronics LLC</v>
      </c>
      <c r="K716" s="6" t="str">
        <v>Beats Electronics LLC</v>
      </c>
      <c r="L716" s="7">
        <f>=DATE(2013,9,27)</f>
        <v>41543.99949074074</v>
      </c>
      <c r="N716" s="8">
        <v>265</v>
      </c>
      <c r="O716" s="8">
        <v>265</v>
      </c>
      <c r="W716" s="6" t="str">
        <v>Other Peripherals</v>
      </c>
      <c r="X716" s="6" t="str">
        <v>Other Peripherals</v>
      </c>
      <c r="Y716" s="6" t="str">
        <v>Other Peripherals</v>
      </c>
      <c r="Z716" s="6" t="str">
        <v>Other Peripherals</v>
      </c>
      <c r="AA716" s="6" t="str">
        <v>Other Peripherals</v>
      </c>
      <c r="AB716" s="6" t="str">
        <v>Other Peripherals</v>
      </c>
      <c r="AC716" s="8">
        <v>265</v>
      </c>
      <c r="AD716" s="7">
        <f>=DATE(2013,9,27)</f>
        <v>41543.99949074074</v>
      </c>
      <c r="AH716" s="6" t="str">
        <v>False</v>
      </c>
      <c r="AJ716" s="6" t="str">
        <v>Pending</v>
      </c>
      <c r="AM716" s="6" t="str">
        <v>Repurchase;Privately Negotiated Purchase</v>
      </c>
      <c r="AO716" s="6" t="str">
        <v>US - In September 2013, the board of Beats Electronics LLC, a New York-based manufacturer and wholesaler of headphones, authorized the repurchase of 0.026 mil Class B shares or about 24.84% of the company's stock outstanding, from HTC Corp, for USD 265 mil, in a privately negotiated transaction.</v>
      </c>
    </row>
    <row r="717">
      <c r="A717" s="6" t="str">
        <v>38259P</v>
      </c>
      <c r="B717" s="6" t="str">
        <v>United States</v>
      </c>
      <c r="C717" s="6" t="str">
        <v>Google Inc</v>
      </c>
      <c r="D717" s="6" t="str">
        <v>Alphabet Inc</v>
      </c>
      <c r="F717" s="6" t="str">
        <v>United States</v>
      </c>
      <c r="G717" s="6" t="str">
        <v>Flutter Inc</v>
      </c>
      <c r="H717" s="6" t="str">
        <v>Prepackaged Software</v>
      </c>
      <c r="I717" s="6" t="str">
        <v>6A4815</v>
      </c>
      <c r="J717" s="6" t="str">
        <v>Flutter Inc</v>
      </c>
      <c r="K717" s="6" t="str">
        <v>Flutter Inc</v>
      </c>
      <c r="L717" s="7">
        <f>=DATE(2013,10,2)</f>
        <v>41548.99949074074</v>
      </c>
      <c r="M717" s="7">
        <f>=DATE(2013,10,2)</f>
        <v>41548.99949074074</v>
      </c>
      <c r="W717" s="6" t="str">
        <v>Internet Services &amp; Software;Programming Services</v>
      </c>
      <c r="X717" s="6" t="str">
        <v>Applications Software(Business</v>
      </c>
      <c r="Y717" s="6" t="str">
        <v>Applications Software(Business</v>
      </c>
      <c r="Z717" s="6" t="str">
        <v>Applications Software(Business</v>
      </c>
      <c r="AA717" s="6" t="str">
        <v>Programming Services;Computer Consulting Services;Internet Services &amp; Software;Telecommunications Equipment;Primary Business not Hi-Tech</v>
      </c>
      <c r="AB717" s="6" t="str">
        <v>Computer Consulting Services;Programming Services;Primary Business not Hi-Tech;Telecommunications Equipment;Internet Services &amp; Software</v>
      </c>
      <c r="AH717" s="6" t="str">
        <v>False</v>
      </c>
      <c r="AI717" s="6" t="str">
        <v>2013</v>
      </c>
      <c r="AJ717" s="6" t="str">
        <v>Completed</v>
      </c>
      <c r="AM717" s="6" t="str">
        <v>Not Applicable</v>
      </c>
      <c r="AO717" s="6" t="str">
        <v>US - Google Inc acquired Flutter Inc, a San Francisco-based developer of gesture recognition software. Terms were not disclosed.</v>
      </c>
    </row>
    <row r="718">
      <c r="A718" s="6" t="str">
        <v>38259P</v>
      </c>
      <c r="B718" s="6" t="str">
        <v>United States</v>
      </c>
      <c r="C718" s="6" t="str">
        <v>Google Inc</v>
      </c>
      <c r="D718" s="6" t="str">
        <v>Alphabet Inc</v>
      </c>
      <c r="F718" s="6" t="str">
        <v>United States</v>
      </c>
      <c r="G718" s="6" t="str">
        <v>Bot Square Inc</v>
      </c>
      <c r="H718" s="6" t="str">
        <v>Prepackaged Software</v>
      </c>
      <c r="I718" s="6" t="str">
        <v>8A0518</v>
      </c>
      <c r="J718" s="6" t="str">
        <v>Bot Square Inc</v>
      </c>
      <c r="K718" s="6" t="str">
        <v>Bot Square Inc</v>
      </c>
      <c r="L718" s="7">
        <f>=DATE(2013,10,2)</f>
        <v>41548.99949074074</v>
      </c>
      <c r="M718" s="7">
        <f>=DATE(2013,10,2)</f>
        <v>41548.99949074074</v>
      </c>
      <c r="W718" s="6" t="str">
        <v>Programming Services;Internet Services &amp; Software</v>
      </c>
      <c r="X718" s="6" t="str">
        <v>Internet Services &amp; Software;Communication/Network Software</v>
      </c>
      <c r="Y718" s="6" t="str">
        <v>Communication/Network Software;Internet Services &amp; Software</v>
      </c>
      <c r="Z718" s="6" t="str">
        <v>Internet Services &amp; Software;Communication/Network Software</v>
      </c>
      <c r="AA718" s="6" t="str">
        <v>Internet Services &amp; Software;Programming Services;Computer Consulting Services;Primary Business not Hi-Tech;Telecommunications Equipment</v>
      </c>
      <c r="AB718" s="6" t="str">
        <v>Internet Services &amp; Software;Telecommunications Equipment;Programming Services;Primary Business not Hi-Tech;Computer Consulting Services</v>
      </c>
      <c r="AH718" s="6" t="str">
        <v>False</v>
      </c>
      <c r="AI718" s="6" t="str">
        <v>2013</v>
      </c>
      <c r="AJ718" s="6" t="str">
        <v>Completed</v>
      </c>
      <c r="AM718" s="6" t="str">
        <v>Divestiture</v>
      </c>
      <c r="AO718" s="6" t="str">
        <v>US - Google Inc acquired Bot Square Inc, a Palo Alto-based Internet software developer.</v>
      </c>
    </row>
    <row r="719">
      <c r="A719" s="6" t="str">
        <v>037833</v>
      </c>
      <c r="B719" s="6" t="str">
        <v>United States</v>
      </c>
      <c r="C719" s="6" t="str">
        <v>Apple Inc</v>
      </c>
      <c r="D719" s="6" t="str">
        <v>Apple Inc</v>
      </c>
      <c r="F719" s="6" t="str">
        <v>United States</v>
      </c>
      <c r="G719" s="6" t="str">
        <v>Cue</v>
      </c>
      <c r="H719" s="6" t="str">
        <v>Prepackaged Software</v>
      </c>
      <c r="I719" s="6" t="str">
        <v>6A5017</v>
      </c>
      <c r="J719" s="6" t="str">
        <v>Cue</v>
      </c>
      <c r="K719" s="6" t="str">
        <v>Cue</v>
      </c>
      <c r="L719" s="7">
        <f>=DATE(2013,10,3)</f>
        <v>41549.99949074074</v>
      </c>
      <c r="M719" s="7">
        <f>=DATE(2013,10,3)</f>
        <v>41549.99949074074</v>
      </c>
      <c r="N719" s="8">
        <v>40</v>
      </c>
      <c r="O719" s="8">
        <v>40</v>
      </c>
      <c r="W719" s="6" t="str">
        <v>Other Software (inq. Games);Disk Drives;Printers;Portable Computers;Other Peripherals;Micro-Computers (PCs);Mainframes &amp; Super Computers;Monitors/Terminals</v>
      </c>
      <c r="X719" s="6" t="str">
        <v>Applications Software(Business</v>
      </c>
      <c r="Y719" s="6" t="str">
        <v>Applications Software(Business</v>
      </c>
      <c r="Z719" s="6" t="str">
        <v>Applications Software(Business</v>
      </c>
      <c r="AA719" s="6" t="str">
        <v>Other Peripherals;Portable Computers;Mainframes &amp; Super Computers;Micro-Computers (PCs);Monitors/Terminals;Other Software (inq. Games);Disk Drives;Printers</v>
      </c>
      <c r="AB719" s="6" t="str">
        <v>Disk Drives;Monitors/Terminals;Printers;Other Software (inq. Games);Micro-Computers (PCs);Other Peripherals;Mainframes &amp; Super Computers;Portable Computers</v>
      </c>
      <c r="AC719" s="8">
        <v>40</v>
      </c>
      <c r="AD719" s="7">
        <f>=DATE(2013,10,3)</f>
        <v>41549.99949074074</v>
      </c>
      <c r="AH719" s="6" t="str">
        <v>False</v>
      </c>
      <c r="AI719" s="6" t="str">
        <v>2013</v>
      </c>
      <c r="AJ719" s="6" t="str">
        <v>Completed</v>
      </c>
      <c r="AM719" s="6" t="str">
        <v>Rumored Deal</v>
      </c>
      <c r="AO719" s="6" t="str">
        <v>US - Apple Inc (Apple) acquired Cue, a New York-based provider of online personal assistant services, for an estimated USD 40 mil. Originally, in October 2016, Apple was rumored to be planning to acquire the company. Terms of the deal were not disclosed but, according sources close to the situation, the deal was valued at an estimated USD 35 mil.</v>
      </c>
    </row>
    <row r="720">
      <c r="A720" s="6" t="str">
        <v>67020Y</v>
      </c>
      <c r="B720" s="6" t="str">
        <v>United States</v>
      </c>
      <c r="C720" s="6" t="str">
        <v>Nuance Communications Inc</v>
      </c>
      <c r="D720" s="6" t="str">
        <v>Nuance Communications Inc</v>
      </c>
      <c r="F720" s="6" t="str">
        <v>United States</v>
      </c>
      <c r="G720" s="6" t="str">
        <v>Varolii Corp</v>
      </c>
      <c r="H720" s="6" t="str">
        <v>Prepackaged Software</v>
      </c>
      <c r="I720" s="6" t="str">
        <v>92389V</v>
      </c>
      <c r="J720" s="6" t="str">
        <v>Varolii Corp</v>
      </c>
      <c r="K720" s="6" t="str">
        <v>Varolii Corp</v>
      </c>
      <c r="L720" s="7">
        <f>=DATE(2013,10,10)</f>
        <v>41556.99949074074</v>
      </c>
      <c r="W720" s="6" t="str">
        <v>Programming Services;Computer Consulting Services;Networking Systems (LAN,WAN);Utilities/File Mgmt Software;Communication/Network Software;Applications Software(Business;Other Software (inq. Games);Other Computer Related Svcs;Desktop Publishing;Applications Software(Home);Internet Services &amp; Software;Primary Business not Hi-Tech;Database Software/Programming</v>
      </c>
      <c r="X720" s="6" t="str">
        <v>Applications Software(Business</v>
      </c>
      <c r="Y720" s="6" t="str">
        <v>Applications Software(Business</v>
      </c>
      <c r="Z720" s="6" t="str">
        <v>Applications Software(Business</v>
      </c>
      <c r="AA720" s="6" t="str">
        <v>Computer Consulting Services;Networking Systems (LAN,WAN);Database Software/Programming;Applications Software(Business;Programming Services;Utilities/File Mgmt Software;Primary Business not Hi-Tech;Internet Services &amp; Software;Applications Software(Home);Other Software (inq. Games);Communication/Network Software;Desktop Publishing;Other Computer Related Svcs</v>
      </c>
      <c r="AB720" s="6" t="str">
        <v>Database Software/Programming;Primary Business not Hi-Tech;Internet Services &amp; Software;Applications Software(Home);Programming Services;Computer Consulting Services;Applications Software(Business;Communication/Network Software;Desktop Publishing;Utilities/File Mgmt Software;Other Computer Related Svcs;Networking Systems (LAN,WAN);Other Software (inq. Games)</v>
      </c>
      <c r="AH720" s="6" t="str">
        <v>False</v>
      </c>
      <c r="AJ720" s="6" t="str">
        <v>Pending</v>
      </c>
      <c r="AM720" s="6" t="str">
        <v>Financial Acquiror</v>
      </c>
      <c r="AO720" s="6" t="str">
        <v>US - Nuance Communications Inc agreed to acquire Varolii Corp, a Seattle-based developer of customer interaction management software.</v>
      </c>
    </row>
    <row r="721">
      <c r="A721" s="6" t="str">
        <v>30303M</v>
      </c>
      <c r="B721" s="6" t="str">
        <v>United States</v>
      </c>
      <c r="C721" s="6" t="str">
        <v>Facebook Inc</v>
      </c>
      <c r="D721" s="6" t="str">
        <v>Facebook Inc</v>
      </c>
      <c r="F721" s="6" t="str">
        <v>United States</v>
      </c>
      <c r="G721" s="6" t="str">
        <v>Onavo Inc</v>
      </c>
      <c r="H721" s="6" t="str">
        <v>Prepackaged Software</v>
      </c>
      <c r="I721" s="6" t="str">
        <v>6A6631</v>
      </c>
      <c r="J721" s="6" t="str">
        <v>Onavo Inc</v>
      </c>
      <c r="K721" s="6" t="str">
        <v>Onavo Inc</v>
      </c>
      <c r="L721" s="7">
        <f>=DATE(2013,10,14)</f>
        <v>41560.99949074074</v>
      </c>
      <c r="M721" s="7">
        <f>=DATE(2013,10,14)</f>
        <v>41560.99949074074</v>
      </c>
      <c r="N721" s="8">
        <v>200</v>
      </c>
      <c r="O721" s="8">
        <v>200</v>
      </c>
      <c r="W721" s="6" t="str">
        <v>Internet Services &amp; Software</v>
      </c>
      <c r="X721" s="6" t="str">
        <v>Communication/Network Software;Internet Services &amp; Software</v>
      </c>
      <c r="Y721" s="6" t="str">
        <v>Internet Services &amp; Software;Communication/Network Software</v>
      </c>
      <c r="Z721" s="6" t="str">
        <v>Internet Services &amp; Software;Communication/Network Software</v>
      </c>
      <c r="AA721" s="6" t="str">
        <v>Internet Services &amp; Software</v>
      </c>
      <c r="AB721" s="6" t="str">
        <v>Internet Services &amp; Software</v>
      </c>
      <c r="AC721" s="8">
        <v>200</v>
      </c>
      <c r="AD721" s="7">
        <f>=DATE(2014,1,14)</f>
        <v>41652.99949074074</v>
      </c>
      <c r="AH721" s="6" t="str">
        <v>False</v>
      </c>
      <c r="AI721" s="6" t="str">
        <v>2013</v>
      </c>
      <c r="AJ721" s="6" t="str">
        <v>Completed</v>
      </c>
      <c r="AM721" s="6" t="str">
        <v>Financial Acquiror</v>
      </c>
      <c r="AO721" s="6" t="str">
        <v>US - Facebook Inc acquired Onavo Inc, a Palo Alto-based developer of mobile applications, for an estimated USD 200 mil.</v>
      </c>
    </row>
    <row r="722">
      <c r="A722" s="6" t="str">
        <v>38259P</v>
      </c>
      <c r="B722" s="6" t="str">
        <v>United States</v>
      </c>
      <c r="C722" s="6" t="str">
        <v>Google Inc</v>
      </c>
      <c r="D722" s="6" t="str">
        <v>Alphabet Inc</v>
      </c>
      <c r="F722" s="6" t="str">
        <v>France</v>
      </c>
      <c r="G722" s="6" t="str">
        <v>FlexyCore</v>
      </c>
      <c r="H722" s="6" t="str">
        <v>Prepackaged Software</v>
      </c>
      <c r="I722" s="6" t="str">
        <v>6A8109</v>
      </c>
      <c r="J722" s="6" t="str">
        <v>FlexyCore</v>
      </c>
      <c r="K722" s="6" t="str">
        <v>FlexyCore</v>
      </c>
      <c r="L722" s="7">
        <f>=DATE(2013,10,22)</f>
        <v>41568.99949074074</v>
      </c>
      <c r="M722" s="7">
        <f>=DATE(2013,10,22)</f>
        <v>41568.99949074074</v>
      </c>
      <c r="W722" s="6" t="str">
        <v>Programming Services;Internet Services &amp; Software</v>
      </c>
      <c r="X722" s="6" t="str">
        <v>Other Software (inq. Games)</v>
      </c>
      <c r="Y722" s="6" t="str">
        <v>Other Software (inq. Games)</v>
      </c>
      <c r="Z722" s="6" t="str">
        <v>Other Software (inq. Games)</v>
      </c>
      <c r="AA722" s="6" t="str">
        <v>Telecommunications Equipment;Internet Services &amp; Software;Primary Business not Hi-Tech;Programming Services;Computer Consulting Services</v>
      </c>
      <c r="AB722" s="6" t="str">
        <v>Programming Services;Computer Consulting Services;Internet Services &amp; Software;Telecommunications Equipment;Primary Business not Hi-Tech</v>
      </c>
      <c r="AH722" s="6" t="str">
        <v>False</v>
      </c>
      <c r="AI722" s="6" t="str">
        <v>2013</v>
      </c>
      <c r="AJ722" s="6" t="str">
        <v>Completed</v>
      </c>
      <c r="AM722" s="6" t="str">
        <v>Not Applicable</v>
      </c>
      <c r="AO722" s="6" t="str">
        <v>FRANCE - Google Inc of the US acquired FlexyCore, a developer of software. Terms of the transaction were not disclosed, but according to sources close to the situation, deal had an estimated value of EUR 17 mil (USD 23.426 mil).</v>
      </c>
    </row>
    <row r="723">
      <c r="A723" s="6" t="str">
        <v>594918</v>
      </c>
      <c r="B723" s="6" t="str">
        <v>United States</v>
      </c>
      <c r="C723" s="6" t="str">
        <v>Microsoft Corp</v>
      </c>
      <c r="D723" s="6" t="str">
        <v>Microsoft Corp</v>
      </c>
      <c r="F723" s="6" t="str">
        <v>United States</v>
      </c>
      <c r="G723" s="6" t="str">
        <v>Apiphany Inc</v>
      </c>
      <c r="H723" s="6" t="str">
        <v>Prepackaged Software</v>
      </c>
      <c r="I723" s="6" t="str">
        <v>6A8345</v>
      </c>
      <c r="J723" s="6" t="str">
        <v>Apiphany Inc</v>
      </c>
      <c r="K723" s="6" t="str">
        <v>Apiphany Inc</v>
      </c>
      <c r="L723" s="7">
        <f>=DATE(2013,10,24)</f>
        <v>41570.99949074074</v>
      </c>
      <c r="M723" s="7">
        <f>=DATE(2013,10,24)</f>
        <v>41570.99949074074</v>
      </c>
      <c r="W723" s="6" t="str">
        <v>Applications Software(Business;Other Peripherals;Monitors/Terminals;Computer Consulting Services;Internet Services &amp; Software;Operating Systems</v>
      </c>
      <c r="X723" s="6" t="str">
        <v>Other Software (inq. Games)</v>
      </c>
      <c r="Y723" s="6" t="str">
        <v>Other Software (inq. Games)</v>
      </c>
      <c r="Z723" s="6" t="str">
        <v>Other Software (inq. Games)</v>
      </c>
      <c r="AA723" s="6" t="str">
        <v>Monitors/Terminals;Other Peripherals;Computer Consulting Services;Applications Software(Business;Operating Systems;Internet Services &amp; Software</v>
      </c>
      <c r="AB723" s="6" t="str">
        <v>Monitors/Terminals;Other Peripherals;Operating Systems;Computer Consulting Services;Internet Services &amp; Software;Applications Software(Business</v>
      </c>
      <c r="AH723" s="6" t="str">
        <v>False</v>
      </c>
      <c r="AI723" s="6" t="str">
        <v>2013</v>
      </c>
      <c r="AJ723" s="6" t="str">
        <v>Completed</v>
      </c>
      <c r="AM723" s="6" t="str">
        <v>Not Applicable</v>
      </c>
      <c r="AO723" s="6" t="str">
        <v>US - Microsoft Corp acquired Apiphany Inc, a Washington-based developer of API delivery platform, and management services. Terms of the deal were not disclosed.</v>
      </c>
    </row>
    <row r="724">
      <c r="A724" s="6" t="str">
        <v>30303M</v>
      </c>
      <c r="B724" s="6" t="str">
        <v>United States</v>
      </c>
      <c r="C724" s="6" t="str">
        <v>Facebook Inc</v>
      </c>
      <c r="D724" s="6" t="str">
        <v>Facebook Inc</v>
      </c>
      <c r="F724" s="6" t="str">
        <v>United States</v>
      </c>
      <c r="G724" s="6" t="str">
        <v>Snapchat Inc</v>
      </c>
      <c r="H724" s="6" t="str">
        <v>Prepackaged Software</v>
      </c>
      <c r="I724" s="6" t="str">
        <v>7A2488</v>
      </c>
      <c r="J724" s="6" t="str">
        <v>Snapchat Inc</v>
      </c>
      <c r="K724" s="6" t="str">
        <v>Snapchat Inc</v>
      </c>
      <c r="L724" s="7">
        <f>=DATE(2013,11,13)</f>
        <v>41590.99949074074</v>
      </c>
      <c r="W724" s="6" t="str">
        <v>Internet Services &amp; Software</v>
      </c>
      <c r="X724" s="6" t="str">
        <v>Applications Software(Business</v>
      </c>
      <c r="Y724" s="6" t="str">
        <v>Applications Software(Business</v>
      </c>
      <c r="Z724" s="6" t="str">
        <v>Applications Software(Business</v>
      </c>
      <c r="AA724" s="6" t="str">
        <v>Internet Services &amp; Software</v>
      </c>
      <c r="AB724" s="6" t="str">
        <v>Internet Services &amp; Software</v>
      </c>
      <c r="AH724" s="6" t="str">
        <v>False</v>
      </c>
      <c r="AJ724" s="6" t="str">
        <v>Dismissed Rumor</v>
      </c>
      <c r="AM724" s="6" t="str">
        <v>Rumored Deal;Financial Acquiror</v>
      </c>
      <c r="AO724" s="6" t="str">
        <v>US - Facebook Inc was rumored to be planning to acquire Snapchat Inc, a Pacific Palisades-based developer of photo messaging applications software. Terms of the deal were not disclosed but, according to sources close to the situation, the deal was valued at an estimated USD 3 bil. The Current status of this deal is unknown.</v>
      </c>
    </row>
    <row r="725">
      <c r="A725" s="6" t="str">
        <v>037833</v>
      </c>
      <c r="B725" s="6" t="str">
        <v>United States</v>
      </c>
      <c r="C725" s="6" t="str">
        <v>Apple Inc</v>
      </c>
      <c r="D725" s="6" t="str">
        <v>Apple Inc</v>
      </c>
      <c r="F725" s="6" t="str">
        <v>Israel</v>
      </c>
      <c r="G725" s="6" t="str">
        <v>PrimeSense Ltd</v>
      </c>
      <c r="H725" s="6" t="str">
        <v>Business Services</v>
      </c>
      <c r="I725" s="6" t="str">
        <v>76607C</v>
      </c>
      <c r="J725" s="6" t="str">
        <v>PrimeSense Ltd</v>
      </c>
      <c r="K725" s="6" t="str">
        <v>PrimeSense Ltd</v>
      </c>
      <c r="L725" s="7">
        <f>=DATE(2013,11,25)</f>
        <v>41602.99949074074</v>
      </c>
      <c r="M725" s="7">
        <f>=DATE(2013,11,25)</f>
        <v>41602.99949074074</v>
      </c>
      <c r="W725" s="6" t="str">
        <v>Printers;Other Peripherals;Mainframes &amp; Super Computers;Other Software (inq. Games);Portable Computers;Disk Drives;Micro-Computers (PCs);Monitors/Terminals</v>
      </c>
      <c r="X725" s="6" t="str">
        <v>Data Processing Services;Other Computer Related Svcs;Other Software (inq. Games);Computer Consulting Services</v>
      </c>
      <c r="Y725" s="6" t="str">
        <v>Computer Consulting Services;Other Computer Related Svcs;Data Processing Services;Other Software (inq. Games)</v>
      </c>
      <c r="Z725" s="6" t="str">
        <v>Computer Consulting Services;Other Computer Related Svcs;Data Processing Services;Other Software (inq. Games)</v>
      </c>
      <c r="AA725" s="6" t="str">
        <v>Disk Drives;Mainframes &amp; Super Computers;Monitors/Terminals;Printers;Micro-Computers (PCs);Other Software (inq. Games);Other Peripherals;Portable Computers</v>
      </c>
      <c r="AB725" s="6" t="str">
        <v>Disk Drives;Other Software (inq. Games);Other Peripherals;Micro-Computers (PCs);Printers;Mainframes &amp; Super Computers;Monitors/Terminals;Portable Computers</v>
      </c>
      <c r="AH725" s="6" t="str">
        <v>True</v>
      </c>
      <c r="AI725" s="6" t="str">
        <v>2013</v>
      </c>
      <c r="AJ725" s="6" t="str">
        <v>Completed</v>
      </c>
      <c r="AM725" s="6" t="str">
        <v>Rumored Deal</v>
      </c>
      <c r="AO725" s="6" t="str">
        <v>ISRAEL - Apple Inc of the US acquired PrimeSense Ltd, a Tel Aviv-based provider of information technology services. Terms were not disclosed, but according to analyst estimates, the deal was valued at an estimated ILS 1.239 bil (USD 350 mil). Originally, Apple was rumored to be planning to acquire PrimeSense at an estimated ILS 995.457 mil (USD 280 mil).</v>
      </c>
    </row>
    <row r="726">
      <c r="A726" s="6" t="str">
        <v>037833</v>
      </c>
      <c r="B726" s="6" t="str">
        <v>United States</v>
      </c>
      <c r="C726" s="6" t="str">
        <v>Apple Inc</v>
      </c>
      <c r="D726" s="6" t="str">
        <v>Apple Inc</v>
      </c>
      <c r="F726" s="6" t="str">
        <v>United States</v>
      </c>
      <c r="G726" s="6" t="str">
        <v>Topsy Labs Inc</v>
      </c>
      <c r="H726" s="6" t="str">
        <v>Business Services</v>
      </c>
      <c r="I726" s="6" t="str">
        <v>7A5601</v>
      </c>
      <c r="J726" s="6" t="str">
        <v>Topsy Labs Inc</v>
      </c>
      <c r="K726" s="6" t="str">
        <v>Topsy Labs Inc</v>
      </c>
      <c r="L726" s="7">
        <f>=DATE(2013,12,2)</f>
        <v>41609.99949074074</v>
      </c>
      <c r="M726" s="7">
        <f>=DATE(2013,12,2)</f>
        <v>41609.99949074074</v>
      </c>
      <c r="W726" s="6" t="str">
        <v>Disk Drives;Portable Computers;Other Peripherals;Monitors/Terminals;Printers;Other Software (inq. Games);Micro-Computers (PCs);Mainframes &amp; Super Computers</v>
      </c>
      <c r="X726" s="6" t="str">
        <v>Data Processing Services</v>
      </c>
      <c r="Y726" s="6" t="str">
        <v>Data Processing Services</v>
      </c>
      <c r="Z726" s="6" t="str">
        <v>Data Processing Services</v>
      </c>
      <c r="AA726" s="6" t="str">
        <v>Disk Drives;Other Software (inq. Games);Mainframes &amp; Super Computers;Micro-Computers (PCs);Portable Computers;Monitors/Terminals;Printers;Other Peripherals</v>
      </c>
      <c r="AB726" s="6" t="str">
        <v>Other Software (inq. Games);Other Peripherals;Disk Drives;Mainframes &amp; Super Computers;Printers;Micro-Computers (PCs);Monitors/Terminals;Portable Computers</v>
      </c>
      <c r="AH726" s="6" t="str">
        <v>True</v>
      </c>
      <c r="AI726" s="6" t="str">
        <v>2013</v>
      </c>
      <c r="AJ726" s="6" t="str">
        <v>Completed</v>
      </c>
      <c r="AM726" s="6" t="str">
        <v>Not Applicable</v>
      </c>
      <c r="AO726" s="6" t="str">
        <v>US - Apple Inc acquired Topsy Labs Inc, a San Francisco-based provider of data analysis and measurement services. Terms were not disclosed, but according to the people familiar with the transaction, the deal was valued an estimated USD 200 mil.</v>
      </c>
    </row>
    <row r="727">
      <c r="A727" s="6" t="str">
        <v>38259P</v>
      </c>
      <c r="B727" s="6" t="str">
        <v>United States</v>
      </c>
      <c r="C727" s="6" t="str">
        <v>Google Inc</v>
      </c>
      <c r="D727" s="6" t="str">
        <v>Alphabet Inc</v>
      </c>
      <c r="F727" s="6" t="str">
        <v>United States</v>
      </c>
      <c r="G727" s="6" t="str">
        <v>Meka Robotics LLC</v>
      </c>
      <c r="H727" s="6" t="str">
        <v>Prepackaged Software</v>
      </c>
      <c r="I727" s="6" t="str">
        <v>8C6959</v>
      </c>
      <c r="J727" s="6" t="str">
        <v>Meka Robotics LLC</v>
      </c>
      <c r="K727" s="6" t="str">
        <v>Meka Robotics LLC</v>
      </c>
      <c r="L727" s="7">
        <f>=DATE(2013,12,4)</f>
        <v>41611.99949074074</v>
      </c>
      <c r="M727" s="7">
        <f>=DATE(2013,12,4)</f>
        <v>41611.99949074074</v>
      </c>
      <c r="W727" s="6" t="str">
        <v>Programming Services;Internet Services &amp; Software</v>
      </c>
      <c r="X727" s="6" t="str">
        <v>Communication/Network Software;Applications Software(Business</v>
      </c>
      <c r="Y727" s="6" t="str">
        <v>Applications Software(Business;Communication/Network Software</v>
      </c>
      <c r="Z727" s="6" t="str">
        <v>Applications Software(Business;Communication/Network Software</v>
      </c>
      <c r="AA727" s="6" t="str">
        <v>Internet Services &amp; Software;Telecommunications Equipment;Computer Consulting Services;Primary Business not Hi-Tech;Programming Services</v>
      </c>
      <c r="AB727" s="6" t="str">
        <v>Programming Services;Telecommunications Equipment;Internet Services &amp; Software;Computer Consulting Services;Primary Business not Hi-Tech</v>
      </c>
      <c r="AH727" s="6" t="str">
        <v>False</v>
      </c>
      <c r="AI727" s="6" t="str">
        <v>2013</v>
      </c>
      <c r="AJ727" s="6" t="str">
        <v>Completed</v>
      </c>
      <c r="AM727" s="6" t="str">
        <v>Not Applicable</v>
      </c>
      <c r="AO727" s="6" t="str">
        <v>US - Google Inc acquired Meka Robotics LLC, a San Francisco-based developer of robotics hardware and software.</v>
      </c>
    </row>
    <row r="728">
      <c r="A728" s="6" t="str">
        <v>30303M</v>
      </c>
      <c r="B728" s="6" t="str">
        <v>United States</v>
      </c>
      <c r="C728" s="6" t="str">
        <v>Facebook Inc</v>
      </c>
      <c r="D728" s="6" t="str">
        <v>Facebook Inc</v>
      </c>
      <c r="F728" s="6" t="str">
        <v>United States</v>
      </c>
      <c r="G728" s="6" t="str">
        <v>SportStream</v>
      </c>
      <c r="H728" s="6" t="str">
        <v>Business Services</v>
      </c>
      <c r="I728" s="6" t="str">
        <v>7A9163</v>
      </c>
      <c r="J728" s="6" t="str">
        <v>SportStream</v>
      </c>
      <c r="K728" s="6" t="str">
        <v>SportStream</v>
      </c>
      <c r="L728" s="7">
        <f>=DATE(2013,12,17)</f>
        <v>41624.99949074074</v>
      </c>
      <c r="M728" s="7">
        <f>=DATE(2013,12,17)</f>
        <v>41624.99949074074</v>
      </c>
      <c r="W728" s="6" t="str">
        <v>Internet Services &amp; Software</v>
      </c>
      <c r="X728" s="6" t="str">
        <v>Internet Services &amp; Software;Networking Systems (LAN,WAN)</v>
      </c>
      <c r="Y728" s="6" t="str">
        <v>Internet Services &amp; Software;Networking Systems (LAN,WAN)</v>
      </c>
      <c r="Z728" s="6" t="str">
        <v>Networking Systems (LAN,WAN);Internet Services &amp; Software</v>
      </c>
      <c r="AA728" s="6" t="str">
        <v>Internet Services &amp; Software</v>
      </c>
      <c r="AB728" s="6" t="str">
        <v>Internet Services &amp; Software</v>
      </c>
      <c r="AH728" s="6" t="str">
        <v>False</v>
      </c>
      <c r="AI728" s="6" t="str">
        <v>2013</v>
      </c>
      <c r="AJ728" s="6" t="str">
        <v>Completed</v>
      </c>
      <c r="AM728" s="6" t="str">
        <v>Financial Acquiror</v>
      </c>
      <c r="AO728" s="6" t="str">
        <v>US - Facebook Inc acquired SportStream, a San Francisco-based provider of sports data aggregation, filter, and display services. Terms were not disclosed.</v>
      </c>
    </row>
    <row r="729">
      <c r="A729" s="6" t="str">
        <v>023135</v>
      </c>
      <c r="B729" s="6" t="str">
        <v>United States</v>
      </c>
      <c r="C729" s="6" t="str">
        <v>Amazon.com Inc</v>
      </c>
      <c r="D729" s="6" t="str">
        <v>Amazon.com Inc</v>
      </c>
      <c r="F729" s="6" t="str">
        <v>United States</v>
      </c>
      <c r="G729" s="6" t="str">
        <v>GoPago Inc-Mobile Payment Technology Assets</v>
      </c>
      <c r="H729" s="6" t="str">
        <v>Prepackaged Software</v>
      </c>
      <c r="I729" s="6" t="str">
        <v>8C0362</v>
      </c>
      <c r="J729" s="6" t="str">
        <v>GoPago Inc</v>
      </c>
      <c r="K729" s="6" t="str">
        <v>GoPago Inc</v>
      </c>
      <c r="L729" s="7">
        <f>=DATE(2013,12,21)</f>
        <v>41628.99949074074</v>
      </c>
      <c r="M729" s="7">
        <f>=DATE(2013,12,21)</f>
        <v>41628.99949074074</v>
      </c>
      <c r="W729" s="6" t="str">
        <v>Primary Business not Hi-Tech</v>
      </c>
      <c r="X729" s="6" t="str">
        <v>Applications Software(Business</v>
      </c>
      <c r="Y729" s="6" t="str">
        <v>Applications Software(Business</v>
      </c>
      <c r="Z729" s="6" t="str">
        <v>Applications Software(Business</v>
      </c>
      <c r="AA729" s="6" t="str">
        <v>Primary Business not Hi-Tech</v>
      </c>
      <c r="AB729" s="6" t="str">
        <v>Primary Business not Hi-Tech</v>
      </c>
      <c r="AH729" s="6" t="str">
        <v>True</v>
      </c>
      <c r="AI729" s="6" t="str">
        <v>2013</v>
      </c>
      <c r="AJ729" s="6" t="str">
        <v>Completed</v>
      </c>
      <c r="AM729" s="6" t="str">
        <v>Rumored Deal</v>
      </c>
      <c r="AO729" s="6" t="str">
        <v>US - Amazon.com Inc (Amazon) acquired the mobile payment technology assets of GoPago Inc (GoPago), a San Francisco-based provider of cloud-based commerce services. Originally, Amazon was rumored to be planning to acquire GoPago.</v>
      </c>
    </row>
    <row r="730">
      <c r="A730" s="6" t="str">
        <v>037833</v>
      </c>
      <c r="B730" s="6" t="str">
        <v>United States</v>
      </c>
      <c r="C730" s="6" t="str">
        <v>Apple Inc</v>
      </c>
      <c r="D730" s="6" t="str">
        <v>Apple Inc</v>
      </c>
      <c r="F730" s="6" t="str">
        <v>United States</v>
      </c>
      <c r="G730" s="6" t="str">
        <v>Broadmap</v>
      </c>
      <c r="H730" s="6" t="str">
        <v>Prepackaged Software</v>
      </c>
      <c r="I730" s="6" t="str">
        <v>0L2674</v>
      </c>
      <c r="J730" s="6" t="str">
        <v>Broadmap</v>
      </c>
      <c r="K730" s="6" t="str">
        <v>Broadmap</v>
      </c>
      <c r="L730" s="7">
        <f>=DATE(2013,12,23)</f>
        <v>41630.99949074074</v>
      </c>
      <c r="M730" s="7">
        <f>=DATE(2013,12,23)</f>
        <v>41630.99949074074</v>
      </c>
      <c r="W730" s="6" t="str">
        <v>Printers;Other Software (inq. Games);Micro-Computers (PCs);Monitors/Terminals;Mainframes &amp; Super Computers;Disk Drives;Other Peripherals;Portable Computers</v>
      </c>
      <c r="X730" s="6" t="str">
        <v>Communication/Network Software;Applications Software(Home);Applications Software(Business;Desktop Publishing;Other Software (inq. Games);Internet Services &amp; Software;Utilities/File Mgmt Software</v>
      </c>
      <c r="Y730" s="6" t="str">
        <v>Applications Software(Home);Desktop Publishing;Other Software (inq. Games);Utilities/File Mgmt Software;Communication/Network Software;Internet Services &amp; Software;Applications Software(Business</v>
      </c>
      <c r="Z730" s="6" t="str">
        <v>Applications Software(Home);Other Software (inq. Games);Internet Services &amp; Software;Applications Software(Business;Desktop Publishing;Utilities/File Mgmt Software;Communication/Network Software</v>
      </c>
      <c r="AA730" s="6" t="str">
        <v>Mainframes &amp; Super Computers;Micro-Computers (PCs);Other Peripherals;Disk Drives;Printers;Monitors/Terminals;Portable Computers;Other Software (inq. Games)</v>
      </c>
      <c r="AB730" s="6" t="str">
        <v>Other Peripherals;Disk Drives;Monitors/Terminals;Other Software (inq. Games);Micro-Computers (PCs);Mainframes &amp; Super Computers;Printers;Portable Computers</v>
      </c>
      <c r="AH730" s="6" t="str">
        <v>True</v>
      </c>
      <c r="AI730" s="6" t="str">
        <v>2013</v>
      </c>
      <c r="AJ730" s="6" t="str">
        <v>Completed</v>
      </c>
      <c r="AM730" s="6" t="str">
        <v>Not Applicable</v>
      </c>
      <c r="AO730" s="6" t="str">
        <v>US - Apple Inc acquired Broadmap, a Lebanon-based software publisher.</v>
      </c>
    </row>
    <row r="731">
      <c r="A731" s="6" t="str">
        <v>037833</v>
      </c>
      <c r="B731" s="6" t="str">
        <v>United States</v>
      </c>
      <c r="C731" s="6" t="str">
        <v>Apple Inc</v>
      </c>
      <c r="D731" s="6" t="str">
        <v>Apple Inc</v>
      </c>
      <c r="F731" s="6" t="str">
        <v>United States</v>
      </c>
      <c r="G731" s="6" t="str">
        <v>SnappyLabs</v>
      </c>
      <c r="H731" s="6" t="str">
        <v>Prepackaged Software</v>
      </c>
      <c r="I731" s="6" t="str">
        <v>8A2655</v>
      </c>
      <c r="J731" s="6" t="str">
        <v>SnappyLabs</v>
      </c>
      <c r="K731" s="6" t="str">
        <v>SnappyLabs</v>
      </c>
      <c r="L731" s="7">
        <f>=DATE(2014,1,4)</f>
        <v>41642.99949074074</v>
      </c>
      <c r="M731" s="7">
        <f>=DATE(2014,1,4)</f>
        <v>41642.99949074074</v>
      </c>
      <c r="W731" s="6" t="str">
        <v>Other Peripherals;Disk Drives;Portable Computers;Other Software (inq. Games);Micro-Computers (PCs);Monitors/Terminals;Printers;Mainframes &amp; Super Computers</v>
      </c>
      <c r="X731" s="6" t="str">
        <v>Applications Software(Business;Communication/Network Software;Applications Software(Home)</v>
      </c>
      <c r="Y731" s="6" t="str">
        <v>Applications Software(Home);Applications Software(Business;Communication/Network Software</v>
      </c>
      <c r="Z731" s="6" t="str">
        <v>Applications Software(Business;Applications Software(Home);Communication/Network Software</v>
      </c>
      <c r="AA731" s="6" t="str">
        <v>Mainframes &amp; Super Computers;Other Software (inq. Games);Disk Drives;Micro-Computers (PCs);Portable Computers;Monitors/Terminals;Other Peripherals;Printers</v>
      </c>
      <c r="AB731" s="6" t="str">
        <v>Printers;Other Peripherals;Monitors/Terminals;Micro-Computers (PCs);Disk Drives;Portable Computers;Other Software (inq. Games);Mainframes &amp; Super Computers</v>
      </c>
      <c r="AH731" s="6" t="str">
        <v>False</v>
      </c>
      <c r="AI731" s="6" t="str">
        <v>2014</v>
      </c>
      <c r="AJ731" s="6" t="str">
        <v>Completed</v>
      </c>
      <c r="AM731" s="6" t="str">
        <v>Not Applicable</v>
      </c>
      <c r="AO731" s="6" t="str">
        <v>US - Apple Inc acquired SnappyLabs, a developer of mobile application software. Terms were not disclosed.</v>
      </c>
    </row>
    <row r="732">
      <c r="A732" s="6" t="str">
        <v>594918</v>
      </c>
      <c r="B732" s="6" t="str">
        <v>United States</v>
      </c>
      <c r="C732" s="6" t="str">
        <v>Microsoft Corp</v>
      </c>
      <c r="D732" s="6" t="str">
        <v>Microsoft Corp</v>
      </c>
      <c r="F732" s="6" t="str">
        <v>United States</v>
      </c>
      <c r="G732" s="6" t="str">
        <v>Parature Inc</v>
      </c>
      <c r="H732" s="6" t="str">
        <v>Prepackaged Software</v>
      </c>
      <c r="I732" s="6" t="str">
        <v>69856J</v>
      </c>
      <c r="J732" s="6" t="str">
        <v>Parature Inc</v>
      </c>
      <c r="K732" s="6" t="str">
        <v>Parature Inc</v>
      </c>
      <c r="L732" s="7">
        <f>=DATE(2014,1,7)</f>
        <v>41645.99949074074</v>
      </c>
      <c r="W732" s="6" t="str">
        <v>Monitors/Terminals;Operating Systems;Applications Software(Business;Computer Consulting Services;Internet Services &amp; Software;Other Peripherals</v>
      </c>
      <c r="X732" s="6" t="str">
        <v>Internet Services &amp; Software;Communication/Network Software</v>
      </c>
      <c r="Y732" s="6" t="str">
        <v>Internet Services &amp; Software;Communication/Network Software</v>
      </c>
      <c r="Z732" s="6" t="str">
        <v>Internet Services &amp; Software;Communication/Network Software</v>
      </c>
      <c r="AA732" s="6" t="str">
        <v>Applications Software(Business;Internet Services &amp; Software;Operating Systems;Monitors/Terminals;Computer Consulting Services;Other Peripherals</v>
      </c>
      <c r="AB732" s="6" t="str">
        <v>Operating Systems;Applications Software(Business;Computer Consulting Services;Other Peripherals;Internet Services &amp; Software;Monitors/Terminals</v>
      </c>
      <c r="AH732" s="6" t="str">
        <v>True</v>
      </c>
      <c r="AJ732" s="6" t="str">
        <v>Pending</v>
      </c>
      <c r="AM732" s="6" t="str">
        <v>Rumored Deal</v>
      </c>
      <c r="AO732" s="6" t="str">
        <v>US - Microsoft Corp (Microsoft) definitively agreed to acquire Parature Inc (Parature), a Herndon-based developer of web-based social and customer service software. Terms were not disclosed. Originally, in 6 January 2014, Microsoft was rumored to be planning to acquire Parature.</v>
      </c>
    </row>
    <row r="733">
      <c r="A733" s="6" t="str">
        <v>30303M</v>
      </c>
      <c r="B733" s="6" t="str">
        <v>United States</v>
      </c>
      <c r="C733" s="6" t="str">
        <v>Facebook Inc</v>
      </c>
      <c r="D733" s="6" t="str">
        <v>Facebook Inc</v>
      </c>
      <c r="F733" s="6" t="str">
        <v>India</v>
      </c>
      <c r="G733" s="6" t="str">
        <v>Little Eye Software Labs Pvt Ltd</v>
      </c>
      <c r="H733" s="6" t="str">
        <v>Business Services</v>
      </c>
      <c r="I733" s="6" t="str">
        <v>8A0061</v>
      </c>
      <c r="J733" s="6" t="str">
        <v>Little Eye Software Labs Pvt Ltd</v>
      </c>
      <c r="K733" s="6" t="str">
        <v>Little Eye Software Labs Pvt Ltd</v>
      </c>
      <c r="L733" s="7">
        <f>=DATE(2014,1,8)</f>
        <v>41646.99949074074</v>
      </c>
      <c r="M733" s="7">
        <f>=DATE(2014,1,8)</f>
        <v>41646.99949074074</v>
      </c>
      <c r="W733" s="6" t="str">
        <v>Internet Services &amp; Software</v>
      </c>
      <c r="X733" s="6" t="str">
        <v>Data Processing Services;Other Software (inq. Games);Other Computer Related Svcs;Computer Consulting Services</v>
      </c>
      <c r="Y733" s="6" t="str">
        <v>Other Software (inq. Games);Other Computer Related Svcs;Computer Consulting Services;Data Processing Services</v>
      </c>
      <c r="Z733" s="6" t="str">
        <v>Data Processing Services;Other Computer Related Svcs;Other Software (inq. Games);Computer Consulting Services</v>
      </c>
      <c r="AA733" s="6" t="str">
        <v>Internet Services &amp; Software</v>
      </c>
      <c r="AB733" s="6" t="str">
        <v>Internet Services &amp; Software</v>
      </c>
      <c r="AD733" s="7">
        <f>=DATE(2014,1,8)</f>
        <v>41646.99949074074</v>
      </c>
      <c r="AH733" s="6" t="str">
        <v>True</v>
      </c>
      <c r="AI733" s="6" t="str">
        <v>2014</v>
      </c>
      <c r="AJ733" s="6" t="str">
        <v>Completed</v>
      </c>
      <c r="AM733" s="6" t="str">
        <v>Financial Acquiror;Rumored Deal</v>
      </c>
      <c r="AO733" s="6" t="str">
        <v>INDIA - Facebook Inc (Facebook) of the US acquired Little Eye Software Labs Pvt Ltd (Little Eye), a Bangalore-based developer of software tool. Terms were not disclosed, but, according to sources close to the situation, the deal was valued at an estimated INR 932.256 mil (USD 15 mil). Originally, Facebook was rumored to acquire Little Eye.</v>
      </c>
    </row>
    <row r="734">
      <c r="A734" s="6" t="str">
        <v>37657R</v>
      </c>
      <c r="B734" s="6" t="str">
        <v>United States</v>
      </c>
      <c r="C734" s="6" t="str">
        <v>GitHub Inc</v>
      </c>
      <c r="D734" s="6" t="str">
        <v>GitHub Inc</v>
      </c>
      <c r="F734" s="6" t="str">
        <v>United States</v>
      </c>
      <c r="G734" s="6" t="str">
        <v>Easel Inc</v>
      </c>
      <c r="H734" s="6" t="str">
        <v>Business Services</v>
      </c>
      <c r="I734" s="6" t="str">
        <v>9A2331</v>
      </c>
      <c r="J734" s="6" t="str">
        <v>Easel Inc</v>
      </c>
      <c r="K734" s="6" t="str">
        <v>Easel Inc</v>
      </c>
      <c r="L734" s="7">
        <f>=DATE(2014,1,9)</f>
        <v>41647.99949074074</v>
      </c>
      <c r="M734" s="7">
        <f>=DATE(2014,1,9)</f>
        <v>41647.99949074074</v>
      </c>
      <c r="W734" s="6" t="str">
        <v>Internet Services &amp; Software</v>
      </c>
      <c r="X734" s="6" t="str">
        <v>Internet Services &amp; Software</v>
      </c>
      <c r="Y734" s="6" t="str">
        <v>Internet Services &amp; Software</v>
      </c>
      <c r="Z734" s="6" t="str">
        <v>Internet Services &amp; Software</v>
      </c>
      <c r="AA734" s="6" t="str">
        <v>Internet Services &amp; Software</v>
      </c>
      <c r="AB734" s="6" t="str">
        <v>Internet Services &amp; Software</v>
      </c>
      <c r="AH734" s="6" t="str">
        <v>False</v>
      </c>
      <c r="AI734" s="6" t="str">
        <v>2014</v>
      </c>
      <c r="AJ734" s="6" t="str">
        <v>Completed</v>
      </c>
      <c r="AM734" s="6" t="str">
        <v>Not Applicable</v>
      </c>
      <c r="AO734" s="6" t="str">
        <v>US - Github Inc acquired Easel Inc, a San Francisco-based provider of software development services.</v>
      </c>
    </row>
    <row r="735">
      <c r="A735" s="6" t="str">
        <v>38259P</v>
      </c>
      <c r="B735" s="6" t="str">
        <v>United States</v>
      </c>
      <c r="C735" s="6" t="str">
        <v>Google Inc</v>
      </c>
      <c r="D735" s="6" t="str">
        <v>Alphabet Inc</v>
      </c>
      <c r="F735" s="6" t="str">
        <v>United States</v>
      </c>
      <c r="G735" s="6" t="str">
        <v>Nest Labs Inc</v>
      </c>
      <c r="H735" s="6" t="str">
        <v>Measuring, Medical, Photo Equipment; Clocks</v>
      </c>
      <c r="I735" s="6" t="str">
        <v>3A7443</v>
      </c>
      <c r="J735" s="6" t="str">
        <v>Nest Labs Inc</v>
      </c>
      <c r="K735" s="6" t="str">
        <v>Nest Labs Inc</v>
      </c>
      <c r="L735" s="7">
        <f>=DATE(2014,1,13)</f>
        <v>41651.99949074074</v>
      </c>
      <c r="M735" s="7">
        <f>=DATE(2014,2,7)</f>
        <v>41676.99949074074</v>
      </c>
      <c r="N735" s="8">
        <v>3200</v>
      </c>
      <c r="O735" s="8">
        <v>3200</v>
      </c>
      <c r="W735" s="6" t="str">
        <v>Programming Services;Internet Services &amp; Software</v>
      </c>
      <c r="X735" s="6" t="str">
        <v>Process Control Systems</v>
      </c>
      <c r="Y735" s="6" t="str">
        <v>Process Control Systems</v>
      </c>
      <c r="Z735" s="6" t="str">
        <v>Process Control Systems</v>
      </c>
      <c r="AA735" s="6" t="str">
        <v>Primary Business not Hi-Tech;Internet Services &amp; Software;Programming Services;Telecommunications Equipment;Computer Consulting Services</v>
      </c>
      <c r="AB735" s="6" t="str">
        <v>Programming Services;Computer Consulting Services;Internet Services &amp; Software;Telecommunications Equipment;Primary Business not Hi-Tech</v>
      </c>
      <c r="AC735" s="8">
        <v>3200</v>
      </c>
      <c r="AD735" s="7">
        <f>=DATE(2014,1,13)</f>
        <v>41651.99949074074</v>
      </c>
      <c r="AF735" s="8" t="str">
        <v>3,636.36</v>
      </c>
      <c r="AG735" s="8" t="str">
        <v>3,636.36</v>
      </c>
      <c r="AH735" s="6" t="str">
        <v>False</v>
      </c>
      <c r="AI735" s="6" t="str">
        <v>2014</v>
      </c>
      <c r="AJ735" s="6" t="str">
        <v>Completed</v>
      </c>
      <c r="AM735" s="6" t="str">
        <v>Financial Acquiror</v>
      </c>
      <c r="AO735" s="6" t="str">
        <v>US - Google Inc acquired the remaining 88% interest, which it did not already own, in Nest Labs Inc, a Palo Alto-based manufacturer of home hardware, for USD 3.2 bil in cash.</v>
      </c>
    </row>
    <row r="736">
      <c r="A736" s="6" t="str">
        <v>30303M</v>
      </c>
      <c r="B736" s="6" t="str">
        <v>United States</v>
      </c>
      <c r="C736" s="6" t="str">
        <v>Facebook Inc</v>
      </c>
      <c r="D736" s="6" t="str">
        <v>Facebook Inc</v>
      </c>
      <c r="F736" s="6" t="str">
        <v>United States</v>
      </c>
      <c r="G736" s="6" t="str">
        <v>Branch Media Inc</v>
      </c>
      <c r="H736" s="6" t="str">
        <v>Prepackaged Software</v>
      </c>
      <c r="I736" s="6" t="str">
        <v>8A4134</v>
      </c>
      <c r="J736" s="6" t="str">
        <v>Branch Media Inc</v>
      </c>
      <c r="K736" s="6" t="str">
        <v>Branch Media Inc</v>
      </c>
      <c r="L736" s="7">
        <f>=DATE(2014,1,13)</f>
        <v>41651.99949074074</v>
      </c>
      <c r="M736" s="7">
        <f>=DATE(2014,1,13)</f>
        <v>41651.99949074074</v>
      </c>
      <c r="W736" s="6" t="str">
        <v>Internet Services &amp; Software</v>
      </c>
      <c r="X736" s="6" t="str">
        <v>Applications Software(Business</v>
      </c>
      <c r="Y736" s="6" t="str">
        <v>Applications Software(Business</v>
      </c>
      <c r="Z736" s="6" t="str">
        <v>Applications Software(Business</v>
      </c>
      <c r="AA736" s="6" t="str">
        <v>Internet Services &amp; Software</v>
      </c>
      <c r="AB736" s="6" t="str">
        <v>Internet Services &amp; Software</v>
      </c>
      <c r="AH736" s="6" t="str">
        <v>False</v>
      </c>
      <c r="AI736" s="6" t="str">
        <v>2014</v>
      </c>
      <c r="AJ736" s="6" t="str">
        <v>Completed</v>
      </c>
      <c r="AM736" s="6" t="str">
        <v>Financial Acquiror</v>
      </c>
      <c r="AO736" s="6" t="str">
        <v>US - Facebook Inc acquired Branch Media Inc, a New York-based developer of social network software. Terms were not disclosed but, according to sources close to the situation, the deal was valued at an estimated USD 15 mil.</v>
      </c>
    </row>
    <row r="737">
      <c r="A737" s="6" t="str">
        <v>38259P</v>
      </c>
      <c r="B737" s="6" t="str">
        <v>United States</v>
      </c>
      <c r="C737" s="6" t="str">
        <v>Google Inc</v>
      </c>
      <c r="D737" s="6" t="str">
        <v>Alphabet Inc</v>
      </c>
      <c r="F737" s="6" t="str">
        <v>United States</v>
      </c>
      <c r="G737" s="6" t="str">
        <v>Impermium Corp</v>
      </c>
      <c r="H737" s="6" t="str">
        <v>Prepackaged Software</v>
      </c>
      <c r="I737" s="6" t="str">
        <v>8A4823</v>
      </c>
      <c r="J737" s="6" t="str">
        <v>Impermium Corp</v>
      </c>
      <c r="K737" s="6" t="str">
        <v>Impermium Corp</v>
      </c>
      <c r="L737" s="7">
        <f>=DATE(2014,1,15)</f>
        <v>41653.99949074074</v>
      </c>
      <c r="M737" s="7">
        <f>=DATE(2014,1,15)</f>
        <v>41653.99949074074</v>
      </c>
      <c r="W737" s="6" t="str">
        <v>Programming Services;Internet Services &amp; Software</v>
      </c>
      <c r="X737" s="6" t="str">
        <v>Applications Software(Business</v>
      </c>
      <c r="Y737" s="6" t="str">
        <v>Applications Software(Business</v>
      </c>
      <c r="Z737" s="6" t="str">
        <v>Applications Software(Business</v>
      </c>
      <c r="AA737" s="6" t="str">
        <v>Telecommunications Equipment;Programming Services;Computer Consulting Services;Internet Services &amp; Software;Primary Business not Hi-Tech</v>
      </c>
      <c r="AB737" s="6" t="str">
        <v>Telecommunications Equipment;Internet Services &amp; Software;Primary Business not Hi-Tech;Programming Services;Computer Consulting Services</v>
      </c>
      <c r="AH737" s="6" t="str">
        <v>False</v>
      </c>
      <c r="AI737" s="6" t="str">
        <v>2014</v>
      </c>
      <c r="AJ737" s="6" t="str">
        <v>Completed</v>
      </c>
      <c r="AM737" s="6" t="str">
        <v>Financial Acquiror</v>
      </c>
      <c r="AO737" s="6" t="str">
        <v>US - Google Inc acquired Impermium Corp, a Redwood-based developer of SaaS application software. Terms of the deal were not disclosed.</v>
      </c>
    </row>
    <row r="738">
      <c r="A738" s="6" t="str">
        <v>38259P</v>
      </c>
      <c r="B738" s="6" t="str">
        <v>United States</v>
      </c>
      <c r="C738" s="6" t="str">
        <v>Google Inc</v>
      </c>
      <c r="D738" s="6" t="str">
        <v>Alphabet Inc</v>
      </c>
      <c r="F738" s="6" t="str">
        <v>United Kingdom</v>
      </c>
      <c r="G738" s="6" t="str">
        <v>Deepmind Technologies Ltd</v>
      </c>
      <c r="H738" s="6" t="str">
        <v>Business Services</v>
      </c>
      <c r="I738" s="6" t="str">
        <v>8A8706</v>
      </c>
      <c r="J738" s="6" t="str">
        <v>Deepmind Technologies Ltd</v>
      </c>
      <c r="K738" s="6" t="str">
        <v>Deepmind Technologies Ltd</v>
      </c>
      <c r="L738" s="7">
        <f>=DATE(2014,1,27)</f>
        <v>41665.99949074074</v>
      </c>
      <c r="M738" s="7">
        <f>=DATE(2014,12,31)</f>
        <v>42003.99949074074</v>
      </c>
      <c r="N738" s="8">
        <v>560.049782202863</v>
      </c>
      <c r="O738" s="8">
        <v>560.049782202863</v>
      </c>
      <c r="R738" s="8">
        <v>-10.8607473386202</v>
      </c>
      <c r="W738" s="6" t="str">
        <v>Programming Services;Internet Services &amp; Software</v>
      </c>
      <c r="X738" s="6" t="str">
        <v>Computer Consulting Services;Data Processing Services</v>
      </c>
      <c r="Y738" s="6" t="str">
        <v>Computer Consulting Services;Data Processing Services</v>
      </c>
      <c r="Z738" s="6" t="str">
        <v>Data Processing Services;Computer Consulting Services</v>
      </c>
      <c r="AA738" s="6" t="str">
        <v>Primary Business not Hi-Tech;Internet Services &amp; Software;Computer Consulting Services;Programming Services;Telecommunications Equipment</v>
      </c>
      <c r="AB738" s="6" t="str">
        <v>Programming Services;Internet Services &amp; Software;Telecommunications Equipment;Primary Business not Hi-Tech;Computer Consulting Services</v>
      </c>
      <c r="AC738" s="8">
        <v>560.049782202863</v>
      </c>
      <c r="AD738" s="7">
        <f>=DATE(2014,12,31)</f>
        <v>42003.99949074074</v>
      </c>
      <c r="AH738" s="6" t="str">
        <v>True</v>
      </c>
      <c r="AI738" s="6" t="str">
        <v>2014</v>
      </c>
      <c r="AJ738" s="6" t="str">
        <v>Completed</v>
      </c>
      <c r="AM738" s="6" t="str">
        <v>Financial Acquiror;Rumored Deal</v>
      </c>
      <c r="AO738" s="6" t="str">
        <v>UK - Google Inc of the US, a unit of Alphabet Inc, acquired Deepmind Technologies Ltd, a London-based provider of data processing and hosting services, for an estimated GBP 360 mil (USD 560.124 mil) in cash.</v>
      </c>
    </row>
    <row r="739">
      <c r="A739" s="6" t="str">
        <v>037833</v>
      </c>
      <c r="B739" s="6" t="str">
        <v>United States</v>
      </c>
      <c r="C739" s="6" t="str">
        <v>Apple Inc</v>
      </c>
      <c r="D739" s="6" t="str">
        <v>Apple Inc</v>
      </c>
      <c r="F739" s="6" t="str">
        <v>United States</v>
      </c>
      <c r="G739" s="6" t="str">
        <v>Apple Inc</v>
      </c>
      <c r="H739" s="6" t="str">
        <v>Computer and Office Equipment</v>
      </c>
      <c r="I739" s="6" t="str">
        <v>037833</v>
      </c>
      <c r="J739" s="6" t="str">
        <v>Apple Inc</v>
      </c>
      <c r="K739" s="6" t="str">
        <v>Apple Inc</v>
      </c>
      <c r="L739" s="7">
        <f>=DATE(2014,1,31)</f>
        <v>41669.99949074074</v>
      </c>
      <c r="M739" s="7">
        <f>=DATE(2014,12,31)</f>
        <v>42003.99949074074</v>
      </c>
      <c r="N739" s="8">
        <v>12000</v>
      </c>
      <c r="O739" s="8">
        <v>12000</v>
      </c>
      <c r="P739" s="8" t="str">
        <v>55,982.64</v>
      </c>
      <c r="R739" s="8">
        <v>37031</v>
      </c>
      <c r="S739" s="8">
        <v>173992</v>
      </c>
      <c r="T739" s="8">
        <v>-19631</v>
      </c>
      <c r="U739" s="8">
        <v>-35356</v>
      </c>
      <c r="V739" s="8">
        <v>55299</v>
      </c>
      <c r="W739" s="6" t="str">
        <v>Disk Drives;Monitors/Terminals;Micro-Computers (PCs);Other Software (inq. Games);Printers;Mainframes &amp; Super Computers;Portable Computers;Other Peripherals</v>
      </c>
      <c r="X739" s="6" t="str">
        <v>Printers;Other Software (inq. Games);Mainframes &amp; Super Computers;Other Peripherals;Portable Computers;Monitors/Terminals;Disk Drives;Micro-Computers (PCs)</v>
      </c>
      <c r="Y739" s="6" t="str">
        <v>Disk Drives;Printers;Other Software (inq. Games);Other Peripherals;Portable Computers;Mainframes &amp; Super Computers;Micro-Computers (PCs);Monitors/Terminals</v>
      </c>
      <c r="Z739" s="6" t="str">
        <v>Disk Drives;Printers;Portable Computers;Other Software (inq. Games);Mainframes &amp; Super Computers;Micro-Computers (PCs);Other Peripherals;Monitors/Terminals</v>
      </c>
      <c r="AA739" s="6" t="str">
        <v>Portable Computers;Monitors/Terminals;Other Peripherals;Printers;Micro-Computers (PCs);Disk Drives;Mainframes &amp; Super Computers;Other Software (inq. Games)</v>
      </c>
      <c r="AB739" s="6" t="str">
        <v>Mainframes &amp; Super Computers;Monitors/Terminals;Disk Drives;Portable Computers;Other Peripherals;Other Software (inq. Games);Printers;Micro-Computers (PCs)</v>
      </c>
      <c r="AC739" s="8">
        <v>12000</v>
      </c>
      <c r="AD739" s="7">
        <f>=DATE(2014,1,31)</f>
        <v>41669.99949074074</v>
      </c>
      <c r="AF739" s="8" t="str">
        <v>55,982.64</v>
      </c>
      <c r="AG739" s="8" t="str">
        <v>55,982.64</v>
      </c>
      <c r="AH739" s="6" t="str">
        <v>True</v>
      </c>
      <c r="AI739" s="6" t="str">
        <v>2014</v>
      </c>
      <c r="AJ739" s="6" t="str">
        <v>Completed</v>
      </c>
      <c r="AL739" s="8">
        <v>134.247</v>
      </c>
      <c r="AM739" s="6" t="str">
        <v>Repurchase;Open Market Purchase</v>
      </c>
      <c r="AN739" s="8">
        <v>6127</v>
      </c>
      <c r="AO739" s="6" t="str">
        <v>US - On January 2014, the board of Apple Inc, a Cupertino-based manufacturer and wholesaler of mobile communication and media devices, completed the repurchase of USD 12 bil of the company's entire share capital, in an accelerated buyback transaction.</v>
      </c>
    </row>
    <row r="740">
      <c r="A740" s="6" t="str">
        <v>594918</v>
      </c>
      <c r="B740" s="6" t="str">
        <v>United States</v>
      </c>
      <c r="C740" s="6" t="str">
        <v>Microsoft Corp</v>
      </c>
      <c r="D740" s="6" t="str">
        <v>Microsoft Corp</v>
      </c>
      <c r="F740" s="6" t="str">
        <v>United States</v>
      </c>
      <c r="G740" s="6" t="str">
        <v>Foursquare Labs Inc</v>
      </c>
      <c r="H740" s="6" t="str">
        <v>Prepackaged Software</v>
      </c>
      <c r="I740" s="6" t="str">
        <v>5A7852</v>
      </c>
      <c r="J740" s="6" t="str">
        <v>Foursquare Labs Inc</v>
      </c>
      <c r="K740" s="6" t="str">
        <v>Foursquare Labs Inc</v>
      </c>
      <c r="L740" s="7">
        <f>=DATE(2014,2,4)</f>
        <v>41673.99949074074</v>
      </c>
      <c r="M740" s="7">
        <f>=DATE(2014,2,4)</f>
        <v>41673.99949074074</v>
      </c>
      <c r="N740" s="8">
        <v>15</v>
      </c>
      <c r="O740" s="8">
        <v>15</v>
      </c>
      <c r="W740" s="6" t="str">
        <v>Computer Consulting Services;Applications Software(Business;Internet Services &amp; Software;Other Peripherals;Operating Systems;Monitors/Terminals</v>
      </c>
      <c r="X740" s="6" t="str">
        <v>Other Software (inq. Games)</v>
      </c>
      <c r="Y740" s="6" t="str">
        <v>Other Software (inq. Games)</v>
      </c>
      <c r="Z740" s="6" t="str">
        <v>Other Software (inq. Games)</v>
      </c>
      <c r="AA740" s="6" t="str">
        <v>Internet Services &amp; Software;Applications Software(Business;Monitors/Terminals;Operating Systems;Computer Consulting Services;Other Peripherals</v>
      </c>
      <c r="AB740" s="6" t="str">
        <v>Applications Software(Business;Monitors/Terminals;Operating Systems;Internet Services &amp; Software;Computer Consulting Services;Other Peripherals</v>
      </c>
      <c r="AC740" s="8">
        <v>15</v>
      </c>
      <c r="AD740" s="7">
        <f>=DATE(2014,2,4)</f>
        <v>41673.99949074074</v>
      </c>
      <c r="AH740" s="6" t="str">
        <v>False</v>
      </c>
      <c r="AI740" s="6" t="str">
        <v>2014</v>
      </c>
      <c r="AJ740" s="6" t="str">
        <v>Completed</v>
      </c>
      <c r="AM740" s="6" t="str">
        <v>Rumored Deal;Privately Negotiated Purchase</v>
      </c>
      <c r="AO740" s="6" t="str">
        <v>US - Microsoft Corp acquired an undisclosed stake in Foursquare Labs Inc, a New York-based developer of mobile applications software, for USD 15 mil. Originally, Microsoft was rumored to be planning to acquire an undisclosed minority stake in Foursquare Labs.</v>
      </c>
    </row>
    <row r="741">
      <c r="A741" s="6" t="str">
        <v>023135</v>
      </c>
      <c r="B741" s="6" t="str">
        <v>United States</v>
      </c>
      <c r="C741" s="6" t="str">
        <v>Amazon.com Inc</v>
      </c>
      <c r="D741" s="6" t="str">
        <v>Amazon.com Inc</v>
      </c>
      <c r="F741" s="6" t="str">
        <v>United States</v>
      </c>
      <c r="G741" s="6" t="str">
        <v>Double Helix Games LLC</v>
      </c>
      <c r="H741" s="6" t="str">
        <v>Prepackaged Software</v>
      </c>
      <c r="I741" s="6" t="str">
        <v>8A8341</v>
      </c>
      <c r="J741" s="6" t="str">
        <v>Double Helix Games LLC</v>
      </c>
      <c r="K741" s="6" t="str">
        <v>Double Helix Games LLC</v>
      </c>
      <c r="L741" s="7">
        <f>=DATE(2014,2,5)</f>
        <v>41674.99949074074</v>
      </c>
      <c r="M741" s="7">
        <f>=DATE(2014,2,5)</f>
        <v>41674.99949074074</v>
      </c>
      <c r="W741" s="6" t="str">
        <v>Primary Business not Hi-Tech</v>
      </c>
      <c r="X741" s="6" t="str">
        <v>Other Software (inq. Games)</v>
      </c>
      <c r="Y741" s="6" t="str">
        <v>Other Software (inq. Games)</v>
      </c>
      <c r="Z741" s="6" t="str">
        <v>Other Software (inq. Games)</v>
      </c>
      <c r="AA741" s="6" t="str">
        <v>Primary Business not Hi-Tech</v>
      </c>
      <c r="AB741" s="6" t="str">
        <v>Primary Business not Hi-Tech</v>
      </c>
      <c r="AH741" s="6" t="str">
        <v>True</v>
      </c>
      <c r="AI741" s="6" t="str">
        <v>2014</v>
      </c>
      <c r="AJ741" s="6" t="str">
        <v>Completed</v>
      </c>
      <c r="AM741" s="6" t="str">
        <v>Not Applicable</v>
      </c>
      <c r="AO741" s="6" t="str">
        <v>US - Amazon.com Inc acquired Double Helix Games LLC, an Irvine-based developer of video games. Terms were not disclosed.</v>
      </c>
    </row>
    <row r="742">
      <c r="A742" s="6" t="str">
        <v>53578A</v>
      </c>
      <c r="B742" s="6" t="str">
        <v>United States</v>
      </c>
      <c r="C742" s="6" t="str">
        <v>LinkedIn Corp</v>
      </c>
      <c r="D742" s="6" t="str">
        <v>LinkedIn Corp</v>
      </c>
      <c r="F742" s="6" t="str">
        <v>United States</v>
      </c>
      <c r="G742" s="6" t="str">
        <v>Bright Media Corp Inc</v>
      </c>
      <c r="H742" s="6" t="str">
        <v>Business Services</v>
      </c>
      <c r="I742" s="6" t="str">
        <v>8A8246</v>
      </c>
      <c r="J742" s="6" t="str">
        <v>Bright Media Corp Inc</v>
      </c>
      <c r="K742" s="6" t="str">
        <v>Bright Media Corp Inc</v>
      </c>
      <c r="L742" s="7">
        <f>=DATE(2014,2,6)</f>
        <v>41675.99949074074</v>
      </c>
      <c r="M742" s="7">
        <f>=DATE(2014,3,5)</f>
        <v>41702.99949074074</v>
      </c>
      <c r="N742" s="8">
        <v>120</v>
      </c>
      <c r="O742" s="8">
        <v>120</v>
      </c>
      <c r="W742" s="6" t="str">
        <v>Internet Services &amp; Software</v>
      </c>
      <c r="X742" s="6" t="str">
        <v>Internet Services &amp; Software;Primary Business not Hi-Tech</v>
      </c>
      <c r="Y742" s="6" t="str">
        <v>Primary Business not Hi-Tech;Internet Services &amp; Software</v>
      </c>
      <c r="Z742" s="6" t="str">
        <v>Primary Business not Hi-Tech;Internet Services &amp; Software</v>
      </c>
      <c r="AA742" s="6" t="str">
        <v>Internet Services &amp; Software</v>
      </c>
      <c r="AB742" s="6" t="str">
        <v>Internet Services &amp; Software</v>
      </c>
      <c r="AC742" s="8">
        <v>120</v>
      </c>
      <c r="AD742" s="7">
        <f>=DATE(2014,2,6)</f>
        <v>41675.99949074074</v>
      </c>
      <c r="AF742" s="8" t="str">
        <v>120.00</v>
      </c>
      <c r="AG742" s="8" t="str">
        <v>120.00</v>
      </c>
      <c r="AH742" s="6" t="str">
        <v>False</v>
      </c>
      <c r="AI742" s="6" t="str">
        <v>2014</v>
      </c>
      <c r="AJ742" s="6" t="str">
        <v>Completed</v>
      </c>
      <c r="AM742" s="6" t="str">
        <v>Financial Acquiror;Stock Swap</v>
      </c>
      <c r="AO742" s="6" t="str">
        <v>US - LinkedIn Corp (LC) acquired the entire share capital of Bright Media Corp Inc, a San Francisco-based provider of online job search and hiring services, for an estimated USD 120 mil, in a stock swap transaction. The consideration consisted of 87.6 mil in LC common shares and USD 32.4 mil in cash. This transaction is Tax-Exempt under IRC s386.</v>
      </c>
    </row>
    <row r="743">
      <c r="A743" s="6" t="str">
        <v>38259P</v>
      </c>
      <c r="B743" s="6" t="str">
        <v>United States</v>
      </c>
      <c r="C743" s="6" t="str">
        <v>Google Inc</v>
      </c>
      <c r="D743" s="6" t="str">
        <v>Alphabet Inc</v>
      </c>
      <c r="F743" s="6" t="str">
        <v>Israel</v>
      </c>
      <c r="G743" s="6" t="str">
        <v>SlickLogin</v>
      </c>
      <c r="H743" s="6" t="str">
        <v>Prepackaged Software</v>
      </c>
      <c r="I743" s="6" t="str">
        <v>9A7672</v>
      </c>
      <c r="J743" s="6" t="str">
        <v>SlickLogin</v>
      </c>
      <c r="K743" s="6" t="str">
        <v>SlickLogin</v>
      </c>
      <c r="L743" s="7">
        <f>=DATE(2014,2,17)</f>
        <v>41686.99949074074</v>
      </c>
      <c r="M743" s="7">
        <f>=DATE(2014,2,17)</f>
        <v>41686.99949074074</v>
      </c>
      <c r="W743" s="6" t="str">
        <v>Internet Services &amp; Software;Programming Services</v>
      </c>
      <c r="X743" s="6" t="str">
        <v>Applications Software(Business</v>
      </c>
      <c r="Y743" s="6" t="str">
        <v>Applications Software(Business</v>
      </c>
      <c r="Z743" s="6" t="str">
        <v>Applications Software(Business</v>
      </c>
      <c r="AA743" s="6" t="str">
        <v>Internet Services &amp; Software;Telecommunications Equipment;Computer Consulting Services;Primary Business not Hi-Tech;Programming Services</v>
      </c>
      <c r="AB743" s="6" t="str">
        <v>Telecommunications Equipment;Programming Services;Internet Services &amp; Software;Primary Business not Hi-Tech;Computer Consulting Services</v>
      </c>
      <c r="AH743" s="6" t="str">
        <v>False</v>
      </c>
      <c r="AI743" s="6" t="str">
        <v>2014</v>
      </c>
      <c r="AJ743" s="6" t="str">
        <v>Completed</v>
      </c>
      <c r="AM743" s="6" t="str">
        <v>Financial Acquiror</v>
      </c>
      <c r="AO743" s="6" t="str">
        <v>ISRAEL - Google Inc of the US, acquired SlickLogin, a Tel-Aviv-based developer of security software.</v>
      </c>
    </row>
    <row r="744">
      <c r="A744" s="6" t="str">
        <v>30303M</v>
      </c>
      <c r="B744" s="6" t="str">
        <v>United States</v>
      </c>
      <c r="C744" s="6" t="str">
        <v>Facebook Inc</v>
      </c>
      <c r="D744" s="6" t="str">
        <v>Facebook Inc</v>
      </c>
      <c r="F744" s="6" t="str">
        <v>United States</v>
      </c>
      <c r="G744" s="6" t="str">
        <v>WhatsApp Inc</v>
      </c>
      <c r="H744" s="6" t="str">
        <v>Prepackaged Software</v>
      </c>
      <c r="I744" s="6" t="str">
        <v>0A6710</v>
      </c>
      <c r="J744" s="6" t="str">
        <v>WhatsApp Inc</v>
      </c>
      <c r="K744" s="6" t="str">
        <v>WhatsApp Inc</v>
      </c>
      <c r="L744" s="7">
        <f>=DATE(2014,2,19)</f>
        <v>41688.99949074074</v>
      </c>
      <c r="M744" s="7">
        <f>=DATE(2014,10,6)</f>
        <v>41917.99949074074</v>
      </c>
      <c r="N744" s="8">
        <v>21332.108</v>
      </c>
      <c r="O744" s="8">
        <v>19467.709</v>
      </c>
      <c r="W744" s="6" t="str">
        <v>Internet Services &amp; Software</v>
      </c>
      <c r="X744" s="6" t="str">
        <v>Communication/Network Software;Internet Services &amp; Software</v>
      </c>
      <c r="Y744" s="6" t="str">
        <v>Communication/Network Software;Internet Services &amp; Software</v>
      </c>
      <c r="Z744" s="6" t="str">
        <v>Communication/Network Software;Internet Services &amp; Software</v>
      </c>
      <c r="AA744" s="6" t="str">
        <v>Internet Services &amp; Software</v>
      </c>
      <c r="AB744" s="6" t="str">
        <v>Internet Services &amp; Software</v>
      </c>
      <c r="AC744" s="8">
        <v>19467.709</v>
      </c>
      <c r="AD744" s="7">
        <f>=DATE(2014,2,19)</f>
        <v>41688.99949074074</v>
      </c>
      <c r="AF744" s="8" t="str">
        <v>19,467.71</v>
      </c>
      <c r="AG744" s="8" t="str">
        <v>21,332.11</v>
      </c>
      <c r="AH744" s="6" t="str">
        <v>False</v>
      </c>
      <c r="AI744" s="6" t="str">
        <v>2014</v>
      </c>
      <c r="AJ744" s="6" t="str">
        <v>Completed</v>
      </c>
      <c r="AM744" s="6" t="str">
        <v>Financial Acquiror;Stock Swap</v>
      </c>
      <c r="AO744" s="6" t="str">
        <v>US - Facebook Inc (Facebook) acquired the entire share capital of WhatsApp Inc, a Santa Clara-based developer of mobile messaging software, in a stock swap transaction valued at USD 19.468 bil. The consideration consisted of USD 4 bil in cash, USD 3.094 bil in Facebook restricted stock units and the issuance of 183.866 mil Class A Facebook common shares valued at USD 12.374 bil. The shares were valued based on Facebook's closing stock price of USD 67.3 on 18 February 2014, the last full trading day prior to the announcement. This transaction is Tax-Exempt under IRC s386.</v>
      </c>
    </row>
    <row r="745">
      <c r="A745" s="6" t="str">
        <v>9A0409</v>
      </c>
      <c r="B745" s="6" t="str">
        <v>United States</v>
      </c>
      <c r="C745" s="6" t="str">
        <v>Google Capital 2016 LP</v>
      </c>
      <c r="D745" s="6" t="str">
        <v>Alphabet Inc</v>
      </c>
      <c r="F745" s="6" t="str">
        <v>United States</v>
      </c>
      <c r="G745" s="6" t="str">
        <v>Renaissance Learning Inc</v>
      </c>
      <c r="H745" s="6" t="str">
        <v>Prepackaged Software</v>
      </c>
      <c r="I745" s="6" t="str">
        <v>75968L</v>
      </c>
      <c r="J745" s="6" t="str">
        <v>Permira Holdings Ltd</v>
      </c>
      <c r="K745" s="6" t="str">
        <v>Raphael Acquisition Corp</v>
      </c>
      <c r="L745" s="7">
        <f>=DATE(2014,2,19)</f>
        <v>41688.99949074074</v>
      </c>
      <c r="M745" s="7">
        <f>=DATE(2014,2,19)</f>
        <v>41688.99949074074</v>
      </c>
      <c r="N745" s="8">
        <v>40</v>
      </c>
      <c r="O745" s="8">
        <v>40</v>
      </c>
      <c r="R745" s="8">
        <v>35.258</v>
      </c>
      <c r="S745" s="8">
        <v>136.071</v>
      </c>
      <c r="T745" s="8">
        <v>-68.034</v>
      </c>
      <c r="U745" s="8">
        <v>0.642</v>
      </c>
      <c r="V745" s="8">
        <v>33.065</v>
      </c>
      <c r="W745" s="6" t="str">
        <v>Primary Business not Hi-Tech</v>
      </c>
      <c r="X745" s="6" t="str">
        <v>Other Software (inq. Games)</v>
      </c>
      <c r="Y745" s="6" t="str">
        <v>Primary Business not Hi-Tech</v>
      </c>
      <c r="Z745" s="6" t="str">
        <v>Primary Business not Hi-Tech</v>
      </c>
      <c r="AA745" s="6" t="str">
        <v>Internet Services &amp; Software;Programming Services</v>
      </c>
      <c r="AB745" s="6" t="str">
        <v>Internet Services &amp; Software;Programming Services;Telecommunications Equipment;Primary Business not Hi-Tech;Computer Consulting Services</v>
      </c>
      <c r="AC745" s="8">
        <v>40</v>
      </c>
      <c r="AD745" s="7">
        <f>=DATE(2014,2,20)</f>
        <v>41689.99949074074</v>
      </c>
      <c r="AH745" s="6" t="str">
        <v>True</v>
      </c>
      <c r="AI745" s="6" t="str">
        <v>2014</v>
      </c>
      <c r="AJ745" s="6" t="str">
        <v>Completed</v>
      </c>
      <c r="AM745" s="6" t="str">
        <v>Privately Negotiated Purchase;Financial Acquiror</v>
      </c>
      <c r="AN745" s="8">
        <v>5.057</v>
      </c>
      <c r="AO745" s="6" t="str">
        <v>US - Google Capital, a unit of Google Inc, acquired an undisclosed minority stake in Renaissance Inc, a unit of the Raphael Acquisition Corp of Permira Advisers LLPs Raphael Holding Co unit, a Wisconsin Rapids-based developer of educational and learning software, for USD 40 mil.</v>
      </c>
    </row>
    <row r="746">
      <c r="A746" s="6" t="str">
        <v>037833</v>
      </c>
      <c r="B746" s="6" t="str">
        <v>United States</v>
      </c>
      <c r="C746" s="6" t="str">
        <v>Apple Inc</v>
      </c>
      <c r="D746" s="6" t="str">
        <v>Apple Inc</v>
      </c>
      <c r="F746" s="6" t="str">
        <v>United States</v>
      </c>
      <c r="G746" s="6" t="str">
        <v>Burstly Inc</v>
      </c>
      <c r="H746" s="6" t="str">
        <v>Business Services</v>
      </c>
      <c r="I746" s="6" t="str">
        <v>12079J</v>
      </c>
      <c r="J746" s="6" t="str">
        <v>Burstly Inc</v>
      </c>
      <c r="K746" s="6" t="str">
        <v>Burstly Inc</v>
      </c>
      <c r="L746" s="7">
        <f>=DATE(2014,2,21)</f>
        <v>41690.99949074074</v>
      </c>
      <c r="M746" s="7">
        <f>=DATE(2014,2,21)</f>
        <v>41690.99949074074</v>
      </c>
      <c r="W746" s="6" t="str">
        <v>Disk Drives;Other Software (inq. Games);Monitors/Terminals;Portable Computers;Micro-Computers (PCs);Other Peripherals;Mainframes &amp; Super Computers;Printers</v>
      </c>
      <c r="X746" s="6" t="str">
        <v>Other Computer Related Svcs;Data Processing Services;Internet Services &amp; Software</v>
      </c>
      <c r="Y746" s="6" t="str">
        <v>Other Computer Related Svcs;Internet Services &amp; Software;Data Processing Services</v>
      </c>
      <c r="Z746" s="6" t="str">
        <v>Other Computer Related Svcs;Data Processing Services;Internet Services &amp; Software</v>
      </c>
      <c r="AA746" s="6" t="str">
        <v>Portable Computers;Micro-Computers (PCs);Monitors/Terminals;Other Peripherals;Disk Drives;Mainframes &amp; Super Computers;Printers;Other Software (inq. Games)</v>
      </c>
      <c r="AB746" s="6" t="str">
        <v>Printers;Mainframes &amp; Super Computers;Other Software (inq. Games);Disk Drives;Other Peripherals;Portable Computers;Monitors/Terminals;Micro-Computers (PCs)</v>
      </c>
      <c r="AH746" s="6" t="str">
        <v>True</v>
      </c>
      <c r="AI746" s="6" t="str">
        <v>2014</v>
      </c>
      <c r="AJ746" s="6" t="str">
        <v>Completed</v>
      </c>
      <c r="AM746" s="6" t="str">
        <v>Not Applicable</v>
      </c>
      <c r="AO746" s="6" t="str">
        <v>US - Apple Inc acquired Burstly Inc, a Santa Monica-based provider of beta application testing services. Terms were not disclosed.</v>
      </c>
    </row>
    <row r="747">
      <c r="A747" s="6" t="str">
        <v>67020Y</v>
      </c>
      <c r="B747" s="6" t="str">
        <v>United States</v>
      </c>
      <c r="C747" s="6" t="str">
        <v>Nuance Communications Inc</v>
      </c>
      <c r="D747" s="6" t="str">
        <v>Nuance Communications Inc</v>
      </c>
      <c r="F747" s="6" t="str">
        <v>United States</v>
      </c>
      <c r="G747" s="6" t="str">
        <v>Conant &amp; Associates Inc</v>
      </c>
      <c r="H747" s="6" t="str">
        <v>Prepackaged Software</v>
      </c>
      <c r="I747" s="6" t="str">
        <v>5C3639</v>
      </c>
      <c r="J747" s="6" t="str">
        <v>Conant &amp; Associates Inc</v>
      </c>
      <c r="K747" s="6" t="str">
        <v>Conant &amp; Associates Inc</v>
      </c>
      <c r="L747" s="7">
        <f>=DATE(2014,2,21)</f>
        <v>41690.99949074074</v>
      </c>
      <c r="M747" s="7">
        <f>=DATE(2014,2,21)</f>
        <v>41690.99949074074</v>
      </c>
      <c r="W747" s="6" t="str">
        <v>Utilities/File Mgmt Software;Applications Software(Home);Primary Business not Hi-Tech;Networking Systems (LAN,WAN);Communication/Network Software;Other Software (inq. Games);Programming Services;Applications Software(Business;Internet Services &amp; Software;Database Software/Programming;Computer Consulting Services;Desktop Publishing;Other Computer Related Svcs</v>
      </c>
      <c r="X747" s="6" t="str">
        <v>Other Software (inq. Games);Computer Consulting Services;Data Processing Services;Other Computer Related Svcs</v>
      </c>
      <c r="Y747" s="6" t="str">
        <v>Other Software (inq. Games);Data Processing Services;Other Computer Related Svcs;Computer Consulting Services</v>
      </c>
      <c r="Z747" s="6" t="str">
        <v>Computer Consulting Services;Data Processing Services;Other Software (inq. Games);Other Computer Related Svcs</v>
      </c>
      <c r="AA747" s="6" t="str">
        <v>Computer Consulting Services;Programming Services;Primary Business not Hi-Tech;Other Computer Related Svcs;Applications Software(Business;Internet Services &amp; Software;Database Software/Programming;Other Software (inq. Games);Applications Software(Home);Communication/Network Software;Desktop Publishing;Networking Systems (LAN,WAN);Utilities/File Mgmt Software</v>
      </c>
      <c r="AB747" s="6" t="str">
        <v>Computer Consulting Services;Other Computer Related Svcs;Applications Software(Business;Desktop Publishing;Communication/Network Software;Primary Business not Hi-Tech;Applications Software(Home);Networking Systems (LAN,WAN);Database Software/Programming;Other Software (inq. Games);Internet Services &amp; Software;Utilities/File Mgmt Software;Programming Services</v>
      </c>
      <c r="AH747" s="6" t="str">
        <v>False</v>
      </c>
      <c r="AI747" s="6" t="str">
        <v>2014</v>
      </c>
      <c r="AJ747" s="6" t="str">
        <v>Completed</v>
      </c>
      <c r="AM747" s="6" t="str">
        <v>Financial Acquiror</v>
      </c>
      <c r="AO747" s="6" t="str">
        <v>US - Nuance Communications Inc acquired Conant &amp; Associates Inc, a La Costa-based developer of speech recognition software.</v>
      </c>
    </row>
    <row r="748">
      <c r="A748" s="6" t="str">
        <v>30303M</v>
      </c>
      <c r="B748" s="6" t="str">
        <v>United States</v>
      </c>
      <c r="C748" s="6" t="str">
        <v>Facebook Inc</v>
      </c>
      <c r="D748" s="6" t="str">
        <v>Facebook Inc</v>
      </c>
      <c r="F748" s="6" t="str">
        <v>United States</v>
      </c>
      <c r="G748" s="6" t="str">
        <v>Titan Aerospace</v>
      </c>
      <c r="H748" s="6" t="str">
        <v>Metal and Metal Products</v>
      </c>
      <c r="I748" s="6" t="str">
        <v>9A2289</v>
      </c>
      <c r="J748" s="6" t="str">
        <v>Titan Aerospace</v>
      </c>
      <c r="K748" s="6" t="str">
        <v>Titan Aerospace</v>
      </c>
      <c r="L748" s="7">
        <f>=DATE(2014,3,3)</f>
        <v>41700.99949074074</v>
      </c>
      <c r="W748" s="6" t="str">
        <v>Internet Services &amp; Software</v>
      </c>
      <c r="X748" s="6" t="str">
        <v>Robotics</v>
      </c>
      <c r="Y748" s="6" t="str">
        <v>Robotics</v>
      </c>
      <c r="Z748" s="6" t="str">
        <v>Robotics</v>
      </c>
      <c r="AA748" s="6" t="str">
        <v>Internet Services &amp; Software</v>
      </c>
      <c r="AB748" s="6" t="str">
        <v>Internet Services &amp; Software</v>
      </c>
      <c r="AH748" s="6" t="str">
        <v>True</v>
      </c>
      <c r="AJ748" s="6" t="str">
        <v>Dismissed Rumor</v>
      </c>
      <c r="AM748" s="6" t="str">
        <v>Rumored Deal;Financial Acquiror</v>
      </c>
      <c r="AO748" s="6" t="str">
        <v>US - Facebook Inc discontinued rumors that it was planning to acquire Titan Aerospace, a Moriarty-based manufacturer of solar-powered drones. Terms were not disclosed but according to sources familiar with the transaction, the transaction has a value of USD 60 mil.</v>
      </c>
    </row>
    <row r="749">
      <c r="A749" s="6" t="str">
        <v>9A2486</v>
      </c>
      <c r="B749" s="6" t="str">
        <v>United States</v>
      </c>
      <c r="C749" s="6" t="str">
        <v>Beats Music LLC</v>
      </c>
      <c r="D749" s="6" t="str">
        <v>Beats Electronics LLC</v>
      </c>
      <c r="F749" s="6" t="str">
        <v>United States</v>
      </c>
      <c r="G749" s="6" t="str">
        <v>TopSpin Media Inc</v>
      </c>
      <c r="H749" s="6" t="str">
        <v>Prepackaged Software</v>
      </c>
      <c r="I749" s="6" t="str">
        <v>9A2476</v>
      </c>
      <c r="J749" s="6" t="str">
        <v>TopSpin Media Inc</v>
      </c>
      <c r="K749" s="6" t="str">
        <v>TopSpin Media Inc</v>
      </c>
      <c r="L749" s="7">
        <f>=DATE(2014,3,4)</f>
        <v>41701.99949074074</v>
      </c>
      <c r="M749" s="7">
        <f>=DATE(2014,3,4)</f>
        <v>41701.99949074074</v>
      </c>
      <c r="W749" s="6" t="str">
        <v>Internet Services &amp; Software;Primary Business not Hi-Tech</v>
      </c>
      <c r="X749" s="6" t="str">
        <v>Applications Software(Business</v>
      </c>
      <c r="Y749" s="6" t="str">
        <v>Applications Software(Business</v>
      </c>
      <c r="Z749" s="6" t="str">
        <v>Applications Software(Business</v>
      </c>
      <c r="AA749" s="6" t="str">
        <v>Other Peripherals</v>
      </c>
      <c r="AB749" s="6" t="str">
        <v>Other Peripherals</v>
      </c>
      <c r="AH749" s="6" t="str">
        <v>False</v>
      </c>
      <c r="AI749" s="6" t="str">
        <v>2014</v>
      </c>
      <c r="AJ749" s="6" t="str">
        <v>Completed</v>
      </c>
      <c r="AM749" s="6" t="str">
        <v>Financial Acquiror</v>
      </c>
      <c r="AO749" s="6" t="str">
        <v>US - Beats Music LLC agreed to acquire TopSpin Media Inc, a Santa Monica-based provider of sales and marketing software. Terms of the transaction were not disclosed.</v>
      </c>
    </row>
    <row r="750">
      <c r="A750" s="6" t="str">
        <v>38259P</v>
      </c>
      <c r="B750" s="6" t="str">
        <v>United States</v>
      </c>
      <c r="C750" s="6" t="str">
        <v>Google Inc</v>
      </c>
      <c r="D750" s="6" t="str">
        <v>Alphabet Inc</v>
      </c>
      <c r="F750" s="6" t="str">
        <v>United States</v>
      </c>
      <c r="G750" s="6" t="str">
        <v>Green Throttle Games</v>
      </c>
      <c r="H750" s="6" t="str">
        <v>Prepackaged Software</v>
      </c>
      <c r="I750" s="6" t="str">
        <v>9A4113</v>
      </c>
      <c r="J750" s="6" t="str">
        <v>Green Throttle Games</v>
      </c>
      <c r="K750" s="6" t="str">
        <v>Green Throttle Games</v>
      </c>
      <c r="L750" s="7">
        <f>=DATE(2014,3,12)</f>
        <v>41709.99949074074</v>
      </c>
      <c r="M750" s="7">
        <f>=DATE(2014,3,12)</f>
        <v>41709.99949074074</v>
      </c>
      <c r="W750" s="6" t="str">
        <v>Programming Services;Internet Services &amp; Software</v>
      </c>
      <c r="X750" s="6" t="str">
        <v>Other Software (inq. Games);Applications Software(Business</v>
      </c>
      <c r="Y750" s="6" t="str">
        <v>Applications Software(Business;Other Software (inq. Games)</v>
      </c>
      <c r="Z750" s="6" t="str">
        <v>Other Software (inq. Games);Applications Software(Business</v>
      </c>
      <c r="AA750" s="6" t="str">
        <v>Computer Consulting Services;Telecommunications Equipment;Programming Services;Internet Services &amp; Software;Primary Business not Hi-Tech</v>
      </c>
      <c r="AB750" s="6" t="str">
        <v>Programming Services;Primary Business not Hi-Tech;Telecommunications Equipment;Computer Consulting Services;Internet Services &amp; Software</v>
      </c>
      <c r="AH750" s="6" t="str">
        <v>False</v>
      </c>
      <c r="AI750" s="6" t="str">
        <v>2014</v>
      </c>
      <c r="AJ750" s="6" t="str">
        <v>Completed</v>
      </c>
      <c r="AM750" s="6" t="str">
        <v>Financial Acquiror</v>
      </c>
      <c r="AO750" s="6" t="str">
        <v>US - Google Inc acquired Green Throttle Games, a Santa Clara-based developer of games software. Terms were not disclosed.</v>
      </c>
    </row>
    <row r="751">
      <c r="A751" s="6" t="str">
        <v>30303M</v>
      </c>
      <c r="B751" s="6" t="str">
        <v>United States</v>
      </c>
      <c r="C751" s="6" t="str">
        <v>Facebook Inc</v>
      </c>
      <c r="D751" s="6" t="str">
        <v>Facebook Inc</v>
      </c>
      <c r="F751" s="6" t="str">
        <v>United States</v>
      </c>
      <c r="G751" s="6" t="str">
        <v>Oculus VR Inc</v>
      </c>
      <c r="H751" s="6" t="str">
        <v>Prepackaged Software</v>
      </c>
      <c r="I751" s="6" t="str">
        <v>9A6770</v>
      </c>
      <c r="J751" s="6" t="str">
        <v>Oculus VR Inc</v>
      </c>
      <c r="K751" s="6" t="str">
        <v>Oculus VR Inc</v>
      </c>
      <c r="L751" s="7">
        <f>=DATE(2014,3,25)</f>
        <v>41722.99949074074</v>
      </c>
      <c r="M751" s="7">
        <f>=DATE(2014,7,21)</f>
        <v>41840.99949074074</v>
      </c>
      <c r="N751" s="8">
        <v>2280.5</v>
      </c>
      <c r="O751" s="8">
        <v>2180.71</v>
      </c>
      <c r="W751" s="6" t="str">
        <v>Internet Services &amp; Software</v>
      </c>
      <c r="X751" s="6" t="str">
        <v>Applications Software(Home);Applications Software(Business;Communication/Network Software</v>
      </c>
      <c r="Y751" s="6" t="str">
        <v>Applications Software(Business;Communication/Network Software;Applications Software(Home)</v>
      </c>
      <c r="Z751" s="6" t="str">
        <v>Applications Software(Business;Communication/Network Software;Applications Software(Home)</v>
      </c>
      <c r="AA751" s="6" t="str">
        <v>Internet Services &amp; Software</v>
      </c>
      <c r="AB751" s="6" t="str">
        <v>Internet Services &amp; Software</v>
      </c>
      <c r="AC751" s="8">
        <v>2180.71</v>
      </c>
      <c r="AD751" s="7">
        <f>=DATE(2014,3,25)</f>
        <v>41722.99949074074</v>
      </c>
      <c r="AH751" s="6" t="str">
        <v>False</v>
      </c>
      <c r="AI751" s="6" t="str">
        <v>2014</v>
      </c>
      <c r="AJ751" s="6" t="str">
        <v>Completed</v>
      </c>
      <c r="AM751" s="6" t="str">
        <v>Financial Acquiror</v>
      </c>
      <c r="AO751" s="6" t="str">
        <v>US - Facebook Inc (Facebook) acquired Oculus VR Inc, an Irvine-based developer of virtual mobile gaming application software, for USD 2.181 bil. The consideration consisted of USD 400 mil in cash, up to USD 300 mil in profit-related payments, and the issuance of 23.1 mil Facebook common shares valued at USD 1.481 bil. The shares were valued based on Facbeook's closing stock price of USD 64.1 on 24 March 2014, the last full trading day prior to the announcement. This transaction is Tax-Exempt under IRC s386.</v>
      </c>
    </row>
    <row r="752">
      <c r="A752" s="6" t="str">
        <v>037833</v>
      </c>
      <c r="B752" s="6" t="str">
        <v>United States</v>
      </c>
      <c r="C752" s="6" t="str">
        <v>Apple Inc</v>
      </c>
      <c r="D752" s="6" t="str">
        <v>Apple Inc</v>
      </c>
      <c r="F752" s="6" t="str">
        <v>United Kingdom</v>
      </c>
      <c r="G752" s="6" t="str">
        <v>Novauris Technologies Ltd</v>
      </c>
      <c r="H752" s="6" t="str">
        <v>Prepackaged Software</v>
      </c>
      <c r="I752" s="6" t="str">
        <v>8A3524</v>
      </c>
      <c r="J752" s="6" t="str">
        <v>Novauris Technologies Ltd</v>
      </c>
      <c r="K752" s="6" t="str">
        <v>Novauris Technologies Ltd</v>
      </c>
      <c r="L752" s="7">
        <f>=DATE(2014,4,3)</f>
        <v>41731.99949074074</v>
      </c>
      <c r="M752" s="7">
        <f>=DATE(2014,4,3)</f>
        <v>41731.99949074074</v>
      </c>
      <c r="W752" s="6" t="str">
        <v>Other Software (inq. Games);Monitors/Terminals;Micro-Computers (PCs);Other Peripherals;Portable Computers;Mainframes &amp; Super Computers;Printers;Disk Drives</v>
      </c>
      <c r="X752" s="6" t="str">
        <v>Other Software (inq. Games)</v>
      </c>
      <c r="Y752" s="6" t="str">
        <v>Other Software (inq. Games)</v>
      </c>
      <c r="Z752" s="6" t="str">
        <v>Other Software (inq. Games)</v>
      </c>
      <c r="AA752" s="6" t="str">
        <v>Mainframes &amp; Super Computers;Disk Drives;Other Software (inq. Games);Monitors/Terminals;Micro-Computers (PCs);Printers;Other Peripherals;Portable Computers</v>
      </c>
      <c r="AB752" s="6" t="str">
        <v>Printers;Monitors/Terminals;Other Software (inq. Games);Mainframes &amp; Super Computers;Other Peripherals;Disk Drives;Micro-Computers (PCs);Portable Computers</v>
      </c>
      <c r="AH752" s="6" t="str">
        <v>True</v>
      </c>
      <c r="AI752" s="6" t="str">
        <v>2014</v>
      </c>
      <c r="AJ752" s="6" t="str">
        <v>Completed</v>
      </c>
      <c r="AM752" s="6" t="str">
        <v>Not Applicable</v>
      </c>
      <c r="AN752" s="8">
        <v>0.043877468107581</v>
      </c>
      <c r="AO752" s="6" t="str">
        <v>UK - Apple Inc of the US acquire Novauris Technologies Ltd, a Cheltenham-based developer of software technology. Terms were not disclosed.</v>
      </c>
    </row>
    <row r="753">
      <c r="A753" s="6" t="str">
        <v>55126T</v>
      </c>
      <c r="B753" s="6" t="str">
        <v>United States</v>
      </c>
      <c r="C753" s="6" t="str">
        <v>Lynda.com Inc</v>
      </c>
      <c r="D753" s="6" t="str">
        <v>Lynda.com Inc</v>
      </c>
      <c r="F753" s="6" t="str">
        <v>Canada</v>
      </c>
      <c r="G753" s="6" t="str">
        <v>Compilr Inc</v>
      </c>
      <c r="H753" s="6" t="str">
        <v>Prepackaged Software</v>
      </c>
      <c r="I753" s="6" t="str">
        <v>9A9532</v>
      </c>
      <c r="J753" s="6" t="str">
        <v>Compilr Inc</v>
      </c>
      <c r="K753" s="6" t="str">
        <v>Compilr Inc</v>
      </c>
      <c r="L753" s="7">
        <f>=DATE(2014,4,7)</f>
        <v>41735.99949074074</v>
      </c>
      <c r="M753" s="7">
        <f>=DATE(2014,4,7)</f>
        <v>41735.99949074074</v>
      </c>
      <c r="W753" s="6" t="str">
        <v>Internet Services &amp; Software</v>
      </c>
      <c r="X753" s="6" t="str">
        <v>Internet Services &amp; Software;Communication/Network Software</v>
      </c>
      <c r="Y753" s="6" t="str">
        <v>Internet Services &amp; Software;Communication/Network Software</v>
      </c>
      <c r="Z753" s="6" t="str">
        <v>Communication/Network Software;Internet Services &amp; Software</v>
      </c>
      <c r="AA753" s="6" t="str">
        <v>Internet Services &amp; Software</v>
      </c>
      <c r="AB753" s="6" t="str">
        <v>Internet Services &amp; Software</v>
      </c>
      <c r="AH753" s="6" t="str">
        <v>False</v>
      </c>
      <c r="AI753" s="6" t="str">
        <v>2014</v>
      </c>
      <c r="AJ753" s="6" t="str">
        <v>Completed</v>
      </c>
      <c r="AM753" s="6" t="str">
        <v>Not Applicable</v>
      </c>
      <c r="AO753" s="6" t="str">
        <v>CANADA - Lynda.com Inc acquired Compilr Inc, a Halifax-based provider of software coding and development environment. Terms of the transaction were not disclosed.</v>
      </c>
    </row>
    <row r="754">
      <c r="A754" s="6" t="str">
        <v>023135</v>
      </c>
      <c r="B754" s="6" t="str">
        <v>United States</v>
      </c>
      <c r="C754" s="6" t="str">
        <v>Amazon.com Inc</v>
      </c>
      <c r="D754" s="6" t="str">
        <v>Amazon.com Inc</v>
      </c>
      <c r="F754" s="6" t="str">
        <v>United States</v>
      </c>
      <c r="G754" s="6" t="str">
        <v>Iconology Inc</v>
      </c>
      <c r="H754" s="6" t="str">
        <v>Business Services</v>
      </c>
      <c r="I754" s="6" t="str">
        <v>0C0325</v>
      </c>
      <c r="J754" s="6" t="str">
        <v>Iconology Inc</v>
      </c>
      <c r="K754" s="6" t="str">
        <v>Iconology Inc</v>
      </c>
      <c r="L754" s="7">
        <f>=DATE(2014,4,10)</f>
        <v>41738.99949074074</v>
      </c>
      <c r="M754" s="7">
        <f>=DATE(2014,5,6)</f>
        <v>41764.99949074074</v>
      </c>
      <c r="W754" s="6" t="str">
        <v>Primary Business not Hi-Tech</v>
      </c>
      <c r="X754" s="6" t="str">
        <v>Internet Services &amp; Software;Other Computer Related Svcs</v>
      </c>
      <c r="Y754" s="6" t="str">
        <v>Other Computer Related Svcs;Internet Services &amp; Software</v>
      </c>
      <c r="Z754" s="6" t="str">
        <v>Internet Services &amp; Software;Other Computer Related Svcs</v>
      </c>
      <c r="AA754" s="6" t="str">
        <v>Primary Business not Hi-Tech</v>
      </c>
      <c r="AB754" s="6" t="str">
        <v>Primary Business not Hi-Tech</v>
      </c>
      <c r="AH754" s="6" t="str">
        <v>True</v>
      </c>
      <c r="AI754" s="6" t="str">
        <v>2014</v>
      </c>
      <c r="AJ754" s="6" t="str">
        <v>Completed</v>
      </c>
      <c r="AM754" s="6" t="str">
        <v>Not Applicable</v>
      </c>
      <c r="AO754" s="6" t="str">
        <v>US - Amazon.com Inc acquired Iconology Inc, a New York-based provider of digital books. Terms of the deal were not disclosed.</v>
      </c>
    </row>
    <row r="755">
      <c r="A755" s="6" t="str">
        <v>38259P</v>
      </c>
      <c r="B755" s="6" t="str">
        <v>United States</v>
      </c>
      <c r="C755" s="6" t="str">
        <v>Google Inc</v>
      </c>
      <c r="D755" s="6" t="str">
        <v>Alphabet Inc</v>
      </c>
      <c r="F755" s="6" t="str">
        <v>United States</v>
      </c>
      <c r="G755" s="6" t="str">
        <v>Titan Aerospace</v>
      </c>
      <c r="H755" s="6" t="str">
        <v>Metal and Metal Products</v>
      </c>
      <c r="I755" s="6" t="str">
        <v>9A2289</v>
      </c>
      <c r="J755" s="6" t="str">
        <v>Titan Aerospace</v>
      </c>
      <c r="K755" s="6" t="str">
        <v>Titan Aerospace</v>
      </c>
      <c r="L755" s="7">
        <f>=DATE(2014,4,14)</f>
        <v>41742.99949074074</v>
      </c>
      <c r="M755" s="7">
        <f>=DATE(2014,4,14)</f>
        <v>41742.99949074074</v>
      </c>
      <c r="W755" s="6" t="str">
        <v>Programming Services;Internet Services &amp; Software</v>
      </c>
      <c r="X755" s="6" t="str">
        <v>Robotics</v>
      </c>
      <c r="Y755" s="6" t="str">
        <v>Robotics</v>
      </c>
      <c r="Z755" s="6" t="str">
        <v>Robotics</v>
      </c>
      <c r="AA755" s="6" t="str">
        <v>Programming Services;Internet Services &amp; Software;Telecommunications Equipment;Primary Business not Hi-Tech;Computer Consulting Services</v>
      </c>
      <c r="AB755" s="6" t="str">
        <v>Internet Services &amp; Software;Computer Consulting Services;Telecommunications Equipment;Programming Services;Primary Business not Hi-Tech</v>
      </c>
      <c r="AH755" s="6" t="str">
        <v>False</v>
      </c>
      <c r="AI755" s="6" t="str">
        <v>2014</v>
      </c>
      <c r="AJ755" s="6" t="str">
        <v>Completed</v>
      </c>
      <c r="AM755" s="6" t="str">
        <v>Not Applicable</v>
      </c>
      <c r="AO755" s="6" t="str">
        <v>US - Google Inc acquired Titan Aerospace, a Moriarty-based manufacturer of solar-powered drones. Terms of the deal were not disclosed.</v>
      </c>
    </row>
    <row r="756">
      <c r="A756" s="6" t="str">
        <v>67020Y</v>
      </c>
      <c r="B756" s="6" t="str">
        <v>United States</v>
      </c>
      <c r="C756" s="6" t="str">
        <v>Nuance Communications Inc</v>
      </c>
      <c r="D756" s="6" t="str">
        <v>Nuance Communications Inc</v>
      </c>
      <c r="F756" s="6" t="str">
        <v>United States</v>
      </c>
      <c r="G756" s="6" t="str">
        <v>Neurostar Solutions Inc</v>
      </c>
      <c r="H756" s="6" t="str">
        <v>Prepackaged Software</v>
      </c>
      <c r="I756" s="6" t="str">
        <v>1C1954</v>
      </c>
      <c r="J756" s="6" t="str">
        <v>Neurostar Solutions Inc</v>
      </c>
      <c r="K756" s="6" t="str">
        <v>Neurostar Solutions Inc</v>
      </c>
      <c r="L756" s="7">
        <f>=DATE(2014,4,17)</f>
        <v>41745.99949074074</v>
      </c>
      <c r="M756" s="7">
        <f>=DATE(2014,4,17)</f>
        <v>41745.99949074074</v>
      </c>
      <c r="W756" s="6" t="str">
        <v>Networking Systems (LAN,WAN);Database Software/Programming;Communication/Network Software;Other Computer Related Svcs;Programming Services;Applications Software(Home);Other Software (inq. Games);Computer Consulting Services;Utilities/File Mgmt Software;Internet Services &amp; Software;Applications Software(Business;Desktop Publishing;Primary Business not Hi-Tech</v>
      </c>
      <c r="X756" s="6" t="str">
        <v>Utilities/File Mgmt Software;Applications Software(Business</v>
      </c>
      <c r="Y756" s="6" t="str">
        <v>Utilities/File Mgmt Software;Applications Software(Business</v>
      </c>
      <c r="Z756" s="6" t="str">
        <v>Applications Software(Business;Utilities/File Mgmt Software</v>
      </c>
      <c r="AA756" s="6" t="str">
        <v>Desktop Publishing;Programming Services;Utilities/File Mgmt Software;Applications Software(Home);Communication/Network Software;Computer Consulting Services;Applications Software(Business;Primary Business not Hi-Tech;Database Software/Programming;Other Software (inq. Games);Other Computer Related Svcs;Internet Services &amp; Software;Networking Systems (LAN,WAN)</v>
      </c>
      <c r="AB756" s="6" t="str">
        <v>Other Computer Related Svcs;Programming Services;Desktop Publishing;Other Software (inq. Games);Applications Software(Business;Networking Systems (LAN,WAN);Database Software/Programming;Internet Services &amp; Software;Communication/Network Software;Utilities/File Mgmt Software;Computer Consulting Services;Primary Business not Hi-Tech;Applications Software(Home)</v>
      </c>
      <c r="AH756" s="6" t="str">
        <v>False</v>
      </c>
      <c r="AI756" s="6" t="str">
        <v>2014</v>
      </c>
      <c r="AJ756" s="6" t="str">
        <v>Completed</v>
      </c>
      <c r="AM756" s="6" t="str">
        <v>Financial Acquiror</v>
      </c>
      <c r="AO756" s="6" t="str">
        <v>US - Nuance Communications Inc acquired Neurostar Solutions Inc, located in Atlanta, Georgia, is a medical image sharing software developer. Terms were not disclosed.</v>
      </c>
    </row>
    <row r="757">
      <c r="A757" s="6" t="str">
        <v>30303M</v>
      </c>
      <c r="B757" s="6" t="str">
        <v>United States</v>
      </c>
      <c r="C757" s="6" t="str">
        <v>Facebook Inc</v>
      </c>
      <c r="D757" s="6" t="str">
        <v>Facebook Inc</v>
      </c>
      <c r="F757" s="6" t="str">
        <v>Finland</v>
      </c>
      <c r="G757" s="6" t="str">
        <v>ProtoGeo Oy</v>
      </c>
      <c r="H757" s="6" t="str">
        <v>Prepackaged Software</v>
      </c>
      <c r="I757" s="6" t="str">
        <v>0C2678</v>
      </c>
      <c r="J757" s="6" t="str">
        <v>ProtoGeo Oy</v>
      </c>
      <c r="K757" s="6" t="str">
        <v>ProtoGeo Oy</v>
      </c>
      <c r="L757" s="7">
        <f>=DATE(2014,4,24)</f>
        <v>41752.99949074074</v>
      </c>
      <c r="M757" s="7">
        <f>=DATE(2014,4,24)</f>
        <v>41752.99949074074</v>
      </c>
      <c r="W757" s="6" t="str">
        <v>Internet Services &amp; Software</v>
      </c>
      <c r="X757" s="6" t="str">
        <v>Other Software (inq. Games)</v>
      </c>
      <c r="Y757" s="6" t="str">
        <v>Other Software (inq. Games)</v>
      </c>
      <c r="Z757" s="6" t="str">
        <v>Other Software (inq. Games)</v>
      </c>
      <c r="AA757" s="6" t="str">
        <v>Internet Services &amp; Software</v>
      </c>
      <c r="AB757" s="6" t="str">
        <v>Internet Services &amp; Software</v>
      </c>
      <c r="AH757" s="6" t="str">
        <v>False</v>
      </c>
      <c r="AI757" s="6" t="str">
        <v>2014</v>
      </c>
      <c r="AJ757" s="6" t="str">
        <v>Completed</v>
      </c>
      <c r="AM757" s="6" t="str">
        <v>Financial Acquiror</v>
      </c>
      <c r="AO757" s="6" t="str">
        <v>FINLAND - Facebook Inc of the US acquired ProtoGeo Oy, a Helsinki-based developer of software for smartphones. Terms were not disclosed.</v>
      </c>
    </row>
    <row r="758">
      <c r="A758" s="6" t="str">
        <v>594918</v>
      </c>
      <c r="B758" s="6" t="str">
        <v>United States</v>
      </c>
      <c r="C758" s="6" t="str">
        <v>Microsoft Corp</v>
      </c>
      <c r="D758" s="6" t="str">
        <v>Microsoft Corp</v>
      </c>
      <c r="F758" s="6" t="str">
        <v>New Zealand</v>
      </c>
      <c r="G758" s="6" t="str">
        <v>GreenButton</v>
      </c>
      <c r="H758" s="6" t="str">
        <v>Prepackaged Software</v>
      </c>
      <c r="I758" s="6" t="str">
        <v>0C7844</v>
      </c>
      <c r="J758" s="6" t="str">
        <v>GreenButton</v>
      </c>
      <c r="K758" s="6" t="str">
        <v>GreenButton</v>
      </c>
      <c r="L758" s="7">
        <f>=DATE(2014,5,1)</f>
        <v>41759.99949074074</v>
      </c>
      <c r="M758" s="7">
        <f>=DATE(2014,5,1)</f>
        <v>41759.99949074074</v>
      </c>
      <c r="W758" s="6" t="str">
        <v>Computer Consulting Services;Other Peripherals;Applications Software(Business;Operating Systems;Internet Services &amp; Software;Monitors/Terminals</v>
      </c>
      <c r="X758" s="6" t="str">
        <v>Other Software (inq. Games)</v>
      </c>
      <c r="Y758" s="6" t="str">
        <v>Other Software (inq. Games)</v>
      </c>
      <c r="Z758" s="6" t="str">
        <v>Other Software (inq. Games)</v>
      </c>
      <c r="AA758" s="6" t="str">
        <v>Other Peripherals;Monitors/Terminals;Internet Services &amp; Software;Operating Systems;Computer Consulting Services;Applications Software(Business</v>
      </c>
      <c r="AB758" s="6" t="str">
        <v>Computer Consulting Services;Internet Services &amp; Software;Operating Systems;Monitors/Terminals;Other Peripherals;Applications Software(Business</v>
      </c>
      <c r="AH758" s="6" t="str">
        <v>False</v>
      </c>
      <c r="AI758" s="6" t="str">
        <v>2014</v>
      </c>
      <c r="AJ758" s="6" t="str">
        <v>Completed</v>
      </c>
      <c r="AM758" s="6" t="str">
        <v>Not Applicable</v>
      </c>
      <c r="AO758" s="6" t="str">
        <v>NEW ZEALAND - Microsoft Corp of the US acquired GreenButton, a Wellington-based, developer of software. Terms were not disclosed.</v>
      </c>
    </row>
    <row r="759">
      <c r="A759" s="6" t="str">
        <v>037833</v>
      </c>
      <c r="B759" s="6" t="str">
        <v>United States</v>
      </c>
      <c r="C759" s="6" t="str">
        <v>Apple Inc</v>
      </c>
      <c r="D759" s="6" t="str">
        <v>Apple Inc</v>
      </c>
      <c r="F759" s="6" t="str">
        <v>United States</v>
      </c>
      <c r="G759" s="6" t="str">
        <v>LuxVue Technology Corp</v>
      </c>
      <c r="H759" s="6" t="str">
        <v>Prepackaged Software</v>
      </c>
      <c r="I759" s="6" t="str">
        <v>0C4046</v>
      </c>
      <c r="J759" s="6" t="str">
        <v>LuxVue Technology Corp</v>
      </c>
      <c r="K759" s="6" t="str">
        <v>LuxVue Technology Corp</v>
      </c>
      <c r="L759" s="7">
        <f>=DATE(2014,5,3)</f>
        <v>41761.99949074074</v>
      </c>
      <c r="W759" s="6" t="str">
        <v>Disk Drives;Mainframes &amp; Super Computers;Monitors/Terminals;Other Peripherals;Portable Computers;Printers;Other Software (inq. Games);Micro-Computers (PCs)</v>
      </c>
      <c r="X759" s="6" t="str">
        <v>Other Software (inq. Games)</v>
      </c>
      <c r="Y759" s="6" t="str">
        <v>Other Software (inq. Games)</v>
      </c>
      <c r="Z759" s="6" t="str">
        <v>Other Software (inq. Games)</v>
      </c>
      <c r="AA759" s="6" t="str">
        <v>Other Software (inq. Games);Micro-Computers (PCs);Printers;Portable Computers;Other Peripherals;Mainframes &amp; Super Computers;Monitors/Terminals;Disk Drives</v>
      </c>
      <c r="AB759" s="6" t="str">
        <v>Other Peripherals;Printers;Disk Drives;Other Software (inq. Games);Mainframes &amp; Super Computers;Portable Computers;Monitors/Terminals;Micro-Computers (PCs)</v>
      </c>
      <c r="AH759" s="6" t="str">
        <v>False</v>
      </c>
      <c r="AJ759" s="6" t="str">
        <v>Dismissed Rumor</v>
      </c>
      <c r="AM759" s="6" t="str">
        <v>Rumored Deal</v>
      </c>
      <c r="AO759" s="6" t="str">
        <v>US - Apple Inc was rumored to be planning to acquire LuxVue Technology Corp, a Santa Clara-based developer of low-power microLED-based displays. The Current status of this deal is unknown.</v>
      </c>
    </row>
    <row r="760">
      <c r="A760" s="6" t="str">
        <v>38259P</v>
      </c>
      <c r="B760" s="6" t="str">
        <v>United States</v>
      </c>
      <c r="C760" s="6" t="str">
        <v>Google Inc</v>
      </c>
      <c r="D760" s="6" t="str">
        <v>Alphabet Inc</v>
      </c>
      <c r="F760" s="6" t="str">
        <v>United Kingdom</v>
      </c>
      <c r="G760" s="6" t="str">
        <v>Rangespan</v>
      </c>
      <c r="H760" s="6" t="str">
        <v>Business Services</v>
      </c>
      <c r="I760" s="6" t="str">
        <v>0C4402</v>
      </c>
      <c r="J760" s="6" t="str">
        <v>Rangespan</v>
      </c>
      <c r="K760" s="6" t="str">
        <v>Rangespan</v>
      </c>
      <c r="L760" s="7">
        <f>=DATE(2014,5,5)</f>
        <v>41763.99949074074</v>
      </c>
      <c r="M760" s="7">
        <f>=DATE(2014,5,5)</f>
        <v>41763.99949074074</v>
      </c>
      <c r="W760" s="6" t="str">
        <v>Programming Services;Internet Services &amp; Software</v>
      </c>
      <c r="X760" s="6" t="str">
        <v>Other Software (inq. Games);Other Computer Related Svcs;Data Processing Services;Computer Consulting Services</v>
      </c>
      <c r="Y760" s="6" t="str">
        <v>Other Software (inq. Games);Computer Consulting Services;Other Computer Related Svcs;Data Processing Services</v>
      </c>
      <c r="Z760" s="6" t="str">
        <v>Other Computer Related Svcs;Data Processing Services;Computer Consulting Services;Other Software (inq. Games)</v>
      </c>
      <c r="AA760" s="6" t="str">
        <v>Primary Business not Hi-Tech;Programming Services;Internet Services &amp; Software;Computer Consulting Services;Telecommunications Equipment</v>
      </c>
      <c r="AB760" s="6" t="str">
        <v>Primary Business not Hi-Tech;Internet Services &amp; Software;Programming Services;Computer Consulting Services;Telecommunications Equipment</v>
      </c>
      <c r="AH760" s="6" t="str">
        <v>False</v>
      </c>
      <c r="AI760" s="6" t="str">
        <v>2014</v>
      </c>
      <c r="AJ760" s="6" t="str">
        <v>Completed</v>
      </c>
      <c r="AM760" s="6" t="str">
        <v>Not Applicable</v>
      </c>
      <c r="AO760" s="6" t="str">
        <v>UK - Google Inc of the US acquired Rangespan, a London-based provider of information technology services. Terms were not disclosed.</v>
      </c>
    </row>
    <row r="761">
      <c r="A761" s="6" t="str">
        <v>38259P</v>
      </c>
      <c r="B761" s="6" t="str">
        <v>United States</v>
      </c>
      <c r="C761" s="6" t="str">
        <v>Google Inc</v>
      </c>
      <c r="D761" s="6" t="str">
        <v>Alphabet Inc</v>
      </c>
      <c r="F761" s="6" t="str">
        <v>United States</v>
      </c>
      <c r="G761" s="6" t="str">
        <v>Adometry Inc</v>
      </c>
      <c r="H761" s="6" t="str">
        <v>Business Services</v>
      </c>
      <c r="I761" s="6" t="str">
        <v>01340P</v>
      </c>
      <c r="J761" s="6" t="str">
        <v>Click Forensics Inc</v>
      </c>
      <c r="K761" s="6" t="str">
        <v>Click Forensics Inc</v>
      </c>
      <c r="L761" s="7">
        <f>=DATE(2014,5,6)</f>
        <v>41764.99949074074</v>
      </c>
      <c r="M761" s="7">
        <f>=DATE(2014,5,6)</f>
        <v>41764.99949074074</v>
      </c>
      <c r="W761" s="6" t="str">
        <v>Internet Services &amp; Software;Programming Services</v>
      </c>
      <c r="X761" s="6" t="str">
        <v>Internet Services &amp; Software</v>
      </c>
      <c r="Y761" s="6" t="str">
        <v>Internet Services &amp; Software</v>
      </c>
      <c r="Z761" s="6" t="str">
        <v>Internet Services &amp; Software</v>
      </c>
      <c r="AA761" s="6" t="str">
        <v>Telecommunications Equipment;Programming Services;Primary Business not Hi-Tech;Computer Consulting Services;Internet Services &amp; Software</v>
      </c>
      <c r="AB761" s="6" t="str">
        <v>Primary Business not Hi-Tech;Telecommunications Equipment;Internet Services &amp; Software;Programming Services;Computer Consulting Services</v>
      </c>
      <c r="AH761" s="6" t="str">
        <v>False</v>
      </c>
      <c r="AI761" s="6" t="str">
        <v>2014</v>
      </c>
      <c r="AJ761" s="6" t="str">
        <v>Completed</v>
      </c>
      <c r="AM761" s="6" t="str">
        <v>Divestiture</v>
      </c>
      <c r="AO761" s="6" t="str">
        <v>US - Google Inc acquired Adometry Inc, an Austin-based provider of online advertising services, from Click Forensics Inc.</v>
      </c>
    </row>
    <row r="762">
      <c r="A762" s="6" t="str">
        <v>38259P</v>
      </c>
      <c r="B762" s="6" t="str">
        <v>United States</v>
      </c>
      <c r="C762" s="6" t="str">
        <v>Google Inc</v>
      </c>
      <c r="D762" s="6" t="str">
        <v>Alphabet Inc</v>
      </c>
      <c r="F762" s="6" t="str">
        <v>United States</v>
      </c>
      <c r="G762" s="6" t="str">
        <v>Appetas Inc</v>
      </c>
      <c r="H762" s="6" t="str">
        <v>Business Services</v>
      </c>
      <c r="I762" s="6" t="str">
        <v>0C4721</v>
      </c>
      <c r="J762" s="6" t="str">
        <v>Appetas Inc</v>
      </c>
      <c r="K762" s="6" t="str">
        <v>Appetas Inc</v>
      </c>
      <c r="L762" s="7">
        <f>=DATE(2014,5,7)</f>
        <v>41765.99949074074</v>
      </c>
      <c r="M762" s="7">
        <f>=DATE(2014,5,7)</f>
        <v>41765.99949074074</v>
      </c>
      <c r="W762" s="6" t="str">
        <v>Programming Services;Internet Services &amp; Software</v>
      </c>
      <c r="X762" s="6" t="str">
        <v>Database Software/Programming;Programming Services</v>
      </c>
      <c r="Y762" s="6" t="str">
        <v>Programming Services;Database Software/Programming</v>
      </c>
      <c r="Z762" s="6" t="str">
        <v>Programming Services;Database Software/Programming</v>
      </c>
      <c r="AA762" s="6" t="str">
        <v>Internet Services &amp; Software;Computer Consulting Services;Telecommunications Equipment;Primary Business not Hi-Tech;Programming Services</v>
      </c>
      <c r="AB762" s="6" t="str">
        <v>Internet Services &amp; Software;Telecommunications Equipment;Primary Business not Hi-Tech;Computer Consulting Services;Programming Services</v>
      </c>
      <c r="AH762" s="6" t="str">
        <v>False</v>
      </c>
      <c r="AI762" s="6" t="str">
        <v>2014</v>
      </c>
      <c r="AJ762" s="6" t="str">
        <v>Completed</v>
      </c>
      <c r="AM762" s="6" t="str">
        <v>Not Applicable</v>
      </c>
      <c r="AO762" s="6" t="str">
        <v>US - Google Inc acquired Appetas Inc, a Seattle-based provider of website development and design services. Terms were not disclosed.</v>
      </c>
    </row>
    <row r="763">
      <c r="A763" s="6" t="str">
        <v>38259P</v>
      </c>
      <c r="B763" s="6" t="str">
        <v>United States</v>
      </c>
      <c r="C763" s="6" t="str">
        <v>Google Inc</v>
      </c>
      <c r="D763" s="6" t="str">
        <v>Alphabet Inc</v>
      </c>
      <c r="F763" s="6" t="str">
        <v>United States</v>
      </c>
      <c r="G763" s="6" t="str">
        <v>Stackdriver Inc</v>
      </c>
      <c r="H763" s="6" t="str">
        <v>Prepackaged Software</v>
      </c>
      <c r="I763" s="6" t="str">
        <v>0C5004</v>
      </c>
      <c r="J763" s="6" t="str">
        <v>Stackdriver Inc</v>
      </c>
      <c r="K763" s="6" t="str">
        <v>Stackdriver Inc</v>
      </c>
      <c r="L763" s="7">
        <f>=DATE(2014,5,7)</f>
        <v>41765.99949074074</v>
      </c>
      <c r="M763" s="7">
        <f>=DATE(2014,5,7)</f>
        <v>41765.99949074074</v>
      </c>
      <c r="W763" s="6" t="str">
        <v>Internet Services &amp; Software;Programming Services</v>
      </c>
      <c r="X763" s="6" t="str">
        <v>Applications Software(Business</v>
      </c>
      <c r="Y763" s="6" t="str">
        <v>Applications Software(Business</v>
      </c>
      <c r="Z763" s="6" t="str">
        <v>Applications Software(Business</v>
      </c>
      <c r="AA763" s="6" t="str">
        <v>Programming Services;Telecommunications Equipment;Computer Consulting Services;Primary Business not Hi-Tech;Internet Services &amp; Software</v>
      </c>
      <c r="AB763" s="6" t="str">
        <v>Programming Services;Internet Services &amp; Software;Computer Consulting Services;Telecommunications Equipment;Primary Business not Hi-Tech</v>
      </c>
      <c r="AH763" s="6" t="str">
        <v>False</v>
      </c>
      <c r="AI763" s="6" t="str">
        <v>2014</v>
      </c>
      <c r="AJ763" s="6" t="str">
        <v>Completed</v>
      </c>
      <c r="AM763" s="6" t="str">
        <v>Not Applicable</v>
      </c>
      <c r="AO763" s="6" t="str">
        <v>US - Google Inc acquired Stackdriver Inc, a Boston-based developer of prepackaged applications software in cloud platform, from Bain Capital Ventures, Flybridge Capital Partners, and other shareholders. Terms were not disclosed.</v>
      </c>
    </row>
    <row r="764">
      <c r="A764" s="6" t="str">
        <v>38259P</v>
      </c>
      <c r="B764" s="6" t="str">
        <v>United States</v>
      </c>
      <c r="C764" s="6" t="str">
        <v>Google Inc</v>
      </c>
      <c r="D764" s="6" t="str">
        <v>Alphabet Inc</v>
      </c>
      <c r="F764" s="6" t="str">
        <v>United States</v>
      </c>
      <c r="G764" s="6" t="str">
        <v>Quest Visual Inc</v>
      </c>
      <c r="H764" s="6" t="str">
        <v>Prepackaged Software</v>
      </c>
      <c r="I764" s="6" t="str">
        <v>0C6514</v>
      </c>
      <c r="J764" s="6" t="str">
        <v>Quest Visual Inc</v>
      </c>
      <c r="K764" s="6" t="str">
        <v>Quest Visual Inc</v>
      </c>
      <c r="L764" s="7">
        <f>=DATE(2014,5,16)</f>
        <v>41774.99949074074</v>
      </c>
      <c r="M764" s="7">
        <f>=DATE(2014,5,16)</f>
        <v>41774.99949074074</v>
      </c>
      <c r="W764" s="6" t="str">
        <v>Programming Services;Internet Services &amp; Software</v>
      </c>
      <c r="X764" s="6" t="str">
        <v>Communication/Network Software;Applications Software(Home);Applications Software(Business</v>
      </c>
      <c r="Y764" s="6" t="str">
        <v>Applications Software(Home);Applications Software(Business;Communication/Network Software</v>
      </c>
      <c r="Z764" s="6" t="str">
        <v>Communication/Network Software;Applications Software(Business;Applications Software(Home)</v>
      </c>
      <c r="AA764" s="6" t="str">
        <v>Computer Consulting Services;Programming Services;Primary Business not Hi-Tech;Telecommunications Equipment;Internet Services &amp; Software</v>
      </c>
      <c r="AB764" s="6" t="str">
        <v>Telecommunications Equipment;Computer Consulting Services;Primary Business not Hi-Tech;Programming Services;Internet Services &amp; Software</v>
      </c>
      <c r="AH764" s="6" t="str">
        <v>False</v>
      </c>
      <c r="AI764" s="6" t="str">
        <v>2014</v>
      </c>
      <c r="AJ764" s="6" t="str">
        <v>Completed</v>
      </c>
      <c r="AM764" s="6" t="str">
        <v>Not Applicable</v>
      </c>
      <c r="AO764" s="6" t="str">
        <v>US - Google Inc acquired Quest Visual Inc, a San Francisco-based developer of mobile applications software.</v>
      </c>
    </row>
    <row r="765">
      <c r="A765" s="6" t="str">
        <v>38259P</v>
      </c>
      <c r="B765" s="6" t="str">
        <v>United States</v>
      </c>
      <c r="C765" s="6" t="str">
        <v>Google Inc</v>
      </c>
      <c r="D765" s="6" t="str">
        <v>Alphabet Inc</v>
      </c>
      <c r="F765" s="6" t="str">
        <v>United States</v>
      </c>
      <c r="G765" s="6" t="str">
        <v>Enterproid Inc</v>
      </c>
      <c r="H765" s="6" t="str">
        <v>Prepackaged Software</v>
      </c>
      <c r="I765" s="6" t="str">
        <v>5A3552</v>
      </c>
      <c r="J765" s="6" t="str">
        <v>Enterproid Inc</v>
      </c>
      <c r="K765" s="6" t="str">
        <v>Enterproid Inc</v>
      </c>
      <c r="L765" s="7">
        <f>=DATE(2014,5,20)</f>
        <v>41778.99949074074</v>
      </c>
      <c r="M765" s="7">
        <f>=DATE(2014,5,20)</f>
        <v>41778.99949074074</v>
      </c>
      <c r="W765" s="6" t="str">
        <v>Programming Services;Internet Services &amp; Software</v>
      </c>
      <c r="X765" s="6" t="str">
        <v>Computer Consulting Services;Other Computer Related Svcs;Applications Software(Business;Communication/Network Software;Applications Software(Home);Utilities/File Mgmt Software;Turnkey Systems;Other Software (inq. Games);Other Computer Systems</v>
      </c>
      <c r="Y765" s="6" t="str">
        <v>Applications Software(Business;Computer Consulting Services;Communication/Network Software;Other Software (inq. Games);Applications Software(Home);Other Computer Systems;Turnkey Systems;Utilities/File Mgmt Software;Other Computer Related Svcs</v>
      </c>
      <c r="Z765" s="6" t="str">
        <v>Other Computer Systems;Applications Software(Business;Communication/Network Software;Other Software (inq. Games);Computer Consulting Services;Utilities/File Mgmt Software;Applications Software(Home);Other Computer Related Svcs;Turnkey Systems</v>
      </c>
      <c r="AA765" s="6" t="str">
        <v>Telecommunications Equipment;Primary Business not Hi-Tech;Internet Services &amp; Software;Programming Services;Computer Consulting Services</v>
      </c>
      <c r="AB765" s="6" t="str">
        <v>Programming Services;Computer Consulting Services;Primary Business not Hi-Tech;Internet Services &amp; Software;Telecommunications Equipment</v>
      </c>
      <c r="AH765" s="6" t="str">
        <v>False</v>
      </c>
      <c r="AI765" s="6" t="str">
        <v>2014</v>
      </c>
      <c r="AJ765" s="6" t="str">
        <v>Completed</v>
      </c>
      <c r="AM765" s="6" t="str">
        <v>Not Applicable</v>
      </c>
      <c r="AO765" s="6" t="str">
        <v>US - Google Inc acquired Enterproid Inc, doing business as Divide, a New York-based software development company. Terms were not disclosed.</v>
      </c>
    </row>
    <row r="766">
      <c r="A766" s="6" t="str">
        <v>037833</v>
      </c>
      <c r="B766" s="6" t="str">
        <v>United States</v>
      </c>
      <c r="C766" s="6" t="str">
        <v>Apple Inc</v>
      </c>
      <c r="D766" s="6" t="str">
        <v>Apple Inc</v>
      </c>
      <c r="F766" s="6" t="str">
        <v>United States</v>
      </c>
      <c r="G766" s="6" t="str">
        <v>Beats Electronics LLC</v>
      </c>
      <c r="H766" s="6" t="str">
        <v>Electronic and Electrical Equipment</v>
      </c>
      <c r="I766" s="6" t="str">
        <v>07573T</v>
      </c>
      <c r="J766" s="6" t="str">
        <v>Beats Electronics LLC</v>
      </c>
      <c r="K766" s="6" t="str">
        <v>Beats Electronics LLC</v>
      </c>
      <c r="L766" s="7">
        <f>=DATE(2014,5,28)</f>
        <v>41786.99949074074</v>
      </c>
      <c r="M766" s="7">
        <f>=DATE(2014,8,1)</f>
        <v>41851.99949074074</v>
      </c>
      <c r="N766" s="8">
        <v>3000</v>
      </c>
      <c r="O766" s="8">
        <v>3000</v>
      </c>
      <c r="W766" s="6" t="str">
        <v>Portable Computers;Printers;Micro-Computers (PCs);Other Software (inq. Games);Monitors/Terminals;Mainframes &amp; Super Computers;Disk Drives;Other Peripherals</v>
      </c>
      <c r="X766" s="6" t="str">
        <v>Other Peripherals</v>
      </c>
      <c r="Y766" s="6" t="str">
        <v>Other Peripherals</v>
      </c>
      <c r="Z766" s="6" t="str">
        <v>Other Peripherals</v>
      </c>
      <c r="AA766" s="6" t="str">
        <v>Other Peripherals;Micro-Computers (PCs);Other Software (inq. Games);Portable Computers;Disk Drives;Mainframes &amp; Super Computers;Monitors/Terminals;Printers</v>
      </c>
      <c r="AB766" s="6" t="str">
        <v>Disk Drives;Micro-Computers (PCs);Portable Computers;Mainframes &amp; Super Computers;Printers;Monitors/Terminals;Other Peripherals;Other Software (inq. Games)</v>
      </c>
      <c r="AC766" s="8">
        <v>3000</v>
      </c>
      <c r="AD766" s="7">
        <f>=DATE(2014,5,28)</f>
        <v>41786.99949074074</v>
      </c>
      <c r="AH766" s="6" t="str">
        <v>True</v>
      </c>
      <c r="AI766" s="6" t="str">
        <v>2014</v>
      </c>
      <c r="AJ766" s="6" t="str">
        <v>Completed</v>
      </c>
      <c r="AM766" s="6" t="str">
        <v>Rumored Deal</v>
      </c>
      <c r="AO766" s="6" t="str">
        <v>US - Apple Inc (Apple) acquired Beats Electronics LLC (Beats), a New York-based manufacturer and wholesaler of headphones, from The Carlyle Group LP, Universal Music Group Inc, a unit of Vivendi SA, and other shareholders, for an estimated USD 3 bil. The consideration consisted of an estimated USD 2.6 bil and an estimated USD 400 mil in Apple common shares. Originally, in May 2014, Apple was rumored to be planning to acquire the entire share capital of Beats. The transaction included Beats Music LLC.</v>
      </c>
    </row>
    <row r="767">
      <c r="A767" s="6" t="str">
        <v>594918</v>
      </c>
      <c r="B767" s="6" t="str">
        <v>United States</v>
      </c>
      <c r="C767" s="6" t="str">
        <v>Microsoft Corp</v>
      </c>
      <c r="D767" s="6" t="str">
        <v>Microsoft Corp</v>
      </c>
      <c r="F767" s="6" t="str">
        <v>France</v>
      </c>
      <c r="G767" s="6" t="str">
        <v>CAPPTAIN SAS</v>
      </c>
      <c r="H767" s="6" t="str">
        <v>Prepackaged Software</v>
      </c>
      <c r="I767" s="6" t="str">
        <v>0C9959</v>
      </c>
      <c r="J767" s="6" t="str">
        <v>CAPPTAIN SAS</v>
      </c>
      <c r="K767" s="6" t="str">
        <v>CAPPTAIN SAS</v>
      </c>
      <c r="L767" s="7">
        <f>=DATE(2014,5,28)</f>
        <v>41786.99949074074</v>
      </c>
      <c r="M767" s="7">
        <f>=DATE(2014,5,28)</f>
        <v>41786.99949074074</v>
      </c>
      <c r="W767" s="6" t="str">
        <v>Applications Software(Business;Internet Services &amp; Software;Other Peripherals;Operating Systems;Monitors/Terminals;Computer Consulting Services</v>
      </c>
      <c r="X767" s="6" t="str">
        <v>Applications Software(Home);Communication/Network Software;Applications Software(Business</v>
      </c>
      <c r="Y767" s="6" t="str">
        <v>Communication/Network Software;Applications Software(Home);Applications Software(Business</v>
      </c>
      <c r="Z767" s="6" t="str">
        <v>Applications Software(Business;Communication/Network Software;Applications Software(Home)</v>
      </c>
      <c r="AA767" s="6" t="str">
        <v>Internet Services &amp; Software;Monitors/Terminals;Applications Software(Business;Operating Systems;Other Peripherals;Computer Consulting Services</v>
      </c>
      <c r="AB767" s="6" t="str">
        <v>Monitors/Terminals;Applications Software(Business;Operating Systems;Computer Consulting Services;Other Peripherals;Internet Services &amp; Software</v>
      </c>
      <c r="AH767" s="6" t="str">
        <v>False</v>
      </c>
      <c r="AI767" s="6" t="str">
        <v>2014</v>
      </c>
      <c r="AJ767" s="6" t="str">
        <v>Completed</v>
      </c>
      <c r="AM767" s="6" t="str">
        <v>Not Applicable</v>
      </c>
      <c r="AO767" s="6" t="str">
        <v>FRANCE - Microsoft Corp acquired the Capptain SAS, a Paris-based based developer of marketing software solutions.</v>
      </c>
    </row>
    <row r="768">
      <c r="A768" s="6" t="str">
        <v>037833</v>
      </c>
      <c r="B768" s="6" t="str">
        <v>United States</v>
      </c>
      <c r="C768" s="6" t="str">
        <v>Apple Inc</v>
      </c>
      <c r="D768" s="6" t="str">
        <v>Apple Inc</v>
      </c>
      <c r="F768" s="6" t="str">
        <v>United States</v>
      </c>
      <c r="G768" s="6" t="str">
        <v>Simple Rules Inc</v>
      </c>
      <c r="H768" s="6" t="str">
        <v>Prepackaged Software</v>
      </c>
      <c r="I768" s="6" t="str">
        <v>1C0400</v>
      </c>
      <c r="J768" s="6" t="str">
        <v>Simple Rules Inc</v>
      </c>
      <c r="K768" s="6" t="str">
        <v>Simple Rules Inc</v>
      </c>
      <c r="L768" s="7">
        <f>=DATE(2014,6,6)</f>
        <v>41795.99949074074</v>
      </c>
      <c r="W768" s="6" t="str">
        <v>Mainframes &amp; Super Computers;Monitors/Terminals;Disk Drives;Other Peripherals;Other Software (inq. Games);Printers;Portable Computers;Micro-Computers (PCs)</v>
      </c>
      <c r="X768" s="6" t="str">
        <v>Applications Software(Business;Communication/Network Software;Applications Software(Home)</v>
      </c>
      <c r="Y768" s="6" t="str">
        <v>Applications Software(Business;Applications Software(Home);Communication/Network Software</v>
      </c>
      <c r="Z768" s="6" t="str">
        <v>Applications Software(Business;Applications Software(Home);Communication/Network Software</v>
      </c>
      <c r="AA768" s="6" t="str">
        <v>Mainframes &amp; Super Computers;Other Peripherals;Micro-Computers (PCs);Monitors/Terminals;Printers;Portable Computers;Disk Drives;Other Software (inq. Games)</v>
      </c>
      <c r="AB768" s="6" t="str">
        <v>Disk Drives;Portable Computers;Monitors/Terminals;Other Peripherals;Micro-Computers (PCs);Other Software (inq. Games);Printers;Mainframes &amp; Super Computers</v>
      </c>
      <c r="AH768" s="6" t="str">
        <v>False</v>
      </c>
      <c r="AJ768" s="6" t="str">
        <v>Dismissed Rumor</v>
      </c>
      <c r="AM768" s="6" t="str">
        <v>Rumored Deal</v>
      </c>
      <c r="AO768" s="6" t="str">
        <v>US - Apple Inc was rumored to have acquired Simple Rules Inc, doing business as Spotsetter, a San Francisco-based developer of place recommendation mobile application. The Current status of this deal is unknown.</v>
      </c>
    </row>
    <row r="769">
      <c r="A769" s="6" t="str">
        <v>38259P</v>
      </c>
      <c r="B769" s="6" t="str">
        <v>United States</v>
      </c>
      <c r="C769" s="6" t="str">
        <v>Google Inc</v>
      </c>
      <c r="D769" s="6" t="str">
        <v>Alphabet Inc</v>
      </c>
      <c r="F769" s="6" t="str">
        <v>United States</v>
      </c>
      <c r="G769" s="6" t="str">
        <v>Skybox Imaging Inc</v>
      </c>
      <c r="H769" s="6" t="str">
        <v>Communications Equipment</v>
      </c>
      <c r="I769" s="6" t="str">
        <v>0C7726</v>
      </c>
      <c r="J769" s="6" t="str">
        <v>Skybox Imaging Inc</v>
      </c>
      <c r="K769" s="6" t="str">
        <v>Skybox Imaging Inc</v>
      </c>
      <c r="L769" s="7">
        <f>=DATE(2014,6,10)</f>
        <v>41799.99949074074</v>
      </c>
      <c r="M769" s="7">
        <f>=DATE(2014,8,1)</f>
        <v>41851.99949074074</v>
      </c>
      <c r="N769" s="8">
        <v>500</v>
      </c>
      <c r="O769" s="8">
        <v>500</v>
      </c>
      <c r="W769" s="6" t="str">
        <v>Programming Services;Internet Services &amp; Software</v>
      </c>
      <c r="X769" s="6" t="str">
        <v>Other Telecommunications Equip;Internet Services &amp; Software;Satellite Communications</v>
      </c>
      <c r="Y769" s="6" t="str">
        <v>Internet Services &amp; Software;Other Telecommunications Equip;Satellite Communications</v>
      </c>
      <c r="Z769" s="6" t="str">
        <v>Satellite Communications;Internet Services &amp; Software;Other Telecommunications Equip</v>
      </c>
      <c r="AA769" s="6" t="str">
        <v>Primary Business not Hi-Tech;Internet Services &amp; Software;Programming Services;Telecommunications Equipment;Computer Consulting Services</v>
      </c>
      <c r="AB769" s="6" t="str">
        <v>Internet Services &amp; Software;Telecommunications Equipment;Programming Services;Computer Consulting Services;Primary Business not Hi-Tech</v>
      </c>
      <c r="AC769" s="8">
        <v>500</v>
      </c>
      <c r="AD769" s="7">
        <f>=DATE(2014,6,10)</f>
        <v>41799.99949074074</v>
      </c>
      <c r="AH769" s="6" t="str">
        <v>False</v>
      </c>
      <c r="AI769" s="6" t="str">
        <v>2014</v>
      </c>
      <c r="AJ769" s="6" t="str">
        <v>Completed</v>
      </c>
      <c r="AM769" s="6" t="str">
        <v>Rumored Deal</v>
      </c>
      <c r="AO769" s="6" t="str">
        <v>US - Google Inc acquired Skybox Imaging Inc, a Mountain View-based manufacturer of satellite systems, for an estimated USD 500 mil. Originally, in May 2014, Google Inc was rumored to be planning to acquire Skybox Imaging Inc.</v>
      </c>
    </row>
    <row r="770">
      <c r="A770" s="6" t="str">
        <v>38259P</v>
      </c>
      <c r="B770" s="6" t="str">
        <v>United States</v>
      </c>
      <c r="C770" s="6" t="str">
        <v>Google Inc</v>
      </c>
      <c r="D770" s="6" t="str">
        <v>Alphabet Inc</v>
      </c>
      <c r="F770" s="6" t="str">
        <v>Canada</v>
      </c>
      <c r="G770" s="6" t="str">
        <v>mDialog Corp</v>
      </c>
      <c r="H770" s="6" t="str">
        <v>Business Services</v>
      </c>
      <c r="I770" s="6" t="str">
        <v>1C2889</v>
      </c>
      <c r="J770" s="6" t="str">
        <v>mDialog Corp</v>
      </c>
      <c r="K770" s="6" t="str">
        <v>mDialog Corp</v>
      </c>
      <c r="L770" s="7">
        <f>=DATE(2014,6,19)</f>
        <v>41808.99949074074</v>
      </c>
      <c r="M770" s="7">
        <f>=DATE(2014,6,19)</f>
        <v>41808.99949074074</v>
      </c>
      <c r="W770" s="6" t="str">
        <v>Programming Services;Internet Services &amp; Software</v>
      </c>
      <c r="X770" s="6" t="str">
        <v>Internet Services &amp; Software</v>
      </c>
      <c r="Y770" s="6" t="str">
        <v>Internet Services &amp; Software</v>
      </c>
      <c r="Z770" s="6" t="str">
        <v>Internet Services &amp; Software</v>
      </c>
      <c r="AA770" s="6" t="str">
        <v>Internet Services &amp; Software;Programming Services;Computer Consulting Services;Telecommunications Equipment;Primary Business not Hi-Tech</v>
      </c>
      <c r="AB770" s="6" t="str">
        <v>Computer Consulting Services;Programming Services;Telecommunications Equipment;Internet Services &amp; Software;Primary Business not Hi-Tech</v>
      </c>
      <c r="AH770" s="6" t="str">
        <v>False</v>
      </c>
      <c r="AI770" s="6" t="str">
        <v>2014</v>
      </c>
      <c r="AJ770" s="6" t="str">
        <v>Completed</v>
      </c>
      <c r="AM770" s="6" t="str">
        <v>Not Applicable</v>
      </c>
      <c r="AO770" s="6" t="str">
        <v>CANADA - Google Inc of the US acquired mDialog Corp, a Toronto-based provider of online video advertising services. Terms were not disclosed.</v>
      </c>
    </row>
    <row r="771">
      <c r="A771" s="6" t="str">
        <v>3A7443</v>
      </c>
      <c r="B771" s="6" t="str">
        <v>United States</v>
      </c>
      <c r="C771" s="6" t="str">
        <v>Nest Labs Inc</v>
      </c>
      <c r="D771" s="6" t="str">
        <v>Alphabet Inc</v>
      </c>
      <c r="F771" s="6" t="str">
        <v>United States</v>
      </c>
      <c r="G771" s="6" t="str">
        <v>Dropcam Inc</v>
      </c>
      <c r="H771" s="6" t="str">
        <v>Electronic and Electrical Equipment</v>
      </c>
      <c r="I771" s="6" t="str">
        <v>0C8399</v>
      </c>
      <c r="J771" s="6" t="str">
        <v>Dropcam Inc</v>
      </c>
      <c r="K771" s="6" t="str">
        <v>Dropcam Inc</v>
      </c>
      <c r="L771" s="7">
        <f>=DATE(2014,6,20)</f>
        <v>41809.99949074074</v>
      </c>
      <c r="M771" s="7">
        <f>=DATE(2014,7,31)</f>
        <v>41850.99949074074</v>
      </c>
      <c r="N771" s="8">
        <v>555</v>
      </c>
      <c r="O771" s="8">
        <v>555</v>
      </c>
      <c r="W771" s="6" t="str">
        <v>Process Control Systems</v>
      </c>
      <c r="X771" s="6" t="str">
        <v>Primary Business not Hi-Tech;Communication/Network Software;Applications Software(Home);Internet Services &amp; Software</v>
      </c>
      <c r="Y771" s="6" t="str">
        <v>Applications Software(Home);Primary Business not Hi-Tech;Communication/Network Software;Internet Services &amp; Software</v>
      </c>
      <c r="Z771" s="6" t="str">
        <v>Internet Services &amp; Software;Applications Software(Home);Primary Business not Hi-Tech;Communication/Network Software</v>
      </c>
      <c r="AA771" s="6" t="str">
        <v>Programming Services;Internet Services &amp; Software</v>
      </c>
      <c r="AB771" s="6" t="str">
        <v>Primary Business not Hi-Tech;Programming Services;Internet Services &amp; Software;Computer Consulting Services;Telecommunications Equipment</v>
      </c>
      <c r="AC771" s="8">
        <v>555</v>
      </c>
      <c r="AD771" s="7">
        <f>=DATE(2014,6,20)</f>
        <v>41809.99949074074</v>
      </c>
      <c r="AH771" s="6" t="str">
        <v>False</v>
      </c>
      <c r="AI771" s="6" t="str">
        <v>2014</v>
      </c>
      <c r="AJ771" s="6" t="str">
        <v>Completed</v>
      </c>
      <c r="AM771" s="6" t="str">
        <v>Rumored Deal</v>
      </c>
      <c r="AO771" s="6" t="str">
        <v>US - Nest Labs Inc, a unit of Google Inc, acquired Dropcam Inc, a San Francisco-based manufacturer of home security cameras, for an estimated USD 555 mil in cash. Originally, Google was rumored to be planning to acquire Dropcam.</v>
      </c>
    </row>
    <row r="772">
      <c r="A772" s="6" t="str">
        <v>38259P</v>
      </c>
      <c r="B772" s="6" t="str">
        <v>United States</v>
      </c>
      <c r="C772" s="6" t="str">
        <v>Google Inc</v>
      </c>
      <c r="D772" s="6" t="str">
        <v>Alphabet Inc</v>
      </c>
      <c r="F772" s="6" t="str">
        <v>United States</v>
      </c>
      <c r="G772" s="6" t="str">
        <v>Baarzo</v>
      </c>
      <c r="H772" s="6" t="str">
        <v>Business Services</v>
      </c>
      <c r="I772" s="6" t="str">
        <v>1C3434</v>
      </c>
      <c r="J772" s="6" t="str">
        <v>Baarzo</v>
      </c>
      <c r="K772" s="6" t="str">
        <v>Baarzo</v>
      </c>
      <c r="L772" s="7">
        <f>=DATE(2014,6,23)</f>
        <v>41812.99949074074</v>
      </c>
      <c r="W772" s="6" t="str">
        <v>Programming Services;Internet Services &amp; Software</v>
      </c>
      <c r="X772" s="6" t="str">
        <v>Internet Services &amp; Software</v>
      </c>
      <c r="Y772" s="6" t="str">
        <v>Internet Services &amp; Software</v>
      </c>
      <c r="Z772" s="6" t="str">
        <v>Internet Services &amp; Software</v>
      </c>
      <c r="AA772" s="6" t="str">
        <v>Primary Business not Hi-Tech;Internet Services &amp; Software;Computer Consulting Services;Programming Services;Telecommunications Equipment</v>
      </c>
      <c r="AB772" s="6" t="str">
        <v>Internet Services &amp; Software;Programming Services;Computer Consulting Services;Telecommunications Equipment;Primary Business not Hi-Tech</v>
      </c>
      <c r="AH772" s="6" t="str">
        <v>False</v>
      </c>
      <c r="AJ772" s="6" t="str">
        <v>Dismissed Rumor</v>
      </c>
      <c r="AM772" s="6" t="str">
        <v>Rumored Deal</v>
      </c>
      <c r="AO772" s="6" t="str">
        <v>US - Google Inc was rumored to be planning to acquire Baarzo, a Palo Alto-based provider of online video hosting services. The Current status of this deal is unknown.</v>
      </c>
    </row>
    <row r="773">
      <c r="A773" s="6" t="str">
        <v>38259P</v>
      </c>
      <c r="B773" s="6" t="str">
        <v>United States</v>
      </c>
      <c r="C773" s="6" t="str">
        <v>Google Inc</v>
      </c>
      <c r="D773" s="6" t="str">
        <v>Alphabet Inc</v>
      </c>
      <c r="F773" s="6" t="str">
        <v>United States</v>
      </c>
      <c r="G773" s="6" t="str">
        <v>Appurify Inc</v>
      </c>
      <c r="H773" s="6" t="str">
        <v>Prepackaged Software</v>
      </c>
      <c r="I773" s="6" t="str">
        <v>5A4884</v>
      </c>
      <c r="J773" s="6" t="str">
        <v>Appurify Inc</v>
      </c>
      <c r="K773" s="6" t="str">
        <v>Appurify Inc</v>
      </c>
      <c r="L773" s="7">
        <f>=DATE(2014,6,25)</f>
        <v>41814.99949074074</v>
      </c>
      <c r="M773" s="7">
        <f>=DATE(2014,6,25)</f>
        <v>41814.99949074074</v>
      </c>
      <c r="W773" s="6" t="str">
        <v>Internet Services &amp; Software;Programming Services</v>
      </c>
      <c r="X773" s="6" t="str">
        <v>Internet Services &amp; Software;Communication/Network Software</v>
      </c>
      <c r="Y773" s="6" t="str">
        <v>Communication/Network Software;Internet Services &amp; Software</v>
      </c>
      <c r="Z773" s="6" t="str">
        <v>Internet Services &amp; Software;Communication/Network Software</v>
      </c>
      <c r="AA773" s="6" t="str">
        <v>Computer Consulting Services;Telecommunications Equipment;Internet Services &amp; Software;Programming Services;Primary Business not Hi-Tech</v>
      </c>
      <c r="AB773" s="6" t="str">
        <v>Internet Services &amp; Software;Computer Consulting Services;Primary Business not Hi-Tech;Programming Services;Telecommunications Equipment</v>
      </c>
      <c r="AH773" s="6" t="str">
        <v>False</v>
      </c>
      <c r="AI773" s="6" t="str">
        <v>2014</v>
      </c>
      <c r="AJ773" s="6" t="str">
        <v>Completed</v>
      </c>
      <c r="AM773" s="6" t="str">
        <v>Not Applicable</v>
      </c>
      <c r="AO773" s="6" t="str">
        <v>US - Google Inc acquired Appurify Inc, a San Francisco-based developer of mobile bugging application software.</v>
      </c>
    </row>
    <row r="774">
      <c r="A774" s="6" t="str">
        <v>38259P</v>
      </c>
      <c r="B774" s="6" t="str">
        <v>United States</v>
      </c>
      <c r="C774" s="6" t="str">
        <v>Google Inc</v>
      </c>
      <c r="D774" s="6" t="str">
        <v>Alphabet Inc</v>
      </c>
      <c r="F774" s="6" t="str">
        <v>United States</v>
      </c>
      <c r="G774" s="6" t="str">
        <v>Songza Inc</v>
      </c>
      <c r="H774" s="6" t="str">
        <v>Business Services</v>
      </c>
      <c r="I774" s="6" t="str">
        <v>83255Z</v>
      </c>
      <c r="J774" s="6" t="str">
        <v>Amie Street Inc</v>
      </c>
      <c r="K774" s="6" t="str">
        <v>Amie Street Inc</v>
      </c>
      <c r="L774" s="7">
        <f>=DATE(2014,7,1)</f>
        <v>41820.99949074074</v>
      </c>
      <c r="W774" s="6" t="str">
        <v>Internet Services &amp; Software;Programming Services</v>
      </c>
      <c r="X774" s="6" t="str">
        <v>Internet Services &amp; Software</v>
      </c>
      <c r="Y774" s="6" t="str">
        <v>Internet Services &amp; Software</v>
      </c>
      <c r="Z774" s="6" t="str">
        <v>Internet Services &amp; Software</v>
      </c>
      <c r="AA774" s="6" t="str">
        <v>Computer Consulting Services;Internet Services &amp; Software;Primary Business not Hi-Tech;Programming Services;Telecommunications Equipment</v>
      </c>
      <c r="AB774" s="6" t="str">
        <v>Computer Consulting Services;Primary Business not Hi-Tech;Programming Services;Internet Services &amp; Software;Telecommunications Equipment</v>
      </c>
      <c r="AH774" s="6" t="str">
        <v>False</v>
      </c>
      <c r="AJ774" s="6" t="str">
        <v>Pending</v>
      </c>
      <c r="AM774" s="6" t="str">
        <v>Not Applicable</v>
      </c>
      <c r="AO774" s="6" t="str">
        <v>US - Google Inc agreed to acquire Songza Inc, a Long Island City-based provider of online music services, from Amie Street Inc. Terms were not disclosed but according to people familiar with the transaction, the deal has a value of an estimated USD 15 mil.</v>
      </c>
    </row>
    <row r="775">
      <c r="A775" s="6" t="str">
        <v>30303M</v>
      </c>
      <c r="B775" s="6" t="str">
        <v>United States</v>
      </c>
      <c r="C775" s="6" t="str">
        <v>Facebook Inc</v>
      </c>
      <c r="D775" s="6" t="str">
        <v>Facebook Inc</v>
      </c>
      <c r="F775" s="6" t="str">
        <v>United States</v>
      </c>
      <c r="G775" s="6" t="str">
        <v>LiveRail Inc</v>
      </c>
      <c r="H775" s="6" t="str">
        <v>Advertising Services</v>
      </c>
      <c r="I775" s="6" t="str">
        <v>1C5858</v>
      </c>
      <c r="J775" s="6" t="str">
        <v>LiveRail Inc</v>
      </c>
      <c r="K775" s="6" t="str">
        <v>LiveRail Inc</v>
      </c>
      <c r="L775" s="7">
        <f>=DATE(2014,7,2)</f>
        <v>41821.99949074074</v>
      </c>
      <c r="W775" s="6" t="str">
        <v>Internet Services &amp; Software</v>
      </c>
      <c r="X775" s="6" t="str">
        <v>Internet Services &amp; Software;Primary Business not Hi-Tech</v>
      </c>
      <c r="Y775" s="6" t="str">
        <v>Primary Business not Hi-Tech;Internet Services &amp; Software</v>
      </c>
      <c r="Z775" s="6" t="str">
        <v>Internet Services &amp; Software;Primary Business not Hi-Tech</v>
      </c>
      <c r="AA775" s="6" t="str">
        <v>Internet Services &amp; Software</v>
      </c>
      <c r="AB775" s="6" t="str">
        <v>Internet Services &amp; Software</v>
      </c>
      <c r="AD775" s="7">
        <f>=DATE(2014,7,2)</f>
        <v>41821.99949074074</v>
      </c>
      <c r="AH775" s="6" t="str">
        <v>True</v>
      </c>
      <c r="AJ775" s="6" t="str">
        <v>Pending</v>
      </c>
      <c r="AM775" s="6" t="str">
        <v>Financial Acquiror</v>
      </c>
      <c r="AO775" s="6" t="str">
        <v>US - Facebook Inc acquired LiveRail Inc, a San Francisco-based provider of online advertising services. Terms were not disclosed buy, according to sources close to the situation, the deal was valued at an estimated USD 500 mil.</v>
      </c>
    </row>
    <row r="776">
      <c r="A776" s="6" t="str">
        <v>594918</v>
      </c>
      <c r="B776" s="6" t="str">
        <v>United States</v>
      </c>
      <c r="C776" s="6" t="str">
        <v>Microsoft Corp</v>
      </c>
      <c r="D776" s="6" t="str">
        <v>Microsoft Corp</v>
      </c>
      <c r="F776" s="6" t="str">
        <v>France</v>
      </c>
      <c r="G776" s="6" t="str">
        <v>Syntaxtree SARL</v>
      </c>
      <c r="H776" s="6" t="str">
        <v>Business Services</v>
      </c>
      <c r="I776" s="6" t="str">
        <v>1C6021</v>
      </c>
      <c r="J776" s="6" t="str">
        <v>Syntaxtree SARL</v>
      </c>
      <c r="K776" s="6" t="str">
        <v>Syntaxtree SARL</v>
      </c>
      <c r="L776" s="7">
        <f>=DATE(2014,7,2)</f>
        <v>41821.99949074074</v>
      </c>
      <c r="M776" s="7">
        <f>=DATE(2014,7,2)</f>
        <v>41821.99949074074</v>
      </c>
      <c r="R776" s="8">
        <v>0.048194761917876</v>
      </c>
      <c r="S776" s="8">
        <v>0.406212993307813</v>
      </c>
      <c r="W776" s="6" t="str">
        <v>Computer Consulting Services;Operating Systems;Monitors/Terminals;Applications Software(Business;Other Peripherals;Internet Services &amp; Software</v>
      </c>
      <c r="X776" s="6" t="str">
        <v>Other Computer Related Svcs;Other Software (inq. Games);Computer Consulting Services</v>
      </c>
      <c r="Y776" s="6" t="str">
        <v>Computer Consulting Services;Other Software (inq. Games);Other Computer Related Svcs</v>
      </c>
      <c r="Z776" s="6" t="str">
        <v>Other Software (inq. Games);Computer Consulting Services;Other Computer Related Svcs</v>
      </c>
      <c r="AA776" s="6" t="str">
        <v>Monitors/Terminals;Operating Systems;Other Peripherals;Applications Software(Business;Computer Consulting Services;Internet Services &amp; Software</v>
      </c>
      <c r="AB776" s="6" t="str">
        <v>Monitors/Terminals;Internet Services &amp; Software;Applications Software(Business;Other Peripherals;Operating Systems;Computer Consulting Services</v>
      </c>
      <c r="AH776" s="6" t="str">
        <v>True</v>
      </c>
      <c r="AI776" s="6" t="str">
        <v>2014</v>
      </c>
      <c r="AJ776" s="6" t="str">
        <v>Completed</v>
      </c>
      <c r="AM776" s="6" t="str">
        <v>Not Applicable</v>
      </c>
      <c r="AO776" s="6" t="str">
        <v>FRANCE - Microsoft Corp of the Unites States acquired Syntaxtree SARL, Marcy-L'Etoile-based provider of computer and software consulting services.</v>
      </c>
    </row>
    <row r="777">
      <c r="A777" s="6" t="str">
        <v>594918</v>
      </c>
      <c r="B777" s="6" t="str">
        <v>United States</v>
      </c>
      <c r="C777" s="6" t="str">
        <v>Microsoft Corp</v>
      </c>
      <c r="D777" s="6" t="str">
        <v>Microsoft Corp</v>
      </c>
      <c r="F777" s="6" t="str">
        <v>United States</v>
      </c>
      <c r="G777" s="6" t="str">
        <v>InMage Systems Inc</v>
      </c>
      <c r="H777" s="6" t="str">
        <v>Prepackaged Software</v>
      </c>
      <c r="I777" s="6" t="str">
        <v>1C7562</v>
      </c>
      <c r="J777" s="6" t="str">
        <v>InMage Systems Inc</v>
      </c>
      <c r="K777" s="6" t="str">
        <v>InMage Systems Inc</v>
      </c>
      <c r="L777" s="7">
        <f>=DATE(2014,7,11)</f>
        <v>41830.99949074074</v>
      </c>
      <c r="M777" s="7">
        <f>=DATE(2014,7,11)</f>
        <v>41830.99949074074</v>
      </c>
      <c r="W777" s="6" t="str">
        <v>Operating Systems;Internet Services &amp; Software;Computer Consulting Services;Other Peripherals;Monitors/Terminals;Applications Software(Business</v>
      </c>
      <c r="X777" s="6" t="str">
        <v>Other Software (inq. Games)</v>
      </c>
      <c r="Y777" s="6" t="str">
        <v>Other Software (inq. Games)</v>
      </c>
      <c r="Z777" s="6" t="str">
        <v>Other Software (inq. Games)</v>
      </c>
      <c r="AA777" s="6" t="str">
        <v>Computer Consulting Services;Operating Systems;Monitors/Terminals;Applications Software(Business;Internet Services &amp; Software;Other Peripherals</v>
      </c>
      <c r="AB777" s="6" t="str">
        <v>Monitors/Terminals;Operating Systems;Internet Services &amp; Software;Computer Consulting Services;Other Peripherals;Applications Software(Business</v>
      </c>
      <c r="AH777" s="6" t="str">
        <v>True</v>
      </c>
      <c r="AI777" s="6" t="str">
        <v>2014</v>
      </c>
      <c r="AJ777" s="6" t="str">
        <v>Completed</v>
      </c>
      <c r="AM777" s="6" t="str">
        <v>Not Applicable</v>
      </c>
      <c r="AO777" s="6" t="str">
        <v>US - Microsoft Corp acquired InMage Systems Inc, a San Jose-based developer of data recovery software.</v>
      </c>
    </row>
    <row r="778">
      <c r="A778" s="6" t="str">
        <v>53578A</v>
      </c>
      <c r="B778" s="6" t="str">
        <v>United States</v>
      </c>
      <c r="C778" s="6" t="str">
        <v>LinkedIn Corp</v>
      </c>
      <c r="D778" s="6" t="str">
        <v>LinkedIn Corp</v>
      </c>
      <c r="F778" s="6" t="str">
        <v>United States</v>
      </c>
      <c r="G778" s="6" t="str">
        <v>Newsle Inc</v>
      </c>
      <c r="H778" s="6" t="str">
        <v>Business Services</v>
      </c>
      <c r="I778" s="6" t="str">
        <v>1C7883</v>
      </c>
      <c r="J778" s="6" t="str">
        <v>Newsle Inc</v>
      </c>
      <c r="K778" s="6" t="str">
        <v>Newsle Inc</v>
      </c>
      <c r="L778" s="7">
        <f>=DATE(2014,7,14)</f>
        <v>41833.99949074074</v>
      </c>
      <c r="M778" s="7">
        <f>=DATE(2014,7,14)</f>
        <v>41833.99949074074</v>
      </c>
      <c r="W778" s="6" t="str">
        <v>Internet Services &amp; Software</v>
      </c>
      <c r="X778" s="6" t="str">
        <v>Internet Services &amp; Software</v>
      </c>
      <c r="Y778" s="6" t="str">
        <v>Internet Services &amp; Software</v>
      </c>
      <c r="Z778" s="6" t="str">
        <v>Internet Services &amp; Software</v>
      </c>
      <c r="AA778" s="6" t="str">
        <v>Internet Services &amp; Software</v>
      </c>
      <c r="AB778" s="6" t="str">
        <v>Internet Services &amp; Software</v>
      </c>
      <c r="AH778" s="6" t="str">
        <v>False</v>
      </c>
      <c r="AI778" s="6" t="str">
        <v>2014</v>
      </c>
      <c r="AJ778" s="6" t="str">
        <v>Completed</v>
      </c>
      <c r="AM778" s="6" t="str">
        <v>Financial Acquiror</v>
      </c>
      <c r="AO778" s="6" t="str">
        <v>US - LinkedIn Corp acquired Newsle Inc, a San Francisco-based provider of online networking services. Terms were not disclosed.</v>
      </c>
    </row>
    <row r="779">
      <c r="A779" s="6" t="str">
        <v>594918</v>
      </c>
      <c r="B779" s="6" t="str">
        <v>United States</v>
      </c>
      <c r="C779" s="6" t="str">
        <v>Microsoft Corp</v>
      </c>
      <c r="D779" s="6" t="str">
        <v>Microsoft Corp</v>
      </c>
      <c r="F779" s="6" t="str">
        <v>Israel</v>
      </c>
      <c r="G779" s="6" t="str">
        <v>Aorato Ltd</v>
      </c>
      <c r="H779" s="6" t="str">
        <v>Prepackaged Software</v>
      </c>
      <c r="I779" s="6" t="str">
        <v>1C8516</v>
      </c>
      <c r="J779" s="6" t="str">
        <v>Aorato Ltd</v>
      </c>
      <c r="K779" s="6" t="str">
        <v>Aorato Ltd</v>
      </c>
      <c r="L779" s="7">
        <f>=DATE(2014,7,15)</f>
        <v>41834.99949074074</v>
      </c>
      <c r="M779" s="7">
        <f>=DATE(2014,12,13)</f>
        <v>41985.99949074074</v>
      </c>
      <c r="W779" s="6" t="str">
        <v>Monitors/Terminals;Applications Software(Business;Computer Consulting Services;Operating Systems;Other Peripherals;Internet Services &amp; Software</v>
      </c>
      <c r="X779" s="6" t="str">
        <v>Communication/Network Software;Internet Services &amp; Software</v>
      </c>
      <c r="Y779" s="6" t="str">
        <v>Internet Services &amp; Software;Communication/Network Software</v>
      </c>
      <c r="Z779" s="6" t="str">
        <v>Communication/Network Software;Internet Services &amp; Software</v>
      </c>
      <c r="AA779" s="6" t="str">
        <v>Applications Software(Business;Operating Systems;Other Peripherals;Monitors/Terminals;Computer Consulting Services;Internet Services &amp; Software</v>
      </c>
      <c r="AB779" s="6" t="str">
        <v>Other Peripherals;Monitors/Terminals;Computer Consulting Services;Applications Software(Business;Operating Systems;Internet Services &amp; Software</v>
      </c>
      <c r="AH779" s="6" t="str">
        <v>False</v>
      </c>
      <c r="AI779" s="6" t="str">
        <v>2014</v>
      </c>
      <c r="AJ779" s="6" t="str">
        <v>Completed</v>
      </c>
      <c r="AM779" s="6" t="str">
        <v>Rumored Deal</v>
      </c>
      <c r="AO779" s="6" t="str">
        <v>ISRAEL - Microsoft Corp of the US acquired Aorato Ltd, a Tel Aviv-based provider of cyber-security solutions development services. Terms were not disclosed but, according to people familiar with the transaction, the deal was valued at an estimated ILS 680.52 mil (USD 200 mil).</v>
      </c>
    </row>
    <row r="780">
      <c r="A780" s="6" t="str">
        <v>53578A</v>
      </c>
      <c r="B780" s="6" t="str">
        <v>United States</v>
      </c>
      <c r="C780" s="6" t="str">
        <v>LinkedIn Corp</v>
      </c>
      <c r="D780" s="6" t="str">
        <v>LinkedIn Corp</v>
      </c>
      <c r="F780" s="6" t="str">
        <v>United States</v>
      </c>
      <c r="G780" s="6" t="str">
        <v>Bizo Inc</v>
      </c>
      <c r="H780" s="6" t="str">
        <v>Prepackaged Software</v>
      </c>
      <c r="I780" s="6" t="str">
        <v>1C9108</v>
      </c>
      <c r="J780" s="6" t="str">
        <v>Bizo Inc</v>
      </c>
      <c r="K780" s="6" t="str">
        <v>Bizo Inc</v>
      </c>
      <c r="L780" s="7">
        <f>=DATE(2014,7,22)</f>
        <v>41841.99949074074</v>
      </c>
      <c r="M780" s="7">
        <f>=DATE(2014,8,13)</f>
        <v>41863.99949074074</v>
      </c>
      <c r="N780" s="8">
        <v>175</v>
      </c>
      <c r="O780" s="8">
        <v>175</v>
      </c>
      <c r="W780" s="6" t="str">
        <v>Internet Services &amp; Software</v>
      </c>
      <c r="X780" s="6" t="str">
        <v>Applications Software(Business</v>
      </c>
      <c r="Y780" s="6" t="str">
        <v>Applications Software(Business</v>
      </c>
      <c r="Z780" s="6" t="str">
        <v>Applications Software(Business</v>
      </c>
      <c r="AA780" s="6" t="str">
        <v>Internet Services &amp; Software</v>
      </c>
      <c r="AB780" s="6" t="str">
        <v>Internet Services &amp; Software</v>
      </c>
      <c r="AC780" s="8">
        <v>175</v>
      </c>
      <c r="AD780" s="7">
        <f>=DATE(2014,7,22)</f>
        <v>41841.99949074074</v>
      </c>
      <c r="AF780" s="8" t="str">
        <v>175.00</v>
      </c>
      <c r="AG780" s="8" t="str">
        <v>175.00</v>
      </c>
      <c r="AH780" s="6" t="str">
        <v>False</v>
      </c>
      <c r="AI780" s="6" t="str">
        <v>2014</v>
      </c>
      <c r="AJ780" s="6" t="str">
        <v>Completed</v>
      </c>
      <c r="AM780" s="6" t="str">
        <v>Financial Acquiror</v>
      </c>
      <c r="AO780" s="6" t="str">
        <v>US - LinkedIn Corp (LinkedIn) acquired the entire share capital of Bizo Inc, a San Francisco-based provider of business audience marketing platform, for an estimated USD 175 mil. The consideration was consisted of USD 162.75 mil in cash and USD 12.25 mil in LinkedIn class A common shares.</v>
      </c>
    </row>
    <row r="781">
      <c r="A781" s="6" t="str">
        <v>67020Y</v>
      </c>
      <c r="B781" s="6" t="str">
        <v>United States</v>
      </c>
      <c r="C781" s="6" t="str">
        <v>Nuance Communications Inc</v>
      </c>
      <c r="D781" s="6" t="str">
        <v>Nuance Communications Inc</v>
      </c>
      <c r="F781" s="6" t="str">
        <v>United States</v>
      </c>
      <c r="G781" s="6" t="str">
        <v>Notable Solutions Inc</v>
      </c>
      <c r="H781" s="6" t="str">
        <v>Prepackaged Software</v>
      </c>
      <c r="I781" s="6" t="str">
        <v>66923W</v>
      </c>
      <c r="J781" s="6" t="str">
        <v>Notable Solutions Inc</v>
      </c>
      <c r="K781" s="6" t="str">
        <v>Notable Solutions Inc</v>
      </c>
      <c r="L781" s="7">
        <f>=DATE(2014,7,22)</f>
        <v>41841.99949074074</v>
      </c>
      <c r="M781" s="7">
        <f>=DATE(2014,7,22)</f>
        <v>41841.99949074074</v>
      </c>
      <c r="W781" s="6" t="str">
        <v>Other Software (inq. Games);Internet Services &amp; Software;Applications Software(Business;Communication/Network Software;Desktop Publishing;Utilities/File Mgmt Software;Other Computer Related Svcs;Programming Services;Networking Systems (LAN,WAN);Applications Software(Home);Database Software/Programming;Primary Business not Hi-Tech;Computer Consulting Services</v>
      </c>
      <c r="X781" s="6" t="str">
        <v>Other Software (inq. Games);Turnkey Systems;Internet Services &amp; Software;Other Computer Related Svcs;Data Processing Services;Computer Consulting Services</v>
      </c>
      <c r="Y781" s="6" t="str">
        <v>Other Software (inq. Games);Other Computer Related Svcs;Data Processing Services;Turnkey Systems;Computer Consulting Services;Internet Services &amp; Software</v>
      </c>
      <c r="Z781" s="6" t="str">
        <v>Other Software (inq. Games);Computer Consulting Services;Other Computer Related Svcs;Internet Services &amp; Software;Data Processing Services;Turnkey Systems</v>
      </c>
      <c r="AA781" s="6" t="str">
        <v>Database Software/Programming;Computer Consulting Services;Other Computer Related Svcs;Networking Systems (LAN,WAN);Applications Software(Business;Applications Software(Home);Other Software (inq. Games);Utilities/File Mgmt Software;Programming Services;Primary Business not Hi-Tech;Internet Services &amp; Software;Communication/Network Software;Desktop Publishing</v>
      </c>
      <c r="AB781" s="6" t="str">
        <v>Communication/Network Software;Networking Systems (LAN,WAN);Other Computer Related Svcs;Applications Software(Business;Primary Business not Hi-Tech;Applications Software(Home);Computer Consulting Services;Internet Services &amp; Software;Other Software (inq. Games);Programming Services;Desktop Publishing;Utilities/File Mgmt Software;Database Software/Programming</v>
      </c>
      <c r="AH781" s="6" t="str">
        <v>False</v>
      </c>
      <c r="AI781" s="6" t="str">
        <v>2014</v>
      </c>
      <c r="AJ781" s="6" t="str">
        <v>Completed</v>
      </c>
      <c r="AM781" s="6" t="str">
        <v>Financial Acquiror</v>
      </c>
      <c r="AO781" s="6" t="str">
        <v>US - Nuance Communications Inc acquired Notable Solutions Inc, a Rockville-based developer of document processing software.</v>
      </c>
    </row>
    <row r="782">
      <c r="A782" s="6" t="str">
        <v>38259P</v>
      </c>
      <c r="B782" s="6" t="str">
        <v>United States</v>
      </c>
      <c r="C782" s="6" t="str">
        <v>Google Inc</v>
      </c>
      <c r="D782" s="6" t="str">
        <v>Alphabet Inc</v>
      </c>
      <c r="F782" s="6" t="str">
        <v>Finland</v>
      </c>
      <c r="G782" s="6" t="str">
        <v>drawElements Oy</v>
      </c>
      <c r="H782" s="6" t="str">
        <v>Prepackaged Software</v>
      </c>
      <c r="I782" s="6" t="str">
        <v>1C9339</v>
      </c>
      <c r="J782" s="6" t="str">
        <v>drawElements Oy</v>
      </c>
      <c r="K782" s="6" t="str">
        <v>drawElements Oy</v>
      </c>
      <c r="L782" s="7">
        <f>=DATE(2014,7,23)</f>
        <v>41842.99949074074</v>
      </c>
      <c r="M782" s="7">
        <f>=DATE(2014,7,23)</f>
        <v>41842.99949074074</v>
      </c>
      <c r="W782" s="6" t="str">
        <v>Programming Services;Internet Services &amp; Software</v>
      </c>
      <c r="X782" s="6" t="str">
        <v>Applications Software(Business</v>
      </c>
      <c r="Y782" s="6" t="str">
        <v>Applications Software(Business</v>
      </c>
      <c r="Z782" s="6" t="str">
        <v>Applications Software(Business</v>
      </c>
      <c r="AA782" s="6" t="str">
        <v>Telecommunications Equipment;Programming Services;Internet Services &amp; Software;Computer Consulting Services;Primary Business not Hi-Tech</v>
      </c>
      <c r="AB782" s="6" t="str">
        <v>Programming Services;Telecommunications Equipment;Primary Business not Hi-Tech;Computer Consulting Services;Internet Services &amp; Software</v>
      </c>
      <c r="AH782" s="6" t="str">
        <v>False</v>
      </c>
      <c r="AI782" s="6" t="str">
        <v>2014</v>
      </c>
      <c r="AJ782" s="6" t="str">
        <v>Completed</v>
      </c>
      <c r="AM782" s="6" t="str">
        <v>Not Applicable</v>
      </c>
      <c r="AO782" s="6" t="str">
        <v>FINLAND - Google Inc of the US, acquired drawElements Oy, a Helsinki-based developer of 3D graphics software. Terms were not disclosed, but according to the sources familiar with the situation, the deal was valued at an estimated EUR 7.427 mil (USD 10 mil).</v>
      </c>
    </row>
    <row r="783">
      <c r="A783" s="6" t="str">
        <v>037833</v>
      </c>
      <c r="B783" s="6" t="str">
        <v>United States</v>
      </c>
      <c r="C783" s="6" t="str">
        <v>Apple Inc</v>
      </c>
      <c r="D783" s="6" t="str">
        <v>Apple Inc</v>
      </c>
      <c r="F783" s="6" t="str">
        <v>United States</v>
      </c>
      <c r="G783" s="6" t="str">
        <v>Concept.io Inc</v>
      </c>
      <c r="H783" s="6" t="str">
        <v>Prepackaged Software</v>
      </c>
      <c r="I783" s="6" t="str">
        <v>1C9884</v>
      </c>
      <c r="J783" s="6" t="str">
        <v>Concept.io Inc</v>
      </c>
      <c r="K783" s="6" t="str">
        <v>Concept.io Inc</v>
      </c>
      <c r="L783" s="7">
        <f>=DATE(2014,7,27)</f>
        <v>41846.99949074074</v>
      </c>
      <c r="W783" s="6" t="str">
        <v>Disk Drives;Monitors/Terminals;Portable Computers;Mainframes &amp; Super Computers;Other Peripherals;Micro-Computers (PCs);Printers;Other Software (inq. Games)</v>
      </c>
      <c r="X783" s="6" t="str">
        <v>Applications Software(Home);Communication/Network Software;Internet Services &amp; Software;Utilities/File Mgmt Software;Other Software (inq. Games);Applications Software(Business;Desktop Publishing</v>
      </c>
      <c r="Y783" s="6" t="str">
        <v>Internet Services &amp; Software;Desktop Publishing;Utilities/File Mgmt Software;Communication/Network Software;Other Software (inq. Games);Applications Software(Business;Applications Software(Home)</v>
      </c>
      <c r="Z783" s="6" t="str">
        <v>Internet Services &amp; Software;Applications Software(Business;Applications Software(Home);Other Software (inq. Games);Desktop Publishing;Utilities/File Mgmt Software;Communication/Network Software</v>
      </c>
      <c r="AA783" s="6" t="str">
        <v>Other Software (inq. Games);Disk Drives;Printers;Monitors/Terminals;Mainframes &amp; Super Computers;Micro-Computers (PCs);Portable Computers;Other Peripherals</v>
      </c>
      <c r="AB783" s="6" t="str">
        <v>Monitors/Terminals;Disk Drives;Mainframes &amp; Super Computers;Printers;Other Peripherals;Portable Computers;Other Software (inq. Games);Micro-Computers (PCs)</v>
      </c>
      <c r="AH783" s="6" t="str">
        <v>True</v>
      </c>
      <c r="AJ783" s="6" t="str">
        <v>Dismissed Rumor</v>
      </c>
      <c r="AM783" s="6" t="str">
        <v>Rumored Deal</v>
      </c>
      <c r="AO783" s="6" t="str">
        <v>US - Apple Inc was rumored to be planning to acquire Concept.io Inc, a Mountain View-based developer of mobile applications. Terms were not disclosed, but according to sources close to the situation, the deal was valued at an estimated USD 30 mil. The Current status of this deal is unknown.</v>
      </c>
    </row>
    <row r="784">
      <c r="A784" s="6" t="str">
        <v>38259P</v>
      </c>
      <c r="B784" s="6" t="str">
        <v>United States</v>
      </c>
      <c r="C784" s="6" t="str">
        <v>Google Inc</v>
      </c>
      <c r="D784" s="6" t="str">
        <v>Alphabet Inc</v>
      </c>
      <c r="F784" s="6" t="str">
        <v>United States</v>
      </c>
      <c r="G784" s="6" t="str">
        <v>Tinker Square Inc</v>
      </c>
      <c r="H784" s="6" t="str">
        <v>Prepackaged Software</v>
      </c>
      <c r="I784" s="6" t="str">
        <v>2C1642</v>
      </c>
      <c r="J784" s="6" t="str">
        <v>Tinker Square Inc</v>
      </c>
      <c r="K784" s="6" t="str">
        <v>Tinker Square Inc</v>
      </c>
      <c r="L784" s="7">
        <f>=DATE(2014,8,6)</f>
        <v>41856.99949074074</v>
      </c>
      <c r="M784" s="7">
        <f>=DATE(2014,8,6)</f>
        <v>41856.99949074074</v>
      </c>
      <c r="W784" s="6" t="str">
        <v>Internet Services &amp; Software;Programming Services</v>
      </c>
      <c r="X784" s="6" t="str">
        <v>Applications Software(Business;Communication/Network Software;Applications Software(Home)</v>
      </c>
      <c r="Y784" s="6" t="str">
        <v>Applications Software(Home);Applications Software(Business;Communication/Network Software</v>
      </c>
      <c r="Z784" s="6" t="str">
        <v>Applications Software(Business;Communication/Network Software;Applications Software(Home)</v>
      </c>
      <c r="AA784" s="6" t="str">
        <v>Internet Services &amp; Software;Programming Services;Primary Business not Hi-Tech;Computer Consulting Services;Telecommunications Equipment</v>
      </c>
      <c r="AB784" s="6" t="str">
        <v>Primary Business not Hi-Tech;Computer Consulting Services;Internet Services &amp; Software;Programming Services;Telecommunications Equipment</v>
      </c>
      <c r="AH784" s="6" t="str">
        <v>True</v>
      </c>
      <c r="AI784" s="6" t="str">
        <v>2014</v>
      </c>
      <c r="AJ784" s="6" t="str">
        <v>Completed</v>
      </c>
      <c r="AM784" s="6" t="str">
        <v>Not Applicable</v>
      </c>
      <c r="AO784" s="6" t="str">
        <v>US - Google Inc acquired Tinker Square Inc, a Los Gatos-based developer of mobile messaging applications, from Kleiner Perkins Caufield &amp; Byers, Draper Fisher Jurvetson, Menlo Ventures, and other undisclosed minority shareholders. Terms were not disclosed.</v>
      </c>
    </row>
    <row r="785">
      <c r="A785" s="6" t="str">
        <v>98787H</v>
      </c>
      <c r="B785" s="6" t="str">
        <v>United States</v>
      </c>
      <c r="C785" s="6" t="str">
        <v>YouTube Inc</v>
      </c>
      <c r="D785" s="6" t="str">
        <v>Alphabet Inc</v>
      </c>
      <c r="F785" s="6" t="str">
        <v>United States</v>
      </c>
      <c r="G785" s="6" t="str">
        <v>Directr Inc</v>
      </c>
      <c r="H785" s="6" t="str">
        <v>Prepackaged Software</v>
      </c>
      <c r="I785" s="6" t="str">
        <v>2C1722</v>
      </c>
      <c r="J785" s="6" t="str">
        <v>Directr Inc</v>
      </c>
      <c r="K785" s="6" t="str">
        <v>Directr Inc</v>
      </c>
      <c r="L785" s="7">
        <f>=DATE(2014,8,6)</f>
        <v>41856.99949074074</v>
      </c>
      <c r="M785" s="7">
        <f>=DATE(2014,8,6)</f>
        <v>41856.99949074074</v>
      </c>
      <c r="W785" s="6" t="str">
        <v>Internet Services &amp; Software</v>
      </c>
      <c r="X785" s="6" t="str">
        <v>Applications Software(Home);Communication/Network Software;Applications Software(Business</v>
      </c>
      <c r="Y785" s="6" t="str">
        <v>Applications Software(Business;Communication/Network Software;Applications Software(Home)</v>
      </c>
      <c r="Z785" s="6" t="str">
        <v>Applications Software(Business;Applications Software(Home);Communication/Network Software</v>
      </c>
      <c r="AA785" s="6" t="str">
        <v>Programming Services;Internet Services &amp; Software</v>
      </c>
      <c r="AB785" s="6" t="str">
        <v>Programming Services;Telecommunications Equipment;Computer Consulting Services;Primary Business not Hi-Tech;Internet Services &amp; Software</v>
      </c>
      <c r="AH785" s="6" t="str">
        <v>False</v>
      </c>
      <c r="AI785" s="6" t="str">
        <v>2014</v>
      </c>
      <c r="AJ785" s="6" t="str">
        <v>Completed</v>
      </c>
      <c r="AM785" s="6" t="str">
        <v>Not Applicable</v>
      </c>
      <c r="AO785" s="6" t="str">
        <v>US - YouTube Inc, a unit of Google Inc, acquired Directr Inc, a Cambridge-based developer of moviemaking mobile application software. Terms were not disclosed.</v>
      </c>
    </row>
    <row r="786">
      <c r="A786" s="6" t="str">
        <v>30303M</v>
      </c>
      <c r="B786" s="6" t="str">
        <v>United States</v>
      </c>
      <c r="C786" s="6" t="str">
        <v>Facebook Inc</v>
      </c>
      <c r="D786" s="6" t="str">
        <v>Facebook Inc</v>
      </c>
      <c r="F786" s="6" t="str">
        <v>United States</v>
      </c>
      <c r="G786" s="6" t="str">
        <v>PrivateCore Inc</v>
      </c>
      <c r="H786" s="6" t="str">
        <v>Business Services</v>
      </c>
      <c r="I786" s="6" t="str">
        <v>2C1841</v>
      </c>
      <c r="J786" s="6" t="str">
        <v>PrivateCore Inc</v>
      </c>
      <c r="K786" s="6" t="str">
        <v>PrivateCore Inc</v>
      </c>
      <c r="L786" s="7">
        <f>=DATE(2014,8,8)</f>
        <v>41858.99949074074</v>
      </c>
      <c r="W786" s="6" t="str">
        <v>Internet Services &amp; Software</v>
      </c>
      <c r="X786" s="6" t="str">
        <v>Database Software/Programming;Programming Services</v>
      </c>
      <c r="Y786" s="6" t="str">
        <v>Database Software/Programming;Programming Services</v>
      </c>
      <c r="Z786" s="6" t="str">
        <v>Database Software/Programming;Programming Services</v>
      </c>
      <c r="AA786" s="6" t="str">
        <v>Internet Services &amp; Software</v>
      </c>
      <c r="AB786" s="6" t="str">
        <v>Internet Services &amp; Software</v>
      </c>
      <c r="AH786" s="6" t="str">
        <v>True</v>
      </c>
      <c r="AJ786" s="6" t="str">
        <v>Pending</v>
      </c>
      <c r="AM786" s="6" t="str">
        <v>Financial Acquiror</v>
      </c>
      <c r="AO786" s="6" t="str">
        <v>US - Facebook Inc agreed to acquire PrivateCore Inc, a Palo Alto-based Internet security company. Terms of the transaction were not disclosed.</v>
      </c>
    </row>
    <row r="787">
      <c r="A787" s="6" t="str">
        <v>38259P</v>
      </c>
      <c r="B787" s="6" t="str">
        <v>United States</v>
      </c>
      <c r="C787" s="6" t="str">
        <v>Google Inc</v>
      </c>
      <c r="D787" s="6" t="str">
        <v>Alphabet Inc</v>
      </c>
      <c r="F787" s="6" t="str">
        <v>United States</v>
      </c>
      <c r="G787" s="6" t="str">
        <v>Jetpac Inc</v>
      </c>
      <c r="H787" s="6" t="str">
        <v>Prepackaged Software</v>
      </c>
      <c r="I787" s="6" t="str">
        <v>2C3501</v>
      </c>
      <c r="J787" s="6" t="str">
        <v>Jetpac Inc</v>
      </c>
      <c r="K787" s="6" t="str">
        <v>Jetpac Inc</v>
      </c>
      <c r="L787" s="7">
        <f>=DATE(2014,8,15)</f>
        <v>41865.99949074074</v>
      </c>
      <c r="M787" s="7">
        <f>=DATE(2014,8,17)</f>
        <v>41867.99949074074</v>
      </c>
      <c r="W787" s="6" t="str">
        <v>Internet Services &amp; Software;Programming Services</v>
      </c>
      <c r="X787" s="6" t="str">
        <v>Internet Services &amp; Software</v>
      </c>
      <c r="Y787" s="6" t="str">
        <v>Internet Services &amp; Software</v>
      </c>
      <c r="Z787" s="6" t="str">
        <v>Internet Services &amp; Software</v>
      </c>
      <c r="AA787" s="6" t="str">
        <v>Programming Services;Telecommunications Equipment;Primary Business not Hi-Tech;Computer Consulting Services;Internet Services &amp; Software</v>
      </c>
      <c r="AB787" s="6" t="str">
        <v>Computer Consulting Services;Programming Services;Primary Business not Hi-Tech;Internet Services &amp; Software;Telecommunications Equipment</v>
      </c>
      <c r="AH787" s="6" t="str">
        <v>True</v>
      </c>
      <c r="AI787" s="6" t="str">
        <v>2014</v>
      </c>
      <c r="AJ787" s="6" t="str">
        <v>Completed</v>
      </c>
      <c r="AM787" s="6" t="str">
        <v>Not Applicable</v>
      </c>
      <c r="AO787" s="6" t="str">
        <v>US - Google Inc acquired Jetpac Inc, a San Francisco-based developer of image sharing software. Terms were not disclosed.</v>
      </c>
    </row>
    <row r="788">
      <c r="A788" s="6" t="str">
        <v>023135</v>
      </c>
      <c r="B788" s="6" t="str">
        <v>United States</v>
      </c>
      <c r="C788" s="6" t="str">
        <v>Amazon.com Inc</v>
      </c>
      <c r="D788" s="6" t="str">
        <v>Amazon.com Inc</v>
      </c>
      <c r="F788" s="6" t="str">
        <v>United States</v>
      </c>
      <c r="G788" s="6" t="str">
        <v>Twitch Interactive Inc</v>
      </c>
      <c r="H788" s="6" t="str">
        <v>Business Services</v>
      </c>
      <c r="I788" s="6" t="str">
        <v>0C6551</v>
      </c>
      <c r="J788" s="6" t="str">
        <v>Twitch Interactive Inc</v>
      </c>
      <c r="K788" s="6" t="str">
        <v>Twitch Interactive Inc</v>
      </c>
      <c r="L788" s="7">
        <f>=DATE(2014,8,25)</f>
        <v>41875.99949074074</v>
      </c>
      <c r="M788" s="7">
        <f>=DATE(2014,9,25)</f>
        <v>41906.99949074074</v>
      </c>
      <c r="N788" s="8">
        <v>970</v>
      </c>
      <c r="O788" s="8">
        <v>970</v>
      </c>
      <c r="W788" s="6" t="str">
        <v>Primary Business not Hi-Tech</v>
      </c>
      <c r="X788" s="6" t="str">
        <v>Internet Services &amp; Software</v>
      </c>
      <c r="Y788" s="6" t="str">
        <v>Internet Services &amp; Software</v>
      </c>
      <c r="Z788" s="6" t="str">
        <v>Internet Services &amp; Software</v>
      </c>
      <c r="AA788" s="6" t="str">
        <v>Primary Business not Hi-Tech</v>
      </c>
      <c r="AB788" s="6" t="str">
        <v>Primary Business not Hi-Tech</v>
      </c>
      <c r="AC788" s="8">
        <v>970</v>
      </c>
      <c r="AD788" s="7">
        <f>=DATE(2014,8,25)</f>
        <v>41875.99949074074</v>
      </c>
      <c r="AH788" s="6" t="str">
        <v>False</v>
      </c>
      <c r="AI788" s="6" t="str">
        <v>2014</v>
      </c>
      <c r="AJ788" s="6" t="str">
        <v>Completed</v>
      </c>
      <c r="AM788" s="6" t="str">
        <v>Rumored Deal</v>
      </c>
      <c r="AO788" s="6" t="str">
        <v>US - Amazon.com Inc acquired Twitch Interactive Inc (Twitch), a San Francisco-based provider of live video-streaming services, for an estimated USD 970 mil in cash. Originally, in May 2014, Twitch was rumored to be seeking a buyer for the company. Youtube Inc, Microsoft Corp, and Amazon.com Inc, were rumored bidders.</v>
      </c>
    </row>
    <row r="789">
      <c r="A789" s="6" t="str">
        <v>38259P</v>
      </c>
      <c r="B789" s="6" t="str">
        <v>United States</v>
      </c>
      <c r="C789" s="6" t="str">
        <v>Google Inc</v>
      </c>
      <c r="D789" s="6" t="str">
        <v>Alphabet Inc</v>
      </c>
      <c r="F789" s="6" t="str">
        <v>United States</v>
      </c>
      <c r="G789" s="6" t="str">
        <v>Zync Inc</v>
      </c>
      <c r="H789" s="6" t="str">
        <v>Prepackaged Software</v>
      </c>
      <c r="I789" s="6" t="str">
        <v>2C5207</v>
      </c>
      <c r="J789" s="6" t="str">
        <v>Zync Inc</v>
      </c>
      <c r="K789" s="6" t="str">
        <v>Zync Inc</v>
      </c>
      <c r="L789" s="7">
        <f>=DATE(2014,8,26)</f>
        <v>41876.99949074074</v>
      </c>
      <c r="M789" s="7">
        <f>=DATE(2014,8,26)</f>
        <v>41876.99949074074</v>
      </c>
      <c r="W789" s="6" t="str">
        <v>Internet Services &amp; Software;Programming Services</v>
      </c>
      <c r="X789" s="6" t="str">
        <v>Other Software (inq. Games);Applications Software(Business</v>
      </c>
      <c r="Y789" s="6" t="str">
        <v>Applications Software(Business;Other Software (inq. Games)</v>
      </c>
      <c r="Z789" s="6" t="str">
        <v>Applications Software(Business;Other Software (inq. Games)</v>
      </c>
      <c r="AA789" s="6" t="str">
        <v>Primary Business not Hi-Tech;Internet Services &amp; Software;Telecommunications Equipment;Programming Services;Computer Consulting Services</v>
      </c>
      <c r="AB789" s="6" t="str">
        <v>Primary Business not Hi-Tech;Programming Services;Internet Services &amp; Software;Telecommunications Equipment;Computer Consulting Services</v>
      </c>
      <c r="AH789" s="6" t="str">
        <v>False</v>
      </c>
      <c r="AI789" s="6" t="str">
        <v>2014</v>
      </c>
      <c r="AJ789" s="6" t="str">
        <v>Completed</v>
      </c>
      <c r="AM789" s="6" t="str">
        <v>Not Applicable</v>
      </c>
      <c r="AO789" s="6" t="str">
        <v>US - Google Inc acquired Zync Inc, a Boston-based developer of visual effects rendering software. Terms were not disclosed.</v>
      </c>
    </row>
    <row r="790">
      <c r="A790" s="6" t="str">
        <v>037833</v>
      </c>
      <c r="B790" s="6" t="str">
        <v>United States</v>
      </c>
      <c r="C790" s="6" t="str">
        <v>Apple Inc</v>
      </c>
      <c r="D790" s="6" t="str">
        <v>Apple Inc</v>
      </c>
      <c r="F790" s="6" t="str">
        <v>United States</v>
      </c>
      <c r="G790" s="6" t="str">
        <v>Apple Inc</v>
      </c>
      <c r="H790" s="6" t="str">
        <v>Computer and Office Equipment</v>
      </c>
      <c r="I790" s="6" t="str">
        <v>037833</v>
      </c>
      <c r="J790" s="6" t="str">
        <v>Apple Inc</v>
      </c>
      <c r="K790" s="6" t="str">
        <v>Apple Inc</v>
      </c>
      <c r="L790" s="7">
        <f>=DATE(2014,8,31)</f>
        <v>41881.99949074074</v>
      </c>
      <c r="M790" s="7">
        <f>=DATE(2015,2,28)</f>
        <v>42062.99949074074</v>
      </c>
      <c r="N790" s="8">
        <v>9000</v>
      </c>
      <c r="O790" s="8">
        <v>9000</v>
      </c>
      <c r="P790" s="8" t="str">
        <v>654,269.08</v>
      </c>
      <c r="R790" s="8">
        <v>38555</v>
      </c>
      <c r="S790" s="8">
        <v>178144</v>
      </c>
      <c r="T790" s="8">
        <v>-29677</v>
      </c>
      <c r="U790" s="8">
        <v>-24965</v>
      </c>
      <c r="V790" s="8">
        <v>59027</v>
      </c>
      <c r="W790" s="6" t="str">
        <v>Other Peripherals;Disk Drives;Printers;Portable Computers;Monitors/Terminals;Mainframes &amp; Super Computers;Micro-Computers (PCs);Other Software (inq. Games)</v>
      </c>
      <c r="X790" s="6" t="str">
        <v>Monitors/Terminals;Micro-Computers (PCs);Disk Drives;Mainframes &amp; Super Computers;Portable Computers;Printers;Other Peripherals;Other Software (inq. Games)</v>
      </c>
      <c r="Y790" s="6" t="str">
        <v>Monitors/Terminals;Portable Computers;Micro-Computers (PCs);Printers;Other Peripherals;Other Software (inq. Games);Disk Drives;Mainframes &amp; Super Computers</v>
      </c>
      <c r="Z790" s="6" t="str">
        <v>Other Software (inq. Games);Mainframes &amp; Super Computers;Monitors/Terminals;Portable Computers;Disk Drives;Other Peripherals;Printers;Micro-Computers (PCs)</v>
      </c>
      <c r="AA790" s="6" t="str">
        <v>Portable Computers;Monitors/Terminals;Other Software (inq. Games);Other Peripherals;Micro-Computers (PCs);Mainframes &amp; Super Computers;Printers;Disk Drives</v>
      </c>
      <c r="AB790" s="6" t="str">
        <v>Micro-Computers (PCs);Printers;Monitors/Terminals;Disk Drives;Mainframes &amp; Super Computers;Portable Computers;Other Software (inq. Games);Other Peripherals</v>
      </c>
      <c r="AC790" s="8">
        <v>9000</v>
      </c>
      <c r="AD790" s="7">
        <f>=DATE(2014,8,31)</f>
        <v>41881.99949074074</v>
      </c>
      <c r="AF790" s="8" t="str">
        <v>654,269.08</v>
      </c>
      <c r="AG790" s="8" t="str">
        <v>654,269.08</v>
      </c>
      <c r="AH790" s="6" t="str">
        <v>True</v>
      </c>
      <c r="AI790" s="6" t="str">
        <v>2015</v>
      </c>
      <c r="AJ790" s="6" t="str">
        <v>Completed</v>
      </c>
      <c r="AL790" s="8">
        <v>81.525</v>
      </c>
      <c r="AM790" s="6" t="str">
        <v>Repurchase;Open Market Purchase</v>
      </c>
      <c r="AN790" s="8">
        <v>6141</v>
      </c>
      <c r="AO790" s="6" t="str">
        <v>US - On 28 February 2015, the board of Apple Inc, a Cupertino-based electronic computer manufacturer, completed the repurchase of up to USD 9 bil of the company's entire share capital in an accelerated share repurchase program.</v>
      </c>
    </row>
    <row r="791">
      <c r="A791" s="6" t="str">
        <v>30303M</v>
      </c>
      <c r="B791" s="6" t="str">
        <v>United States</v>
      </c>
      <c r="C791" s="6" t="str">
        <v>Facebook Inc</v>
      </c>
      <c r="D791" s="6" t="str">
        <v>Facebook Inc</v>
      </c>
      <c r="F791" s="6" t="str">
        <v>United States</v>
      </c>
      <c r="G791" s="6" t="str">
        <v>Nonstop Games Inc</v>
      </c>
      <c r="H791" s="6" t="str">
        <v>Prepackaged Software</v>
      </c>
      <c r="I791" s="6" t="str">
        <v>5C3368</v>
      </c>
      <c r="J791" s="6" t="str">
        <v>Nonstop Games Inc</v>
      </c>
      <c r="K791" s="6" t="str">
        <v>Nonstop Games Inc</v>
      </c>
      <c r="L791" s="7">
        <f>=DATE(2014,9,8)</f>
        <v>41889.99949074074</v>
      </c>
      <c r="M791" s="7">
        <f>=DATE(2014,9,8)</f>
        <v>41889.99949074074</v>
      </c>
      <c r="W791" s="6" t="str">
        <v>Internet Services &amp; Software</v>
      </c>
      <c r="X791" s="6" t="str">
        <v>Other Software (inq. Games)</v>
      </c>
      <c r="Y791" s="6" t="str">
        <v>Other Software (inq. Games)</v>
      </c>
      <c r="Z791" s="6" t="str">
        <v>Other Software (inq. Games)</v>
      </c>
      <c r="AA791" s="6" t="str">
        <v>Internet Services &amp; Software</v>
      </c>
      <c r="AB791" s="6" t="str">
        <v>Internet Services &amp; Software</v>
      </c>
      <c r="AH791" s="6" t="str">
        <v>False</v>
      </c>
      <c r="AI791" s="6" t="str">
        <v>2014</v>
      </c>
      <c r="AJ791" s="6" t="str">
        <v>Completed</v>
      </c>
      <c r="AM791" s="6" t="str">
        <v>Financial Acquiror</v>
      </c>
      <c r="AO791" s="6" t="str">
        <v>US - Facebook Inc acquired Nonstop Games Inc, a San Francisco-based software publisher. Terms were not disclosed.</v>
      </c>
    </row>
    <row r="792">
      <c r="A792" s="6" t="str">
        <v>037833</v>
      </c>
      <c r="B792" s="6" t="str">
        <v>United States</v>
      </c>
      <c r="C792" s="6" t="str">
        <v>Apple Inc</v>
      </c>
      <c r="D792" s="6" t="str">
        <v>Apple Inc</v>
      </c>
      <c r="F792" s="6" t="str">
        <v>United States</v>
      </c>
      <c r="G792" s="6" t="str">
        <v>Path Inc</v>
      </c>
      <c r="H792" s="6" t="str">
        <v>Prepackaged Software</v>
      </c>
      <c r="I792" s="6" t="str">
        <v>1C3535</v>
      </c>
      <c r="J792" s="6" t="str">
        <v>Path Inc</v>
      </c>
      <c r="K792" s="6" t="str">
        <v>Path Inc</v>
      </c>
      <c r="L792" s="7">
        <f>=DATE(2014,9,10)</f>
        <v>41891.99949074074</v>
      </c>
      <c r="W792" s="6" t="str">
        <v>Monitors/Terminals;Other Software (inq. Games);Disk Drives;Other Peripherals;Portable Computers;Micro-Computers (PCs);Printers;Mainframes &amp; Super Computers</v>
      </c>
      <c r="X792" s="6" t="str">
        <v>Communication/Network Software;Applications Software(Business;Applications Software(Home)</v>
      </c>
      <c r="Y792" s="6" t="str">
        <v>Communication/Network Software;Applications Software(Home);Applications Software(Business</v>
      </c>
      <c r="Z792" s="6" t="str">
        <v>Applications Software(Business;Communication/Network Software;Applications Software(Home)</v>
      </c>
      <c r="AA792" s="6" t="str">
        <v>Mainframes &amp; Super Computers;Printers;Other Peripherals;Disk Drives;Monitors/Terminals;Portable Computers;Micro-Computers (PCs);Other Software (inq. Games)</v>
      </c>
      <c r="AB792" s="6" t="str">
        <v>Monitors/Terminals;Disk Drives;Other Peripherals;Micro-Computers (PCs);Other Software (inq. Games);Printers;Mainframes &amp; Super Computers;Portable Computers</v>
      </c>
      <c r="AH792" s="6" t="str">
        <v>False</v>
      </c>
      <c r="AJ792" s="6" t="str">
        <v>Dismissed Rumor</v>
      </c>
      <c r="AM792" s="6" t="str">
        <v>Rumored Deal</v>
      </c>
      <c r="AO792" s="6" t="str">
        <v>US - Apple Inc was rumored to be planning to acquire Path Inc, a San Francisco-based developer of software for mobile photo-sharing and messaging services. The Current status of this deal is unknown.</v>
      </c>
    </row>
    <row r="793">
      <c r="A793" s="6" t="str">
        <v>38259P</v>
      </c>
      <c r="B793" s="6" t="str">
        <v>United States</v>
      </c>
      <c r="C793" s="6" t="str">
        <v>Google Inc</v>
      </c>
      <c r="D793" s="6" t="str">
        <v>Alphabet Inc</v>
      </c>
      <c r="F793" s="6" t="str">
        <v>United States</v>
      </c>
      <c r="G793" s="6" t="str">
        <v>Lynx Design Inc</v>
      </c>
      <c r="H793" s="6" t="str">
        <v>Measuring, Medical, Photo Equipment; Clocks</v>
      </c>
      <c r="I793" s="6" t="str">
        <v>2C8075</v>
      </c>
      <c r="J793" s="6" t="str">
        <v>Lynx Design Inc</v>
      </c>
      <c r="K793" s="6" t="str">
        <v>Lynx Design Inc</v>
      </c>
      <c r="L793" s="7">
        <f>=DATE(2014,9,10)</f>
        <v>41891.99949074074</v>
      </c>
      <c r="M793" s="7">
        <f>=DATE(2014,9,10)</f>
        <v>41891.99949074074</v>
      </c>
      <c r="W793" s="6" t="str">
        <v>Programming Services;Internet Services &amp; Software</v>
      </c>
      <c r="X793" s="6" t="str">
        <v>General Med. Instruments/Supp.</v>
      </c>
      <c r="Y793" s="6" t="str">
        <v>General Med. Instruments/Supp.</v>
      </c>
      <c r="Z793" s="6" t="str">
        <v>General Med. Instruments/Supp.</v>
      </c>
      <c r="AA793" s="6" t="str">
        <v>Computer Consulting Services;Telecommunications Equipment;Programming Services;Internet Services &amp; Software;Primary Business not Hi-Tech</v>
      </c>
      <c r="AB793" s="6" t="str">
        <v>Telecommunications Equipment;Programming Services;Internet Services &amp; Software;Computer Consulting Services;Primary Business not Hi-Tech</v>
      </c>
      <c r="AH793" s="6" t="str">
        <v>False</v>
      </c>
      <c r="AI793" s="6" t="str">
        <v>2014</v>
      </c>
      <c r="AJ793" s="6" t="str">
        <v>Completed</v>
      </c>
      <c r="AM793" s="6" t="str">
        <v>Not Applicable</v>
      </c>
      <c r="AO793" s="6" t="str">
        <v>US - Google Inc acquired Lynx Design Inc, a San Francisco-based manufacturer of portable medical utensil.</v>
      </c>
    </row>
    <row r="794">
      <c r="A794" s="6" t="str">
        <v>38259P</v>
      </c>
      <c r="B794" s="6" t="str">
        <v>United States</v>
      </c>
      <c r="C794" s="6" t="str">
        <v>Google Inc</v>
      </c>
      <c r="D794" s="6" t="str">
        <v>Alphabet Inc</v>
      </c>
      <c r="F794" s="6" t="str">
        <v>United States</v>
      </c>
      <c r="G794" s="6" t="str">
        <v>Input Factory Inc</v>
      </c>
      <c r="H794" s="6" t="str">
        <v>Prepackaged Software</v>
      </c>
      <c r="I794" s="6" t="str">
        <v>2C8344</v>
      </c>
      <c r="J794" s="6" t="str">
        <v>Input Factory Inc</v>
      </c>
      <c r="K794" s="6" t="str">
        <v>Input Factory Inc</v>
      </c>
      <c r="L794" s="7">
        <f>=DATE(2014,9,11)</f>
        <v>41892.99949074074</v>
      </c>
      <c r="M794" s="7">
        <f>=DATE(2014,9,11)</f>
        <v>41892.99949074074</v>
      </c>
      <c r="W794" s="6" t="str">
        <v>Programming Services;Internet Services &amp; Software</v>
      </c>
      <c r="X794" s="6" t="str">
        <v>Communication/Network Software;Applications Software(Home);Applications Software(Business</v>
      </c>
      <c r="Y794" s="6" t="str">
        <v>Applications Software(Business;Applications Software(Home);Communication/Network Software</v>
      </c>
      <c r="Z794" s="6" t="str">
        <v>Applications Software(Home);Applications Software(Business;Communication/Network Software</v>
      </c>
      <c r="AA794" s="6" t="str">
        <v>Programming Services;Telecommunications Equipment;Internet Services &amp; Software;Computer Consulting Services;Primary Business not Hi-Tech</v>
      </c>
      <c r="AB794" s="6" t="str">
        <v>Telecommunications Equipment;Programming Services;Primary Business not Hi-Tech;Computer Consulting Services;Internet Services &amp; Software</v>
      </c>
      <c r="AH794" s="6" t="str">
        <v>False</v>
      </c>
      <c r="AI794" s="6" t="str">
        <v>2014</v>
      </c>
      <c r="AJ794" s="6" t="str">
        <v>Completed</v>
      </c>
      <c r="AM794" s="6" t="str">
        <v>Not Applicable</v>
      </c>
      <c r="AO794" s="6" t="str">
        <v>US - Google Inc acquired Input Factory Inc, a Los Gatos-based developer of an opinion poll mobile application. Terms were not disclosed.</v>
      </c>
    </row>
    <row r="795">
      <c r="A795" s="6" t="str">
        <v>594918</v>
      </c>
      <c r="B795" s="6" t="str">
        <v>United States</v>
      </c>
      <c r="C795" s="6" t="str">
        <v>Microsoft Corp</v>
      </c>
      <c r="D795" s="6" t="str">
        <v>Microsoft Corp</v>
      </c>
      <c r="F795" s="6" t="str">
        <v>Sweden</v>
      </c>
      <c r="G795" s="6" t="str">
        <v>Mojang AB</v>
      </c>
      <c r="H795" s="6" t="str">
        <v>Prepackaged Software</v>
      </c>
      <c r="I795" s="6" t="str">
        <v>2C7831</v>
      </c>
      <c r="J795" s="6" t="str">
        <v>Mojang AB</v>
      </c>
      <c r="K795" s="6" t="str">
        <v>Mojang AB</v>
      </c>
      <c r="L795" s="7">
        <f>=DATE(2014,9,15)</f>
        <v>41896.99949074074</v>
      </c>
      <c r="M795" s="7">
        <f>=DATE(2014,11,6)</f>
        <v>41948.99949074074</v>
      </c>
      <c r="N795" s="8">
        <v>2500.14084705022</v>
      </c>
      <c r="O795" s="8">
        <v>2500.14084705022</v>
      </c>
      <c r="R795" s="8">
        <v>126.780648468936</v>
      </c>
      <c r="S795" s="8">
        <v>321.547221402271</v>
      </c>
      <c r="W795" s="6" t="str">
        <v>Computer Consulting Services;Other Peripherals;Monitors/Terminals;Internet Services &amp; Software;Operating Systems;Applications Software(Business</v>
      </c>
      <c r="X795" s="6" t="str">
        <v>Other Software (inq. Games)</v>
      </c>
      <c r="Y795" s="6" t="str">
        <v>Other Software (inq. Games)</v>
      </c>
      <c r="Z795" s="6" t="str">
        <v>Other Software (inq. Games)</v>
      </c>
      <c r="AA795" s="6" t="str">
        <v>Monitors/Terminals;Applications Software(Business;Operating Systems;Internet Services &amp; Software;Other Peripherals;Computer Consulting Services</v>
      </c>
      <c r="AB795" s="6" t="str">
        <v>Monitors/Terminals;Other Peripherals;Operating Systems;Applications Software(Business;Computer Consulting Services;Internet Services &amp; Software</v>
      </c>
      <c r="AC795" s="8">
        <v>2500.14084705022</v>
      </c>
      <c r="AD795" s="7">
        <f>=DATE(2014,9,15)</f>
        <v>41896.99949074074</v>
      </c>
      <c r="AH795" s="6" t="str">
        <v>True</v>
      </c>
      <c r="AI795" s="6" t="str">
        <v>2014</v>
      </c>
      <c r="AJ795" s="6" t="str">
        <v>Completed</v>
      </c>
      <c r="AM795" s="6" t="str">
        <v>Rumored Deal</v>
      </c>
      <c r="AO795" s="6" t="str">
        <v>SWEDEN - Microsoft Corp of the US acquired Mojang AB, a Stockholm-based developer of game software, for SEK 17.786 bil (USD 2.5 bil) in cash. Originally, in September 2014, Microsoft was rumored to be planning to acquire Mojang.</v>
      </c>
    </row>
    <row r="796">
      <c r="A796" s="6" t="str">
        <v>037833</v>
      </c>
      <c r="B796" s="6" t="str">
        <v>United States</v>
      </c>
      <c r="C796" s="6" t="str">
        <v>Apple Inc</v>
      </c>
      <c r="D796" s="6" t="str">
        <v>Apple Inc</v>
      </c>
      <c r="F796" s="6" t="str">
        <v>Netherlands</v>
      </c>
      <c r="G796" s="6" t="str">
        <v>Prss</v>
      </c>
      <c r="H796" s="6" t="str">
        <v>Prepackaged Software</v>
      </c>
      <c r="I796" s="6" t="str">
        <v>3C0976</v>
      </c>
      <c r="J796" s="6" t="str">
        <v>Prss</v>
      </c>
      <c r="K796" s="6" t="str">
        <v>Prss</v>
      </c>
      <c r="L796" s="7">
        <f>=DATE(2014,9,23)</f>
        <v>41904.99949074074</v>
      </c>
      <c r="W796" s="6" t="str">
        <v>Other Peripherals;Disk Drives;Mainframes &amp; Super Computers;Micro-Computers (PCs);Monitors/Terminals;Printers;Portable Computers;Other Software (inq. Games)</v>
      </c>
      <c r="X796" s="6" t="str">
        <v>Internet Services &amp; Software;Communication/Network Software</v>
      </c>
      <c r="Y796" s="6" t="str">
        <v>Internet Services &amp; Software;Communication/Network Software</v>
      </c>
      <c r="Z796" s="6" t="str">
        <v>Communication/Network Software;Internet Services &amp; Software</v>
      </c>
      <c r="AA796" s="6" t="str">
        <v>Printers;Disk Drives;Micro-Computers (PCs);Portable Computers;Other Software (inq. Games);Monitors/Terminals;Other Peripherals;Mainframes &amp; Super Computers</v>
      </c>
      <c r="AB796" s="6" t="str">
        <v>Mainframes &amp; Super Computers;Monitors/Terminals;Printers;Disk Drives;Portable Computers;Other Peripherals;Other Software (inq. Games);Micro-Computers (PCs)</v>
      </c>
      <c r="AH796" s="6" t="str">
        <v>False</v>
      </c>
      <c r="AJ796" s="6" t="str">
        <v>Dismissed Rumor</v>
      </c>
      <c r="AM796" s="6" t="str">
        <v>Rumored Deal</v>
      </c>
      <c r="AO796" s="6" t="str">
        <v>NETHERLANDS - Apple Inc of the US was rumored to acquire Prss, an Internet Software developer. The Current status of this deal is unknown.</v>
      </c>
    </row>
    <row r="797">
      <c r="A797" s="6" t="str">
        <v>023135</v>
      </c>
      <c r="B797" s="6" t="str">
        <v>United States</v>
      </c>
      <c r="C797" s="6" t="str">
        <v>Amazon.com Inc</v>
      </c>
      <c r="D797" s="6" t="str">
        <v>Amazon.com Inc</v>
      </c>
      <c r="F797" s="6" t="str">
        <v>India</v>
      </c>
      <c r="G797" s="6" t="str">
        <v>Xerion Retail Pvt Ltd</v>
      </c>
      <c r="H797" s="6" t="str">
        <v>Business Services</v>
      </c>
      <c r="I797" s="6" t="str">
        <v>3C4814</v>
      </c>
      <c r="J797" s="6" t="str">
        <v>Global Fashion Group SA</v>
      </c>
      <c r="K797" s="6" t="str">
        <v>Global Fashion Group SA</v>
      </c>
      <c r="L797" s="7">
        <f>=DATE(2014,10,10)</f>
        <v>41921.99949074074</v>
      </c>
      <c r="R797" s="8">
        <v>-2.77171902341472</v>
      </c>
      <c r="S797" s="8">
        <v>87.8362803099742</v>
      </c>
      <c r="T797" s="8">
        <v>-0.009115755</v>
      </c>
      <c r="U797" s="8">
        <v>-1.487667885</v>
      </c>
      <c r="V797" s="8">
        <v>0.088341165</v>
      </c>
      <c r="W797" s="6" t="str">
        <v>Primary Business not Hi-Tech</v>
      </c>
      <c r="X797" s="6" t="str">
        <v>Internet Services &amp; Software</v>
      </c>
      <c r="Y797" s="6" t="str">
        <v>Primary Business not Hi-Tech</v>
      </c>
      <c r="Z797" s="6" t="str">
        <v>Primary Business not Hi-Tech</v>
      </c>
      <c r="AA797" s="6" t="str">
        <v>Primary Business not Hi-Tech</v>
      </c>
      <c r="AB797" s="6" t="str">
        <v>Primary Business not Hi-Tech</v>
      </c>
      <c r="AH797" s="6" t="str">
        <v>True</v>
      </c>
      <c r="AJ797" s="6" t="str">
        <v>Dismissed Rumor</v>
      </c>
      <c r="AM797" s="6" t="str">
        <v>Rumored Deal</v>
      </c>
      <c r="AN797" s="8">
        <v>0.001749854178818</v>
      </c>
      <c r="AO797" s="6" t="str">
        <v>INDIA - Amazon.com Inc(Amazon) of US discontinued its rumors to be planning to acquire Xerion Retail Pvt Ltd(Jabong.com), a Gurgaon-based provider of online ecommerce retail services. Terms were not disclosed but, according to sources close to the situation, the deal was valued at an estimated INR 74.138 bil (USD 1.2 bil).</v>
      </c>
    </row>
    <row r="798">
      <c r="A798" s="6" t="str">
        <v>38259P</v>
      </c>
      <c r="B798" s="6" t="str">
        <v>United States</v>
      </c>
      <c r="C798" s="6" t="str">
        <v>Google Inc</v>
      </c>
      <c r="D798" s="6" t="str">
        <v>Alphabet Inc</v>
      </c>
      <c r="F798" s="6" t="str">
        <v>United States</v>
      </c>
      <c r="G798" s="6" t="str">
        <v>Firebase Inc</v>
      </c>
      <c r="H798" s="6" t="str">
        <v>Prepackaged Software</v>
      </c>
      <c r="I798" s="6" t="str">
        <v>3C6584</v>
      </c>
      <c r="J798" s="6" t="str">
        <v>Firebase Inc</v>
      </c>
      <c r="K798" s="6" t="str">
        <v>Firebase Inc</v>
      </c>
      <c r="L798" s="7">
        <f>=DATE(2014,10,21)</f>
        <v>41932.99949074074</v>
      </c>
      <c r="M798" s="7">
        <f>=DATE(2014,10,21)</f>
        <v>41932.99949074074</v>
      </c>
      <c r="W798" s="6" t="str">
        <v>Internet Services &amp; Software;Programming Services</v>
      </c>
      <c r="X798" s="6" t="str">
        <v>Applications Software(Home);Applications Software(Business;Communication/Network Software</v>
      </c>
      <c r="Y798" s="6" t="str">
        <v>Applications Software(Home);Applications Software(Business;Communication/Network Software</v>
      </c>
      <c r="Z798" s="6" t="str">
        <v>Communication/Network Software;Applications Software(Business;Applications Software(Home)</v>
      </c>
      <c r="AA798" s="6" t="str">
        <v>Programming Services;Telecommunications Equipment;Primary Business not Hi-Tech;Computer Consulting Services;Internet Services &amp; Software</v>
      </c>
      <c r="AB798" s="6" t="str">
        <v>Computer Consulting Services;Primary Business not Hi-Tech;Programming Services;Internet Services &amp; Software;Telecommunications Equipment</v>
      </c>
      <c r="AH798" s="6" t="str">
        <v>False</v>
      </c>
      <c r="AI798" s="6" t="str">
        <v>2014</v>
      </c>
      <c r="AJ798" s="6" t="str">
        <v>Completed</v>
      </c>
      <c r="AM798" s="6" t="str">
        <v>Not Applicable</v>
      </c>
      <c r="AO798" s="6" t="str">
        <v>US - Google Inc acquired Firebase Inc, a San Francisco-based developer of mobile application software. Terms were not disclosed.</v>
      </c>
    </row>
    <row r="799">
      <c r="A799" s="6" t="str">
        <v>3A7443</v>
      </c>
      <c r="B799" s="6" t="str">
        <v>United States</v>
      </c>
      <c r="C799" s="6" t="str">
        <v>Nest Labs Inc</v>
      </c>
      <c r="D799" s="6" t="str">
        <v>Alphabet Inc</v>
      </c>
      <c r="F799" s="6" t="str">
        <v>United States</v>
      </c>
      <c r="G799" s="6" t="str">
        <v>Revolv Inc</v>
      </c>
      <c r="H799" s="6" t="str">
        <v>Prepackaged Software</v>
      </c>
      <c r="I799" s="6" t="str">
        <v>3C4359</v>
      </c>
      <c r="J799" s="6" t="str">
        <v>Revolv Inc</v>
      </c>
      <c r="K799" s="6" t="str">
        <v>Revolv Inc</v>
      </c>
      <c r="L799" s="7">
        <f>=DATE(2014,10,24)</f>
        <v>41935.99949074074</v>
      </c>
      <c r="M799" s="7">
        <f>=DATE(2014,10,24)</f>
        <v>41935.99949074074</v>
      </c>
      <c r="W799" s="6" t="str">
        <v>Process Control Systems</v>
      </c>
      <c r="X799" s="6" t="str">
        <v>Applications Software(Home);Applications Software(Business;Communication/Network Software</v>
      </c>
      <c r="Y799" s="6" t="str">
        <v>Applications Software(Home);Applications Software(Business;Communication/Network Software</v>
      </c>
      <c r="Z799" s="6" t="str">
        <v>Communication/Network Software;Applications Software(Business;Applications Software(Home)</v>
      </c>
      <c r="AA799" s="6" t="str">
        <v>Internet Services &amp; Software;Programming Services</v>
      </c>
      <c r="AB799" s="6" t="str">
        <v>Internet Services &amp; Software;Telecommunications Equipment;Computer Consulting Services;Programming Services;Primary Business not Hi-Tech</v>
      </c>
      <c r="AH799" s="6" t="str">
        <v>False</v>
      </c>
      <c r="AI799" s="6" t="str">
        <v>2014</v>
      </c>
      <c r="AJ799" s="6" t="str">
        <v>Completed</v>
      </c>
      <c r="AM799" s="6" t="str">
        <v>Not Applicable</v>
      </c>
      <c r="AO799" s="6" t="str">
        <v>US - Nest Labs Inc, a unit of Google Inc, acquired Revolv Inc, a Boulder-based developer of home automation software. Terms of the deal were not disclosed.</v>
      </c>
    </row>
    <row r="800">
      <c r="A800" s="6" t="str">
        <v>037833</v>
      </c>
      <c r="B800" s="6" t="str">
        <v>United States</v>
      </c>
      <c r="C800" s="6" t="str">
        <v>Apple Inc</v>
      </c>
      <c r="D800" s="6" t="str">
        <v>Apple Inc</v>
      </c>
      <c r="F800" s="6" t="str">
        <v>United States</v>
      </c>
      <c r="G800" s="6" t="str">
        <v>Union Bay Networks</v>
      </c>
      <c r="H800" s="6" t="str">
        <v>Prepackaged Software</v>
      </c>
      <c r="I800" s="6" t="str">
        <v>0L2662</v>
      </c>
      <c r="J800" s="6" t="str">
        <v>Union Bay Networks</v>
      </c>
      <c r="K800" s="6" t="str">
        <v>Union Bay Networks</v>
      </c>
      <c r="L800" s="7">
        <f>=DATE(2014,11,3)</f>
        <v>41945.99949074074</v>
      </c>
      <c r="M800" s="7">
        <f>=DATE(2014,11,3)</f>
        <v>41945.99949074074</v>
      </c>
      <c r="W800" s="6" t="str">
        <v>Mainframes &amp; Super Computers;Other Peripherals;Portable Computers;Other Software (inq. Games);Printers;Micro-Computers (PCs);Disk Drives;Monitors/Terminals</v>
      </c>
      <c r="X800" s="6" t="str">
        <v>Internet Services &amp; Software;Applications Software(Home);Utilities/File Mgmt Software;Applications Software(Business;Communication/Network Software;Desktop Publishing;Other Software (inq. Games)</v>
      </c>
      <c r="Y800" s="6" t="str">
        <v>Communication/Network Software;Desktop Publishing;Applications Software(Home);Utilities/File Mgmt Software;Internet Services &amp; Software;Other Software (inq. Games);Applications Software(Business</v>
      </c>
      <c r="Z800" s="6" t="str">
        <v>Applications Software(Business;Applications Software(Home);Other Software (inq. Games);Internet Services &amp; Software;Utilities/File Mgmt Software;Desktop Publishing;Communication/Network Software</v>
      </c>
      <c r="AA800" s="6" t="str">
        <v>Monitors/Terminals;Disk Drives;Other Peripherals;Micro-Computers (PCs);Other Software (inq. Games);Portable Computers;Printers;Mainframes &amp; Super Computers</v>
      </c>
      <c r="AB800" s="6" t="str">
        <v>Other Peripherals;Other Software (inq. Games);Mainframes &amp; Super Computers;Printers;Disk Drives;Micro-Computers (PCs);Monitors/Terminals;Portable Computers</v>
      </c>
      <c r="AH800" s="6" t="str">
        <v>True</v>
      </c>
      <c r="AI800" s="6" t="str">
        <v>2014</v>
      </c>
      <c r="AJ800" s="6" t="str">
        <v>Completed</v>
      </c>
      <c r="AM800" s="6" t="str">
        <v>Not Applicable</v>
      </c>
      <c r="AO800" s="6" t="str">
        <v>US - Apple Inc acquired Union Bay Networks, software publisher.</v>
      </c>
    </row>
    <row r="801">
      <c r="A801" s="6" t="str">
        <v>38259P</v>
      </c>
      <c r="B801" s="6" t="str">
        <v>United States</v>
      </c>
      <c r="C801" s="6" t="str">
        <v>Google Inc</v>
      </c>
      <c r="D801" s="6" t="str">
        <v>Alphabet Inc</v>
      </c>
      <c r="F801" s="6" t="str">
        <v>United States</v>
      </c>
      <c r="G801" s="6" t="str">
        <v>Relative Wave LLC</v>
      </c>
      <c r="H801" s="6" t="str">
        <v>Prepackaged Software</v>
      </c>
      <c r="I801" s="6" t="str">
        <v>4C2684</v>
      </c>
      <c r="J801" s="6" t="str">
        <v>Relative Wave LLC</v>
      </c>
      <c r="K801" s="6" t="str">
        <v>Relative Wave LLC</v>
      </c>
      <c r="L801" s="7">
        <f>=DATE(2014,11,19)</f>
        <v>41961.99949074074</v>
      </c>
      <c r="M801" s="7">
        <f>=DATE(2014,11,19)</f>
        <v>41961.99949074074</v>
      </c>
      <c r="W801" s="6" t="str">
        <v>Programming Services;Internet Services &amp; Software</v>
      </c>
      <c r="X801" s="6" t="str">
        <v>Communication/Network Software;Applications Software(Home);Applications Software(Business</v>
      </c>
      <c r="Y801" s="6" t="str">
        <v>Applications Software(Home);Communication/Network Software;Applications Software(Business</v>
      </c>
      <c r="Z801" s="6" t="str">
        <v>Applications Software(Business;Communication/Network Software;Applications Software(Home)</v>
      </c>
      <c r="AA801" s="6" t="str">
        <v>Internet Services &amp; Software;Primary Business not Hi-Tech;Programming Services;Telecommunications Equipment;Computer Consulting Services</v>
      </c>
      <c r="AB801" s="6" t="str">
        <v>Primary Business not Hi-Tech;Internet Services &amp; Software;Telecommunications Equipment;Computer Consulting Services;Programming Services</v>
      </c>
      <c r="AH801" s="6" t="str">
        <v>False</v>
      </c>
      <c r="AI801" s="6" t="str">
        <v>2014</v>
      </c>
      <c r="AJ801" s="6" t="str">
        <v>Completed</v>
      </c>
      <c r="AM801" s="6" t="str">
        <v>Not Applicable</v>
      </c>
      <c r="AO801" s="6" t="str">
        <v>US - Google Inc acquired Relative Wave LLC, a California-based developer of iOS prototyping tool.</v>
      </c>
    </row>
    <row r="802">
      <c r="A802" s="6" t="str">
        <v>594918</v>
      </c>
      <c r="B802" s="6" t="str">
        <v>United States</v>
      </c>
      <c r="C802" s="6" t="str">
        <v>Microsoft Corp</v>
      </c>
      <c r="D802" s="6" t="str">
        <v>Microsoft Corp</v>
      </c>
      <c r="F802" s="6" t="str">
        <v>United States</v>
      </c>
      <c r="G802" s="6" t="str">
        <v>Acompli Inc</v>
      </c>
      <c r="H802" s="6" t="str">
        <v>Prepackaged Software</v>
      </c>
      <c r="I802" s="6" t="str">
        <v>4C4377</v>
      </c>
      <c r="J802" s="6" t="str">
        <v>Acompli Inc</v>
      </c>
      <c r="K802" s="6" t="str">
        <v>Acompli Inc</v>
      </c>
      <c r="L802" s="7">
        <f>=DATE(2014,12,1)</f>
        <v>41973.99949074074</v>
      </c>
      <c r="M802" s="7">
        <f>=DATE(2014,12,1)</f>
        <v>41973.99949074074</v>
      </c>
      <c r="W802" s="6" t="str">
        <v>Computer Consulting Services;Monitors/Terminals;Other Peripherals;Applications Software(Business;Operating Systems;Internet Services &amp; Software</v>
      </c>
      <c r="X802" s="6" t="str">
        <v>Communication/Network Software;Applications Software(Home);Applications Software(Business</v>
      </c>
      <c r="Y802" s="6" t="str">
        <v>Applications Software(Business;Communication/Network Software;Applications Software(Home)</v>
      </c>
      <c r="Z802" s="6" t="str">
        <v>Applications Software(Business;Communication/Network Software;Applications Software(Home)</v>
      </c>
      <c r="AA802" s="6" t="str">
        <v>Applications Software(Business;Operating Systems;Computer Consulting Services;Other Peripherals;Monitors/Terminals;Internet Services &amp; Software</v>
      </c>
      <c r="AB802" s="6" t="str">
        <v>Operating Systems;Applications Software(Business;Monitors/Terminals;Internet Services &amp; Software;Other Peripherals;Computer Consulting Services</v>
      </c>
      <c r="AH802" s="6" t="str">
        <v>True</v>
      </c>
      <c r="AI802" s="6" t="str">
        <v>2014</v>
      </c>
      <c r="AJ802" s="6" t="str">
        <v>Completed</v>
      </c>
      <c r="AM802" s="6" t="str">
        <v>Not Applicable</v>
      </c>
      <c r="AO802" s="6" t="str">
        <v>US - Microsoft Corp acquired Acompli Inc, a San Francisco-based developer of mobile email application software.</v>
      </c>
    </row>
    <row r="803">
      <c r="A803" s="6" t="str">
        <v>0C6551</v>
      </c>
      <c r="B803" s="6" t="str">
        <v>United States</v>
      </c>
      <c r="C803" s="6" t="str">
        <v>Twitch Interactive Inc</v>
      </c>
      <c r="D803" s="6" t="str">
        <v>Amazon.com Inc</v>
      </c>
      <c r="F803" s="6" t="str">
        <v>United States</v>
      </c>
      <c r="G803" s="6" t="str">
        <v>Good Game Agency</v>
      </c>
      <c r="H803" s="6" t="str">
        <v>Business Services</v>
      </c>
      <c r="I803" s="6" t="str">
        <v>4C6608</v>
      </c>
      <c r="J803" s="6" t="str">
        <v>Good Game Agency</v>
      </c>
      <c r="K803" s="6" t="str">
        <v>Good Game Agency</v>
      </c>
      <c r="L803" s="7">
        <f>=DATE(2014,12,10)</f>
        <v>41982.99949074074</v>
      </c>
      <c r="M803" s="7">
        <f>=DATE(2014,12,10)</f>
        <v>41982.99949074074</v>
      </c>
      <c r="W803" s="6" t="str">
        <v>Internet Services &amp; Software</v>
      </c>
      <c r="X803" s="6" t="str">
        <v>Communication/Network Software;Internet Services &amp; Software</v>
      </c>
      <c r="Y803" s="6" t="str">
        <v>Internet Services &amp; Software;Communication/Network Software</v>
      </c>
      <c r="Z803" s="6" t="str">
        <v>Internet Services &amp; Software;Communication/Network Software</v>
      </c>
      <c r="AA803" s="6" t="str">
        <v>Primary Business not Hi-Tech</v>
      </c>
      <c r="AB803" s="6" t="str">
        <v>Primary Business not Hi-Tech</v>
      </c>
      <c r="AH803" s="6" t="str">
        <v>False</v>
      </c>
      <c r="AI803" s="6" t="str">
        <v>2014</v>
      </c>
      <c r="AJ803" s="6" t="str">
        <v>Completed</v>
      </c>
      <c r="AM803" s="6" t="str">
        <v>Not Applicable</v>
      </c>
      <c r="AO803" s="6" t="str">
        <v>US - Twitch Interactive Inc, a unit of Amazon.com Inc, agreed to acquire Good Game Agency, a San Francisco-based provider of e-sports and live video game broadcasting advertising services.</v>
      </c>
    </row>
    <row r="804">
      <c r="A804" s="6" t="str">
        <v>594918</v>
      </c>
      <c r="B804" s="6" t="str">
        <v>United States</v>
      </c>
      <c r="C804" s="6" t="str">
        <v>Microsoft Corp</v>
      </c>
      <c r="D804" s="6" t="str">
        <v>Microsoft Corp</v>
      </c>
      <c r="F804" s="6" t="str">
        <v>Germany</v>
      </c>
      <c r="G804" s="6" t="str">
        <v>Bit Stadium GmbH</v>
      </c>
      <c r="H804" s="6" t="str">
        <v>Business Services</v>
      </c>
      <c r="I804" s="6" t="str">
        <v>4C7831</v>
      </c>
      <c r="J804" s="6" t="str">
        <v>Bit Stadium GmbH</v>
      </c>
      <c r="K804" s="6" t="str">
        <v>Bit Stadium GmbH</v>
      </c>
      <c r="L804" s="7">
        <f>=DATE(2014,12,11)</f>
        <v>41983.99949074074</v>
      </c>
      <c r="M804" s="7">
        <f>=DATE(2014,12,11)</f>
        <v>41983.99949074074</v>
      </c>
      <c r="W804" s="6" t="str">
        <v>Monitors/Terminals;Operating Systems;Applications Software(Business;Computer Consulting Services;Internet Services &amp; Software;Other Peripherals</v>
      </c>
      <c r="X804" s="6" t="str">
        <v>Database Software/Programming;Programming Services</v>
      </c>
      <c r="Y804" s="6" t="str">
        <v>Database Software/Programming;Programming Services</v>
      </c>
      <c r="Z804" s="6" t="str">
        <v>Programming Services;Database Software/Programming</v>
      </c>
      <c r="AA804" s="6" t="str">
        <v>Applications Software(Business;Other Peripherals;Computer Consulting Services;Internet Services &amp; Software;Monitors/Terminals;Operating Systems</v>
      </c>
      <c r="AB804" s="6" t="str">
        <v>Applications Software(Business;Operating Systems;Internet Services &amp; Software;Monitors/Terminals;Other Peripherals;Computer Consulting Services</v>
      </c>
      <c r="AH804" s="6" t="str">
        <v>False</v>
      </c>
      <c r="AI804" s="6" t="str">
        <v>2014</v>
      </c>
      <c r="AJ804" s="6" t="str">
        <v>Completed</v>
      </c>
      <c r="AM804" s="6" t="str">
        <v>Not Applicable</v>
      </c>
      <c r="AO804" s="6" t="str">
        <v>GERMANY - Microsoft Corp of the US acquired Bit Stadium GmbH, a Stuttgart-based provider of custom computer programming services.</v>
      </c>
    </row>
    <row r="805">
      <c r="A805" s="6" t="str">
        <v>9A6770</v>
      </c>
      <c r="B805" s="6" t="str">
        <v>United States</v>
      </c>
      <c r="C805" s="6" t="str">
        <v>Oculus VR LLC(NOW 8J8006)</v>
      </c>
      <c r="D805" s="6" t="str">
        <v>Facebook Inc</v>
      </c>
      <c r="F805" s="6" t="str">
        <v>United States</v>
      </c>
      <c r="G805" s="6" t="str">
        <v>Nimble VR</v>
      </c>
      <c r="H805" s="6" t="str">
        <v>Measuring, Medical, Photo Equipment; Clocks</v>
      </c>
      <c r="I805" s="6" t="str">
        <v>4C8398</v>
      </c>
      <c r="J805" s="6" t="str">
        <v>Nimble VR</v>
      </c>
      <c r="K805" s="6" t="str">
        <v>Nimble VR</v>
      </c>
      <c r="L805" s="7">
        <f>=DATE(2014,12,12)</f>
        <v>41984.99949074074</v>
      </c>
      <c r="M805" s="7">
        <f>=DATE(2014,12,12)</f>
        <v>41984.99949074074</v>
      </c>
      <c r="W805" s="6" t="str">
        <v>Communication/Network Software;Applications Software(Business;Programming Services;Applications Software(Home)</v>
      </c>
      <c r="X805" s="6" t="str">
        <v>Other Software (inq. Games);Other Electronics;Precision/Measuring Test Equip</v>
      </c>
      <c r="Y805" s="6" t="str">
        <v>Other Electronics;Precision/Measuring Test Equip;Other Software (inq. Games)</v>
      </c>
      <c r="Z805" s="6" t="str">
        <v>Other Software (inq. Games);Other Electronics;Precision/Measuring Test Equip</v>
      </c>
      <c r="AA805" s="6" t="str">
        <v>Internet Services &amp; Software</v>
      </c>
      <c r="AB805" s="6" t="str">
        <v>Internet Services &amp; Software</v>
      </c>
      <c r="AH805" s="6" t="str">
        <v>False</v>
      </c>
      <c r="AI805" s="6" t="str">
        <v>2014</v>
      </c>
      <c r="AJ805" s="6" t="str">
        <v>Completed</v>
      </c>
      <c r="AM805" s="6" t="str">
        <v>Financial Acquiror</v>
      </c>
      <c r="AO805" s="6" t="str">
        <v>US - Oculus VR Inc, a unit of Facebook Inc, acquired Nimble VR, a San Francisco-based manufacturer of hand-tracking system.</v>
      </c>
    </row>
    <row r="806">
      <c r="A806" s="6" t="str">
        <v>594918</v>
      </c>
      <c r="B806" s="6" t="str">
        <v>United States</v>
      </c>
      <c r="C806" s="6" t="str">
        <v>Microsoft Corp</v>
      </c>
      <c r="D806" s="6" t="str">
        <v>Microsoft Corp</v>
      </c>
      <c r="F806" s="6" t="str">
        <v>Germany</v>
      </c>
      <c r="G806" s="6" t="str">
        <v>Codenauts GmbH</v>
      </c>
      <c r="H806" s="6" t="str">
        <v>Prepackaged Software</v>
      </c>
      <c r="I806" s="6" t="str">
        <v>5C3856</v>
      </c>
      <c r="J806" s="6" t="str">
        <v>Codenauts GmbH</v>
      </c>
      <c r="K806" s="6" t="str">
        <v>Codenauts GmbH</v>
      </c>
      <c r="L806" s="7">
        <f>=DATE(2014,12,15)</f>
        <v>41987.99949074074</v>
      </c>
      <c r="M806" s="7">
        <f>=DATE(2014,12,15)</f>
        <v>41987.99949074074</v>
      </c>
      <c r="W806" s="6" t="str">
        <v>Monitors/Terminals;Applications Software(Business;Internet Services &amp; Software;Computer Consulting Services;Operating Systems;Other Peripherals</v>
      </c>
      <c r="X806" s="6" t="str">
        <v>Communication/Network Software;Applications Software(Home);Applications Software(Business</v>
      </c>
      <c r="Y806" s="6" t="str">
        <v>Applications Software(Business;Applications Software(Home);Communication/Network Software</v>
      </c>
      <c r="Z806" s="6" t="str">
        <v>Applications Software(Home);Communication/Network Software;Applications Software(Business</v>
      </c>
      <c r="AA806" s="6" t="str">
        <v>Operating Systems;Monitors/Terminals;Computer Consulting Services;Other Peripherals;Applications Software(Business;Internet Services &amp; Software</v>
      </c>
      <c r="AB806" s="6" t="str">
        <v>Applications Software(Business;Internet Services &amp; Software;Other Peripherals;Computer Consulting Services;Monitors/Terminals;Operating Systems</v>
      </c>
      <c r="AH806" s="6" t="str">
        <v>False</v>
      </c>
      <c r="AI806" s="6" t="str">
        <v>2014</v>
      </c>
      <c r="AJ806" s="6" t="str">
        <v>Completed</v>
      </c>
      <c r="AM806" s="6" t="str">
        <v>Not Applicable</v>
      </c>
      <c r="AO806" s="6" t="str">
        <v>GERMANY - Microsoft Corp of the US acquired the entire share capital of Codenauts GmbH, a Stuttgart-based reproducer of software, from Thomas Dohmke and Stefan Haubold.</v>
      </c>
    </row>
    <row r="807">
      <c r="A807" s="6" t="str">
        <v>9A6770</v>
      </c>
      <c r="B807" s="6" t="str">
        <v>United States</v>
      </c>
      <c r="C807" s="6" t="str">
        <v>Oculus VR LLC(NOW 8J8006)</v>
      </c>
      <c r="D807" s="6" t="str">
        <v>Facebook Inc</v>
      </c>
      <c r="F807" s="6" t="str">
        <v>Sweden</v>
      </c>
      <c r="G807" s="6" t="str">
        <v>13th Lab AB</v>
      </c>
      <c r="H807" s="6" t="str">
        <v>Prepackaged Software</v>
      </c>
      <c r="I807" s="6" t="str">
        <v>5C3212</v>
      </c>
      <c r="J807" s="6" t="str">
        <v>13th Lab AB</v>
      </c>
      <c r="K807" s="6" t="str">
        <v>13th Lab AB</v>
      </c>
      <c r="L807" s="7">
        <f>=DATE(2014,12,16)</f>
        <v>41988.99949074074</v>
      </c>
      <c r="M807" s="7">
        <f>=DATE(2014,12,16)</f>
        <v>41988.99949074074</v>
      </c>
      <c r="R807" s="8">
        <v>20.1117175736718</v>
      </c>
      <c r="S807" s="8">
        <v>26.204560120456</v>
      </c>
      <c r="W807" s="6" t="str">
        <v>Programming Services;Applications Software(Business;Communication/Network Software;Applications Software(Home)</v>
      </c>
      <c r="X807" s="6" t="str">
        <v>Applications Software(Business</v>
      </c>
      <c r="Y807" s="6" t="str">
        <v>Applications Software(Business</v>
      </c>
      <c r="Z807" s="6" t="str">
        <v>Applications Software(Business</v>
      </c>
      <c r="AA807" s="6" t="str">
        <v>Internet Services &amp; Software</v>
      </c>
      <c r="AB807" s="6" t="str">
        <v>Internet Services &amp; Software</v>
      </c>
      <c r="AH807" s="6" t="str">
        <v>True</v>
      </c>
      <c r="AI807" s="6" t="str">
        <v>2014</v>
      </c>
      <c r="AJ807" s="6" t="str">
        <v>Completed</v>
      </c>
      <c r="AM807" s="6" t="str">
        <v>Financial Acquiror</v>
      </c>
      <c r="AO807" s="6" t="str">
        <v>SWEDEN - Oculus VR LLC of the US, a unit of Facebook Inc, acquired 13th Lab AB, a Stockholm-based software publisher.</v>
      </c>
    </row>
    <row r="808">
      <c r="A808" s="6" t="str">
        <v>98787H</v>
      </c>
      <c r="B808" s="6" t="str">
        <v>United States</v>
      </c>
      <c r="C808" s="6" t="str">
        <v>YouTube Inc</v>
      </c>
      <c r="D808" s="6" t="str">
        <v>Alphabet Inc</v>
      </c>
      <c r="F808" s="6" t="str">
        <v>United States</v>
      </c>
      <c r="G808" s="6" t="str">
        <v>Vidmaker Inc</v>
      </c>
      <c r="H808" s="6" t="str">
        <v>Business Services</v>
      </c>
      <c r="I808" s="6" t="str">
        <v>4C9062</v>
      </c>
      <c r="J808" s="6" t="str">
        <v>Vidmaker Inc</v>
      </c>
      <c r="K808" s="6" t="str">
        <v>Vidmaker Inc</v>
      </c>
      <c r="L808" s="7">
        <f>=DATE(2014,12,18)</f>
        <v>41990.99949074074</v>
      </c>
      <c r="M808" s="7">
        <f>=DATE(2014,12,18)</f>
        <v>41990.99949074074</v>
      </c>
      <c r="W808" s="6" t="str">
        <v>Internet Services &amp; Software</v>
      </c>
      <c r="X808" s="6" t="str">
        <v>Internet Services &amp; Software</v>
      </c>
      <c r="Y808" s="6" t="str">
        <v>Internet Services &amp; Software</v>
      </c>
      <c r="Z808" s="6" t="str">
        <v>Internet Services &amp; Software</v>
      </c>
      <c r="AA808" s="6" t="str">
        <v>Programming Services;Internet Services &amp; Software</v>
      </c>
      <c r="AB808" s="6" t="str">
        <v>Primary Business not Hi-Tech;Computer Consulting Services;Telecommunications Equipment;Programming Services;Internet Services &amp; Software</v>
      </c>
      <c r="AH808" s="6" t="str">
        <v>False</v>
      </c>
      <c r="AI808" s="6" t="str">
        <v>2014</v>
      </c>
      <c r="AJ808" s="6" t="str">
        <v>Completed</v>
      </c>
      <c r="AM808" s="6" t="str">
        <v>Not Applicable</v>
      </c>
      <c r="AO808" s="6" t="str">
        <v>US - YouTube Inc, a unit of Google Inc, acquired Vidmaker Inc, a Madison-based provider of online collaborative video editing services.</v>
      </c>
    </row>
    <row r="809">
      <c r="A809" s="6" t="str">
        <v>30303M</v>
      </c>
      <c r="B809" s="6" t="str">
        <v>United States</v>
      </c>
      <c r="C809" s="6" t="str">
        <v>Facebook Inc</v>
      </c>
      <c r="D809" s="6" t="str">
        <v>Facebook Inc</v>
      </c>
      <c r="F809" s="6" t="str">
        <v>United States</v>
      </c>
      <c r="G809" s="6" t="str">
        <v>Wit.ai Inc</v>
      </c>
      <c r="H809" s="6" t="str">
        <v>Prepackaged Software</v>
      </c>
      <c r="I809" s="6" t="str">
        <v>5C2999</v>
      </c>
      <c r="J809" s="6" t="str">
        <v>Wit.ai Inc</v>
      </c>
      <c r="K809" s="6" t="str">
        <v>Wit.ai Inc</v>
      </c>
      <c r="L809" s="7">
        <f>=DATE(2015,1,5)</f>
        <v>42008.99949074074</v>
      </c>
      <c r="M809" s="7">
        <f>=DATE(2015,1,5)</f>
        <v>42008.99949074074</v>
      </c>
      <c r="W809" s="6" t="str">
        <v>Internet Services &amp; Software</v>
      </c>
      <c r="X809" s="6" t="str">
        <v>Applications Software(Home);Communication/Network Software;Applications Software(Business</v>
      </c>
      <c r="Y809" s="6" t="str">
        <v>Applications Software(Business;Communication/Network Software;Applications Software(Home)</v>
      </c>
      <c r="Z809" s="6" t="str">
        <v>Communication/Network Software;Applications Software(Business;Applications Software(Home)</v>
      </c>
      <c r="AA809" s="6" t="str">
        <v>Internet Services &amp; Software</v>
      </c>
      <c r="AB809" s="6" t="str">
        <v>Internet Services &amp; Software</v>
      </c>
      <c r="AH809" s="6" t="str">
        <v>False</v>
      </c>
      <c r="AI809" s="6" t="str">
        <v>2015</v>
      </c>
      <c r="AJ809" s="6" t="str">
        <v>Completed</v>
      </c>
      <c r="AM809" s="6" t="str">
        <v>Financial Acquiror</v>
      </c>
      <c r="AO809" s="6" t="str">
        <v>US - Facebook Inc acquired Wit.ai Inc, a Palo Alto-based developer of voice-recognition software. Terms of the deal were not disclosed.</v>
      </c>
    </row>
    <row r="810">
      <c r="A810" s="6" t="str">
        <v>30303M</v>
      </c>
      <c r="B810" s="6" t="str">
        <v>United States</v>
      </c>
      <c r="C810" s="6" t="str">
        <v>Facebook Inc</v>
      </c>
      <c r="D810" s="6" t="str">
        <v>Facebook Inc</v>
      </c>
      <c r="F810" s="6" t="str">
        <v>United States</v>
      </c>
      <c r="G810" s="6" t="str">
        <v>QuickFire Networks Corp</v>
      </c>
      <c r="H810" s="6" t="str">
        <v>Computer and Office Equipment</v>
      </c>
      <c r="I810" s="6" t="str">
        <v>5C3754</v>
      </c>
      <c r="J810" s="6" t="str">
        <v>QuickFire Networks Corp</v>
      </c>
      <c r="K810" s="6" t="str">
        <v>QuickFire Networks Corp</v>
      </c>
      <c r="L810" s="7">
        <f>=DATE(2015,1,8)</f>
        <v>42011.99949074074</v>
      </c>
      <c r="M810" s="7">
        <f>=DATE(2015,1,8)</f>
        <v>42011.99949074074</v>
      </c>
      <c r="W810" s="6" t="str">
        <v>Internet Services &amp; Software</v>
      </c>
      <c r="X810" s="6" t="str">
        <v>Other Peripherals</v>
      </c>
      <c r="Y810" s="6" t="str">
        <v>Other Peripherals</v>
      </c>
      <c r="Z810" s="6" t="str">
        <v>Other Peripherals</v>
      </c>
      <c r="AA810" s="6" t="str">
        <v>Internet Services &amp; Software</v>
      </c>
      <c r="AB810" s="6" t="str">
        <v>Internet Services &amp; Software</v>
      </c>
      <c r="AH810" s="6" t="str">
        <v>False</v>
      </c>
      <c r="AI810" s="6" t="str">
        <v>2015</v>
      </c>
      <c r="AJ810" s="6" t="str">
        <v>Completed</v>
      </c>
      <c r="AM810" s="6" t="str">
        <v>Financial Acquiror</v>
      </c>
      <c r="AO810" s="6" t="str">
        <v>US - Facebook Inc acquired QuickFire Networks Corp, a San Diego-based provider of video-compression services.</v>
      </c>
    </row>
    <row r="811">
      <c r="A811" s="6" t="str">
        <v>38259P</v>
      </c>
      <c r="B811" s="6" t="str">
        <v>United States</v>
      </c>
      <c r="C811" s="6" t="str">
        <v>Google Inc</v>
      </c>
      <c r="D811" s="6" t="str">
        <v>Alphabet Inc</v>
      </c>
      <c r="F811" s="6" t="str">
        <v>United States</v>
      </c>
      <c r="G811" s="6" t="str">
        <v>Space Exploration Technologies Corp</v>
      </c>
      <c r="H811" s="6" t="str">
        <v>Aerospace and Aircraft</v>
      </c>
      <c r="I811" s="6" t="str">
        <v>84618Y</v>
      </c>
      <c r="J811" s="6" t="str">
        <v>Space Exploration Technologies Corp</v>
      </c>
      <c r="K811" s="6" t="str">
        <v>Space Exploration Technologies Corp</v>
      </c>
      <c r="L811" s="7">
        <f>=DATE(2015,1,19)</f>
        <v>42022.99949074074</v>
      </c>
      <c r="W811" s="6" t="str">
        <v>Internet Services &amp; Software;Programming Services</v>
      </c>
      <c r="X811" s="6" t="str">
        <v>Search, Detection, Navigation</v>
      </c>
      <c r="Y811" s="6" t="str">
        <v>Search, Detection, Navigation</v>
      </c>
      <c r="Z811" s="6" t="str">
        <v>Search, Detection, Navigation</v>
      </c>
      <c r="AA811" s="6" t="str">
        <v>Internet Services &amp; Software;Telecommunications Equipment;Programming Services;Computer Consulting Services;Primary Business not Hi-Tech</v>
      </c>
      <c r="AB811" s="6" t="str">
        <v>Programming Services;Computer Consulting Services;Primary Business not Hi-Tech;Internet Services &amp; Software;Telecommunications Equipment</v>
      </c>
      <c r="AH811" s="6" t="str">
        <v>True</v>
      </c>
      <c r="AJ811" s="6" t="str">
        <v>Dismissed Rumor</v>
      </c>
      <c r="AM811" s="6" t="str">
        <v>Rumored Deal;Financial Acquiror</v>
      </c>
      <c r="AO811" s="6" t="str">
        <v>US - Google Inc was rumored to be planning to acquire an undisclosed majority interest in Space Exploration Technologies Corp, a Hawthorne-based manufacturer of launch rockets and spacecrafts. The Current status of this deal is unknown.</v>
      </c>
    </row>
    <row r="812">
      <c r="A812" s="6" t="str">
        <v>594918</v>
      </c>
      <c r="B812" s="6" t="str">
        <v>United States</v>
      </c>
      <c r="C812" s="6" t="str">
        <v>Microsoft Corp</v>
      </c>
      <c r="D812" s="6" t="str">
        <v>Microsoft Corp</v>
      </c>
      <c r="F812" s="6" t="str">
        <v>Israel</v>
      </c>
      <c r="G812" s="6" t="str">
        <v>Equivio Ltd</v>
      </c>
      <c r="H812" s="6" t="str">
        <v>Prepackaged Software</v>
      </c>
      <c r="I812" s="6" t="str">
        <v>29212E</v>
      </c>
      <c r="J812" s="6" t="str">
        <v>Equivio Ltd</v>
      </c>
      <c r="K812" s="6" t="str">
        <v>Equivio Ltd</v>
      </c>
      <c r="L812" s="7">
        <f>=DATE(2015,1,20)</f>
        <v>42023.99949074074</v>
      </c>
      <c r="M812" s="7">
        <f>=DATE(2015,1,20)</f>
        <v>42023.99949074074</v>
      </c>
      <c r="W812" s="6" t="str">
        <v>Internet Services &amp; Software;Operating Systems;Monitors/Terminals;Other Peripherals;Applications Software(Business;Computer Consulting Services</v>
      </c>
      <c r="X812" s="6" t="str">
        <v>Communication/Network Software;Internet Services &amp; Software</v>
      </c>
      <c r="Y812" s="6" t="str">
        <v>Internet Services &amp; Software;Communication/Network Software</v>
      </c>
      <c r="Z812" s="6" t="str">
        <v>Internet Services &amp; Software;Communication/Network Software</v>
      </c>
      <c r="AA812" s="6" t="str">
        <v>Computer Consulting Services;Other Peripherals;Applications Software(Business;Operating Systems;Internet Services &amp; Software;Monitors/Terminals</v>
      </c>
      <c r="AB812" s="6" t="str">
        <v>Applications Software(Business;Computer Consulting Services;Other Peripherals;Internet Services &amp; Software;Monitors/Terminals;Operating Systems</v>
      </c>
      <c r="AH812" s="6" t="str">
        <v>False</v>
      </c>
      <c r="AI812" s="6" t="str">
        <v>2015</v>
      </c>
      <c r="AJ812" s="6" t="str">
        <v>Completed</v>
      </c>
      <c r="AM812" s="6" t="str">
        <v>Rumored Deal</v>
      </c>
      <c r="AO812" s="6" t="str">
        <v>ISRAEL - Microsoft Corp of the US acquired Equivio Ltd, a Rosh Haayin-based provider of text analysis software development services. Terms were not disclosed. Originally, in January 2015, Microsoft was rumored to be planning to acquire Equivio. Terms were not disclosed but, according to people familiar with the transaction, the deal was valued at an estimated ILS 742.041 mil (USD 200 mil).</v>
      </c>
    </row>
    <row r="813">
      <c r="A813" s="6" t="str">
        <v>037833</v>
      </c>
      <c r="B813" s="6" t="str">
        <v>United States</v>
      </c>
      <c r="C813" s="6" t="str">
        <v>Apple Inc</v>
      </c>
      <c r="D813" s="6" t="str">
        <v>Apple Inc</v>
      </c>
      <c r="F813" s="6" t="str">
        <v>United Kingdom</v>
      </c>
      <c r="G813" s="6" t="str">
        <v>Semetric Ltd</v>
      </c>
      <c r="H813" s="6" t="str">
        <v>Business Services</v>
      </c>
      <c r="I813" s="6" t="str">
        <v>5C6567</v>
      </c>
      <c r="J813" s="6" t="str">
        <v>Semetric Ltd</v>
      </c>
      <c r="K813" s="6" t="str">
        <v>Semetric Ltd</v>
      </c>
      <c r="L813" s="7">
        <f>=DATE(2015,1,21)</f>
        <v>42024.99949074074</v>
      </c>
      <c r="M813" s="7">
        <f>=DATE(2015,1,21)</f>
        <v>42024.99949074074</v>
      </c>
      <c r="W813" s="6" t="str">
        <v>Monitors/Terminals;Mainframes &amp; Super Computers;Portable Computers;Disk Drives;Other Software (inq. Games);Printers;Other Peripherals;Micro-Computers (PCs)</v>
      </c>
      <c r="X813" s="6" t="str">
        <v>Internet Services &amp; Software</v>
      </c>
      <c r="Y813" s="6" t="str">
        <v>Internet Services &amp; Software</v>
      </c>
      <c r="Z813" s="6" t="str">
        <v>Internet Services &amp; Software</v>
      </c>
      <c r="AA813" s="6" t="str">
        <v>Monitors/Terminals;Other Peripherals;Disk Drives;Mainframes &amp; Super Computers;Printers;Micro-Computers (PCs);Other Software (inq. Games);Portable Computers</v>
      </c>
      <c r="AB813" s="6" t="str">
        <v>Monitors/Terminals;Portable Computers;Other Software (inq. Games);Micro-Computers (PCs);Mainframes &amp; Super Computers;Printers;Other Peripherals;Disk Drives</v>
      </c>
      <c r="AH813" s="6" t="str">
        <v>False</v>
      </c>
      <c r="AI813" s="6" t="str">
        <v>2015</v>
      </c>
      <c r="AJ813" s="6" t="str">
        <v>Completed</v>
      </c>
      <c r="AM813" s="6" t="str">
        <v>Not Applicable</v>
      </c>
      <c r="AO813" s="6" t="str">
        <v>UK - Apple Inc of the US acquired Semetric Ltd, a London-based provider of analytics services to music through online platform.</v>
      </c>
    </row>
    <row r="814">
      <c r="A814" s="6" t="str">
        <v>594918</v>
      </c>
      <c r="B814" s="6" t="str">
        <v>United States</v>
      </c>
      <c r="C814" s="6" t="str">
        <v>Microsoft Corp</v>
      </c>
      <c r="D814" s="6" t="str">
        <v>Microsoft Corp</v>
      </c>
      <c r="F814" s="6" t="str">
        <v>United States</v>
      </c>
      <c r="G814" s="6" t="str">
        <v>Revolution Analytics Inc</v>
      </c>
      <c r="H814" s="6" t="str">
        <v>Business Services</v>
      </c>
      <c r="I814" s="6" t="str">
        <v>5C6762</v>
      </c>
      <c r="J814" s="6" t="str">
        <v>Revolution Analytics Inc</v>
      </c>
      <c r="K814" s="6" t="str">
        <v>Revolution Analytics Inc</v>
      </c>
      <c r="L814" s="7">
        <f>=DATE(2015,1,23)</f>
        <v>42026.99949074074</v>
      </c>
      <c r="M814" s="7">
        <f>=DATE(2015,4,6)</f>
        <v>42099.99949074074</v>
      </c>
      <c r="W814" s="6" t="str">
        <v>Applications Software(Business;Internet Services &amp; Software;Operating Systems;Monitors/Terminals;Other Peripherals;Computer Consulting Services</v>
      </c>
      <c r="X814" s="6" t="str">
        <v>Other Software (inq. Games);Data Processing Services;Computer Consulting Services;Other Computer Related Svcs</v>
      </c>
      <c r="Y814" s="6" t="str">
        <v>Computer Consulting Services;Other Software (inq. Games);Other Computer Related Svcs;Data Processing Services</v>
      </c>
      <c r="Z814" s="6" t="str">
        <v>Other Computer Related Svcs;Data Processing Services;Other Software (inq. Games);Computer Consulting Services</v>
      </c>
      <c r="AA814" s="6" t="str">
        <v>Applications Software(Business;Computer Consulting Services;Operating Systems;Internet Services &amp; Software;Monitors/Terminals;Other Peripherals</v>
      </c>
      <c r="AB814" s="6" t="str">
        <v>Internet Services &amp; Software;Operating Systems;Computer Consulting Services;Applications Software(Business;Monitors/Terminals;Other Peripherals</v>
      </c>
      <c r="AH814" s="6" t="str">
        <v>True</v>
      </c>
      <c r="AI814" s="6" t="str">
        <v>2015</v>
      </c>
      <c r="AJ814" s="6" t="str">
        <v>Completed</v>
      </c>
      <c r="AM814" s="6" t="str">
        <v>Not Applicable</v>
      </c>
      <c r="AO814" s="6" t="str">
        <v>US - Microsoft Corp acquired Revolution Analytics Inc, a Mountain View-based provider of advanced statistical analysis services.</v>
      </c>
    </row>
    <row r="815">
      <c r="A815" s="6" t="str">
        <v>00507V</v>
      </c>
      <c r="B815" s="6" t="str">
        <v>United States</v>
      </c>
      <c r="C815" s="6" t="str">
        <v>Activision Blizzard Inc</v>
      </c>
      <c r="D815" s="6" t="str">
        <v>Activision Blizzard Inc</v>
      </c>
      <c r="F815" s="6" t="str">
        <v>United States</v>
      </c>
      <c r="G815" s="6" t="str">
        <v>Activision Blizzard Inc</v>
      </c>
      <c r="H815" s="6" t="str">
        <v>Prepackaged Software</v>
      </c>
      <c r="I815" s="6" t="str">
        <v>00507V</v>
      </c>
      <c r="J815" s="6" t="str">
        <v>Activision Blizzard Inc</v>
      </c>
      <c r="K815" s="6" t="str">
        <v>Activision Blizzard Inc</v>
      </c>
      <c r="L815" s="7">
        <f>=DATE(2015,2,5)</f>
        <v>42039.99949074074</v>
      </c>
      <c r="N815" s="8">
        <v>750</v>
      </c>
      <c r="O815" s="8">
        <v>750</v>
      </c>
      <c r="R815" s="8">
        <v>835</v>
      </c>
      <c r="S815" s="8">
        <v>4408</v>
      </c>
      <c r="T815" s="8">
        <v>-374</v>
      </c>
      <c r="U815" s="8">
        <v>-84</v>
      </c>
      <c r="V815" s="8">
        <v>1292</v>
      </c>
      <c r="W815" s="6" t="str">
        <v>Operating Systems;Other Computer Systems;Other Software (inq. Games)</v>
      </c>
      <c r="X815" s="6" t="str">
        <v>Other Computer Systems;Operating Systems;Other Software (inq. Games)</v>
      </c>
      <c r="Y815" s="6" t="str">
        <v>Operating Systems;Other Computer Systems;Other Software (inq. Games)</v>
      </c>
      <c r="Z815" s="6" t="str">
        <v>Other Computer Systems;Other Software (inq. Games);Operating Systems</v>
      </c>
      <c r="AA815" s="6" t="str">
        <v>Other Computer Systems;Other Software (inq. Games);Operating Systems</v>
      </c>
      <c r="AB815" s="6" t="str">
        <v>Other Computer Systems;Operating Systems;Other Software (inq. Games)</v>
      </c>
      <c r="AC815" s="8">
        <v>750</v>
      </c>
      <c r="AD815" s="7">
        <f>=DATE(2015,2,5)</f>
        <v>42039.99949074074</v>
      </c>
      <c r="AH815" s="6" t="str">
        <v>True</v>
      </c>
      <c r="AJ815" s="6" t="str">
        <v>Pending</v>
      </c>
      <c r="AM815" s="6" t="str">
        <v>Privately Negotiated Purchase;Repurchase</v>
      </c>
      <c r="AN815" s="8">
        <v>7586</v>
      </c>
      <c r="AO815" s="6" t="str">
        <v>US - On 5 February 2015, the board of Activision Blizzard Inc, a Santa Monic-based develops and wholesales interactive entertainment software, authorized the repurchase of up to USD 750 mil of the company's entire share capital, in a privately negotiated transactions.</v>
      </c>
    </row>
    <row r="816">
      <c r="A816" s="6" t="str">
        <v>38259P</v>
      </c>
      <c r="B816" s="6" t="str">
        <v>United States</v>
      </c>
      <c r="C816" s="6" t="str">
        <v>Google Inc</v>
      </c>
      <c r="D816" s="6" t="str">
        <v>Alphabet Inc</v>
      </c>
      <c r="F816" s="6" t="str">
        <v>United States</v>
      </c>
      <c r="G816" s="6" t="str">
        <v>Launchpad Toys Inc</v>
      </c>
      <c r="H816" s="6" t="str">
        <v>Prepackaged Software</v>
      </c>
      <c r="I816" s="6" t="str">
        <v>5C9466</v>
      </c>
      <c r="J816" s="6" t="str">
        <v>Launchpad Toys Inc</v>
      </c>
      <c r="K816" s="6" t="str">
        <v>Launchpad Toys Inc</v>
      </c>
      <c r="L816" s="7">
        <f>=DATE(2015,2,5)</f>
        <v>42039.99949074074</v>
      </c>
      <c r="M816" s="7">
        <f>=DATE(2015,2,5)</f>
        <v>42039.99949074074</v>
      </c>
      <c r="W816" s="6" t="str">
        <v>Programming Services;Internet Services &amp; Software</v>
      </c>
      <c r="X816" s="6" t="str">
        <v>Communication/Network Software;Applications Software(Home);Applications Software(Business</v>
      </c>
      <c r="Y816" s="6" t="str">
        <v>Communication/Network Software;Applications Software(Business;Applications Software(Home)</v>
      </c>
      <c r="Z816" s="6" t="str">
        <v>Applications Software(Home);Communication/Network Software;Applications Software(Business</v>
      </c>
      <c r="AA816" s="6" t="str">
        <v>Telecommunications Equipment;Computer Consulting Services;Programming Services;Primary Business not Hi-Tech;Internet Services &amp; Software</v>
      </c>
      <c r="AB816" s="6" t="str">
        <v>Computer Consulting Services;Telecommunications Equipment;Internet Services &amp; Software;Primary Business not Hi-Tech;Programming Services</v>
      </c>
      <c r="AH816" s="6" t="str">
        <v>False</v>
      </c>
      <c r="AI816" s="6" t="str">
        <v>2015</v>
      </c>
      <c r="AJ816" s="6" t="str">
        <v>Completed</v>
      </c>
      <c r="AM816" s="6" t="str">
        <v>Financial Acquiror</v>
      </c>
      <c r="AO816" s="6" t="str">
        <v>US - Google Inc acquired Launchpad Toys Inc, a San Francisco-based developer of digital toys and tools.</v>
      </c>
    </row>
    <row r="817">
      <c r="A817" s="6" t="str">
        <v>594918</v>
      </c>
      <c r="B817" s="6" t="str">
        <v>United States</v>
      </c>
      <c r="C817" s="6" t="str">
        <v>Microsoft Corp</v>
      </c>
      <c r="D817" s="6" t="str">
        <v>Microsoft Corp</v>
      </c>
      <c r="F817" s="6" t="str">
        <v>United States</v>
      </c>
      <c r="G817" s="6" t="str">
        <v>Sunrise Atelier Inc</v>
      </c>
      <c r="H817" s="6" t="str">
        <v>Prepackaged Software</v>
      </c>
      <c r="I817" s="6" t="str">
        <v>5C9143</v>
      </c>
      <c r="J817" s="6" t="str">
        <v>Sunrise Atelier Inc</v>
      </c>
      <c r="K817" s="6" t="str">
        <v>Sunrise Atelier Inc</v>
      </c>
      <c r="L817" s="7">
        <f>=DATE(2015,2,11)</f>
        <v>42045.99949074074</v>
      </c>
      <c r="M817" s="7">
        <f>=DATE(2015,2,11)</f>
        <v>42045.99949074074</v>
      </c>
      <c r="W817" s="6" t="str">
        <v>Operating Systems;Monitors/Terminals;Computer Consulting Services;Internet Services &amp; Software;Applications Software(Business;Other Peripherals</v>
      </c>
      <c r="X817" s="6" t="str">
        <v>Other Software (inq. Games)</v>
      </c>
      <c r="Y817" s="6" t="str">
        <v>Other Software (inq. Games)</v>
      </c>
      <c r="Z817" s="6" t="str">
        <v>Other Software (inq. Games)</v>
      </c>
      <c r="AA817" s="6" t="str">
        <v>Internet Services &amp; Software;Applications Software(Business;Computer Consulting Services;Monitors/Terminals;Operating Systems;Other Peripherals</v>
      </c>
      <c r="AB817" s="6" t="str">
        <v>Computer Consulting Services;Other Peripherals;Operating Systems;Applications Software(Business;Internet Services &amp; Software;Monitors/Terminals</v>
      </c>
      <c r="AH817" s="6" t="str">
        <v>True</v>
      </c>
      <c r="AI817" s="6" t="str">
        <v>2015</v>
      </c>
      <c r="AJ817" s="6" t="str">
        <v>Completed</v>
      </c>
      <c r="AM817" s="6" t="str">
        <v>Rumored Deal</v>
      </c>
      <c r="AO817" s="6" t="str">
        <v>US - Microsoft Corp (Microsoft) acquired Sunrise Atelier Inc (Sunrise), a New York-based developer of calendar software. Originally, Microsoft was rumored to be planning to acquire Sunrise. Terms were not disclosed, but according to sources familiar with the transaction, the deal is valued at USD 100 mil.</v>
      </c>
    </row>
    <row r="818">
      <c r="A818" s="6" t="str">
        <v>037833</v>
      </c>
      <c r="B818" s="6" t="str">
        <v>United States</v>
      </c>
      <c r="C818" s="6" t="str">
        <v>Apple Inc</v>
      </c>
      <c r="D818" s="6" t="str">
        <v>Apple Inc</v>
      </c>
      <c r="F818" s="6" t="str">
        <v>United Kingdom</v>
      </c>
      <c r="G818" s="6" t="str">
        <v>Camel Audio Ltd</v>
      </c>
      <c r="H818" s="6" t="str">
        <v>Prepackaged Software</v>
      </c>
      <c r="I818" s="6" t="str">
        <v>0L1534</v>
      </c>
      <c r="J818" s="6" t="str">
        <v>Camel Audio Ltd</v>
      </c>
      <c r="K818" s="6" t="str">
        <v>Camel Audio Ltd</v>
      </c>
      <c r="L818" s="7">
        <f>=DATE(2015,2,23)</f>
        <v>42057.99949074074</v>
      </c>
      <c r="M818" s="7">
        <f>=DATE(2015,2,23)</f>
        <v>42057.99949074074</v>
      </c>
      <c r="W818" s="6" t="str">
        <v>Portable Computers;Disk Drives;Monitors/Terminals;Other Peripherals;Micro-Computers (PCs);Printers;Other Software (inq. Games);Mainframes &amp; Super Computers</v>
      </c>
      <c r="X818" s="6" t="str">
        <v>Internet Services &amp; Software;Communication/Network Software;Desktop Publishing;Other Software (inq. Games);Applications Software(Home);Utilities/File Mgmt Software;Applications Software(Business</v>
      </c>
      <c r="Y818" s="6" t="str">
        <v>Desktop Publishing;Other Software (inq. Games);Applications Software(Home);Applications Software(Business;Communication/Network Software;Utilities/File Mgmt Software;Internet Services &amp; Software</v>
      </c>
      <c r="Z818" s="6" t="str">
        <v>Utilities/File Mgmt Software;Desktop Publishing;Applications Software(Business;Internet Services &amp; Software;Other Software (inq. Games);Communication/Network Software;Applications Software(Home)</v>
      </c>
      <c r="AA818" s="6" t="str">
        <v>Portable Computers;Mainframes &amp; Super Computers;Other Software (inq. Games);Other Peripherals;Micro-Computers (PCs);Disk Drives;Printers;Monitors/Terminals</v>
      </c>
      <c r="AB818" s="6" t="str">
        <v>Micro-Computers (PCs);Printers;Monitors/Terminals;Portable Computers;Other Peripherals;Disk Drives;Other Software (inq. Games);Mainframes &amp; Super Computers</v>
      </c>
      <c r="AH818" s="6" t="str">
        <v>True</v>
      </c>
      <c r="AI818" s="6" t="str">
        <v>2015</v>
      </c>
      <c r="AJ818" s="6" t="str">
        <v>Completed</v>
      </c>
      <c r="AM818" s="6" t="str">
        <v>Not Applicable</v>
      </c>
      <c r="AO818" s="6" t="str">
        <v>UK - Apple Inc of the US acquired Camel Audio Ltd, software publisher.</v>
      </c>
    </row>
    <row r="819">
      <c r="A819" s="6" t="str">
        <v>38259P</v>
      </c>
      <c r="B819" s="6" t="str">
        <v>United States</v>
      </c>
      <c r="C819" s="6" t="str">
        <v>Google Inc</v>
      </c>
      <c r="D819" s="6" t="str">
        <v>Alphabet Inc</v>
      </c>
      <c r="F819" s="6" t="str">
        <v>United States</v>
      </c>
      <c r="G819" s="6" t="str">
        <v>Athena Wireless Communications Inc</v>
      </c>
      <c r="H819" s="6" t="str">
        <v>Telecommunications</v>
      </c>
      <c r="I819" s="6" t="str">
        <v>6C8655</v>
      </c>
      <c r="J819" s="6" t="str">
        <v>Athena Wireless Communications Inc</v>
      </c>
      <c r="K819" s="6" t="str">
        <v>Athena Wireless Communications Inc</v>
      </c>
      <c r="L819" s="7">
        <f>=DATE(2015,2,23)</f>
        <v>42057.99949074074</v>
      </c>
      <c r="M819" s="7">
        <f>=DATE(2015,2,23)</f>
        <v>42057.99949074074</v>
      </c>
      <c r="W819" s="6" t="str">
        <v>Internet Services &amp; Software;Programming Services</v>
      </c>
      <c r="X819" s="6" t="str">
        <v>Cellular Communications;Satellite Communications</v>
      </c>
      <c r="Y819" s="6" t="str">
        <v>Satellite Communications;Cellular Communications</v>
      </c>
      <c r="Z819" s="6" t="str">
        <v>Satellite Communications;Cellular Communications</v>
      </c>
      <c r="AA819" s="6" t="str">
        <v>Internet Services &amp; Software;Computer Consulting Services;Primary Business not Hi-Tech;Programming Services;Telecommunications Equipment</v>
      </c>
      <c r="AB819" s="6" t="str">
        <v>Primary Business not Hi-Tech;Programming Services;Internet Services &amp; Software;Computer Consulting Services;Telecommunications Equipment</v>
      </c>
      <c r="AH819" s="6" t="str">
        <v>False</v>
      </c>
      <c r="AI819" s="6" t="str">
        <v>2015</v>
      </c>
      <c r="AJ819" s="6" t="str">
        <v>Completed</v>
      </c>
      <c r="AM819" s="6" t="str">
        <v>Financial Acquiror</v>
      </c>
      <c r="AO819" s="6" t="str">
        <v>US - Google Inc acquired Athena Wireless Communications Inc, a Surprise-based provider of high-speed digital data communication solutions.</v>
      </c>
    </row>
    <row r="820">
      <c r="A820" s="6" t="str">
        <v>38259P</v>
      </c>
      <c r="B820" s="6" t="str">
        <v>United States</v>
      </c>
      <c r="C820" s="6" t="str">
        <v>Google Inc</v>
      </c>
      <c r="D820" s="6" t="str">
        <v>Alphabet Inc</v>
      </c>
      <c r="F820" s="6" t="str">
        <v>United States</v>
      </c>
      <c r="G820" s="6" t="str">
        <v>Red Hot Labs Inc</v>
      </c>
      <c r="H820" s="6" t="str">
        <v>Prepackaged Software</v>
      </c>
      <c r="I820" s="6" t="str">
        <v>6C2417</v>
      </c>
      <c r="J820" s="6" t="str">
        <v>Red Hot Labs Inc</v>
      </c>
      <c r="K820" s="6" t="str">
        <v>Red Hot Labs Inc</v>
      </c>
      <c r="L820" s="7">
        <f>=DATE(2015,2,24)</f>
        <v>42058.99949074074</v>
      </c>
      <c r="M820" s="7">
        <f>=DATE(2015,2,24)</f>
        <v>42058.99949074074</v>
      </c>
      <c r="W820" s="6" t="str">
        <v>Internet Services &amp; Software;Programming Services</v>
      </c>
      <c r="X820" s="6" t="str">
        <v>Other Software (inq. Games)</v>
      </c>
      <c r="Y820" s="6" t="str">
        <v>Other Software (inq. Games)</v>
      </c>
      <c r="Z820" s="6" t="str">
        <v>Other Software (inq. Games)</v>
      </c>
      <c r="AA820" s="6" t="str">
        <v>Computer Consulting Services;Programming Services;Telecommunications Equipment;Primary Business not Hi-Tech;Internet Services &amp; Software</v>
      </c>
      <c r="AB820" s="6" t="str">
        <v>Primary Business not Hi-Tech;Computer Consulting Services;Internet Services &amp; Software;Telecommunications Equipment;Programming Services</v>
      </c>
      <c r="AH820" s="6" t="str">
        <v>False</v>
      </c>
      <c r="AI820" s="6" t="str">
        <v>2015</v>
      </c>
      <c r="AJ820" s="6" t="str">
        <v>Completed</v>
      </c>
      <c r="AM820" s="6" t="str">
        <v>Financial Acquiror</v>
      </c>
      <c r="AO820" s="6" t="str">
        <v>US - Google Inc acquired Red Hot Labs Inc, a San Francisco-based developer of mobile marketing software.</v>
      </c>
    </row>
    <row r="821">
      <c r="A821" s="6" t="str">
        <v>38259P</v>
      </c>
      <c r="B821" s="6" t="str">
        <v>United States</v>
      </c>
      <c r="C821" s="6" t="str">
        <v>Google Inc</v>
      </c>
      <c r="D821" s="6" t="str">
        <v>Alphabet Inc</v>
      </c>
      <c r="F821" s="6" t="str">
        <v>United States</v>
      </c>
      <c r="G821" s="6" t="str">
        <v>AliphCom Inc</v>
      </c>
      <c r="H821" s="6" t="str">
        <v>Electronic and Electrical Equipment</v>
      </c>
      <c r="I821" s="6" t="str">
        <v>2A1028</v>
      </c>
      <c r="J821" s="6" t="str">
        <v>AliphCom Inc</v>
      </c>
      <c r="K821" s="6" t="str">
        <v>AliphCom Inc</v>
      </c>
      <c r="L821" s="7">
        <f>=DATE(2015,2,26)</f>
        <v>42060.99949074074</v>
      </c>
      <c r="S821" s="8">
        <v>25.1</v>
      </c>
      <c r="W821" s="6" t="str">
        <v>Programming Services;Internet Services &amp; Software</v>
      </c>
      <c r="X821" s="6" t="str">
        <v>Other Software (inq. Games);Medical Monitoring Systems;Primary Business not Hi-Tech</v>
      </c>
      <c r="Y821" s="6" t="str">
        <v>Other Software (inq. Games);Medical Monitoring Systems;Primary Business not Hi-Tech</v>
      </c>
      <c r="Z821" s="6" t="str">
        <v>Other Software (inq. Games);Primary Business not Hi-Tech;Medical Monitoring Systems</v>
      </c>
      <c r="AA821" s="6" t="str">
        <v>Telecommunications Equipment;Internet Services &amp; Software;Primary Business not Hi-Tech;Programming Services;Computer Consulting Services</v>
      </c>
      <c r="AB821" s="6" t="str">
        <v>Programming Services;Computer Consulting Services;Telecommunications Equipment;Internet Services &amp; Software;Primary Business not Hi-Tech</v>
      </c>
      <c r="AH821" s="6" t="str">
        <v>True</v>
      </c>
      <c r="AJ821" s="6" t="str">
        <v>Dismissed Rumor</v>
      </c>
      <c r="AM821" s="6" t="str">
        <v>Rumored Deal;Privately Negotiated Purchase;Financial Acquiror</v>
      </c>
      <c r="AO821" s="6" t="str">
        <v>US - Google Inc was rumored to be planning to acquire an undisclosed minority stake in AliphCom Inc, a San Francisco-based manufacturer wearable equipment and audio devices, in a privately negotiated transaction. The Current status of this deal is unknown.</v>
      </c>
    </row>
    <row r="822">
      <c r="A822" s="6" t="str">
        <v>594918</v>
      </c>
      <c r="B822" s="6" t="str">
        <v>United States</v>
      </c>
      <c r="C822" s="6" t="str">
        <v>Microsoft Corp</v>
      </c>
      <c r="D822" s="6" t="str">
        <v>Microsoft Corp</v>
      </c>
      <c r="F822" s="6" t="str">
        <v>United States</v>
      </c>
      <c r="G822" s="6" t="str">
        <v>Woven Inc</v>
      </c>
      <c r="H822" s="6" t="str">
        <v>Prepackaged Software</v>
      </c>
      <c r="I822" s="6" t="str">
        <v>6C3693</v>
      </c>
      <c r="J822" s="6" t="str">
        <v>Woven Inc</v>
      </c>
      <c r="K822" s="6" t="str">
        <v>Woven Inc</v>
      </c>
      <c r="L822" s="7">
        <f>=DATE(2015,3,2)</f>
        <v>42064.99949074074</v>
      </c>
      <c r="W822" s="6" t="str">
        <v>Applications Software(Business;Computer Consulting Services;Internet Services &amp; Software;Operating Systems;Monitors/Terminals;Other Peripherals</v>
      </c>
      <c r="X822" s="6" t="str">
        <v>Applications Software(Business;Applications Software(Home);Communication/Network Software</v>
      </c>
      <c r="Y822" s="6" t="str">
        <v>Communication/Network Software;Applications Software(Home);Applications Software(Business</v>
      </c>
      <c r="Z822" s="6" t="str">
        <v>Applications Software(Business;Applications Software(Home);Communication/Network Software</v>
      </c>
      <c r="AA822" s="6" t="str">
        <v>Computer Consulting Services;Operating Systems;Other Peripherals;Monitors/Terminals;Applications Software(Business;Internet Services &amp; Software</v>
      </c>
      <c r="AB822" s="6" t="str">
        <v>Other Peripherals;Applications Software(Business;Computer Consulting Services;Monitors/Terminals;Internet Services &amp; Software;Operating Systems</v>
      </c>
      <c r="AD822" s="7">
        <f>=DATE(2015,3,2)</f>
        <v>42064.99949074074</v>
      </c>
      <c r="AH822" s="6" t="str">
        <v>True</v>
      </c>
      <c r="AJ822" s="6" t="str">
        <v>Dismissed Rumor</v>
      </c>
      <c r="AM822" s="6" t="str">
        <v>Rumored Deal</v>
      </c>
      <c r="AO822" s="6" t="str">
        <v>US - Microsoft Corp was rumored to be planning to acquire Woven Inc, a San Francisco-based developer of mobile application software. The terms of the transaction were not disclosed, but according to sources close to the transaction, the value was estimated at USD 30 mil. The Current status of this deal is unknown.</v>
      </c>
    </row>
    <row r="823">
      <c r="A823" s="6" t="str">
        <v>38259P</v>
      </c>
      <c r="B823" s="6" t="str">
        <v>United States</v>
      </c>
      <c r="C823" s="6" t="str">
        <v>Google Inc</v>
      </c>
      <c r="D823" s="6" t="str">
        <v>Alphabet Inc</v>
      </c>
      <c r="F823" s="6" t="str">
        <v>India</v>
      </c>
      <c r="G823" s="6" t="str">
        <v>Inmobi Pte Ltd</v>
      </c>
      <c r="H823" s="6" t="str">
        <v>Advertising Services</v>
      </c>
      <c r="I823" s="6" t="str">
        <v>44235W</v>
      </c>
      <c r="J823" s="6" t="str">
        <v>Inmobi Pte Ltd</v>
      </c>
      <c r="K823" s="6" t="str">
        <v>Inmobi Pte Ltd</v>
      </c>
      <c r="L823" s="7">
        <f>=DATE(2015,3,11)</f>
        <v>42073.99949074074</v>
      </c>
      <c r="W823" s="6" t="str">
        <v>Programming Services;Internet Services &amp; Software</v>
      </c>
      <c r="X823" s="6" t="str">
        <v>Networking Systems (LAN,WAN);Primary Business not Hi-Tech</v>
      </c>
      <c r="Y823" s="6" t="str">
        <v>Primary Business not Hi-Tech;Networking Systems (LAN,WAN)</v>
      </c>
      <c r="Z823" s="6" t="str">
        <v>Networking Systems (LAN,WAN);Primary Business not Hi-Tech</v>
      </c>
      <c r="AA823" s="6" t="str">
        <v>Computer Consulting Services;Programming Services;Internet Services &amp; Software;Primary Business not Hi-Tech;Telecommunications Equipment</v>
      </c>
      <c r="AB823" s="6" t="str">
        <v>Primary Business not Hi-Tech;Internet Services &amp; Software;Telecommunications Equipment;Programming Services;Computer Consulting Services</v>
      </c>
      <c r="AH823" s="6" t="str">
        <v>False</v>
      </c>
      <c r="AJ823" s="6" t="str">
        <v>Dismissed Rumor</v>
      </c>
      <c r="AM823" s="6" t="str">
        <v>Financial Acquiror;Rumored Deal</v>
      </c>
      <c r="AO823" s="6" t="str">
        <v>INDIA - Google Inc of the US was rumored to be planning to acquire InMobi Pte Ltd, a Bangalore-based provider of advertising related services. The Current status of this deal is unknown.</v>
      </c>
    </row>
    <row r="824">
      <c r="A824" s="6" t="str">
        <v>023135</v>
      </c>
      <c r="B824" s="6" t="str">
        <v>United States</v>
      </c>
      <c r="C824" s="6" t="str">
        <v>Amazon.com Inc</v>
      </c>
      <c r="D824" s="6" t="str">
        <v>Amazon.com Inc</v>
      </c>
      <c r="F824" s="6" t="str">
        <v>United States</v>
      </c>
      <c r="G824" s="6" t="str">
        <v>2lemetry Inc</v>
      </c>
      <c r="H824" s="6" t="str">
        <v>Business Services</v>
      </c>
      <c r="I824" s="6" t="str">
        <v>6C5610</v>
      </c>
      <c r="J824" s="6" t="str">
        <v>2lemetry Inc</v>
      </c>
      <c r="K824" s="6" t="str">
        <v>2lemetry Inc</v>
      </c>
      <c r="L824" s="7">
        <f>=DATE(2015,3,12)</f>
        <v>42074.99949074074</v>
      </c>
      <c r="M824" s="7">
        <f>=DATE(2015,3,12)</f>
        <v>42074.99949074074</v>
      </c>
      <c r="W824" s="6" t="str">
        <v>Primary Business not Hi-Tech</v>
      </c>
      <c r="X824" s="6" t="str">
        <v>Applications Software(Business;Data Processing Services;Other Computer Related Svcs</v>
      </c>
      <c r="Y824" s="6" t="str">
        <v>Data Processing Services;Applications Software(Business;Other Computer Related Svcs</v>
      </c>
      <c r="Z824" s="6" t="str">
        <v>Data Processing Services;Other Computer Related Svcs;Applications Software(Business</v>
      </c>
      <c r="AA824" s="6" t="str">
        <v>Primary Business not Hi-Tech</v>
      </c>
      <c r="AB824" s="6" t="str">
        <v>Primary Business not Hi-Tech</v>
      </c>
      <c r="AH824" s="6" t="str">
        <v>False</v>
      </c>
      <c r="AI824" s="6" t="str">
        <v>2015</v>
      </c>
      <c r="AJ824" s="6" t="str">
        <v>Completed</v>
      </c>
      <c r="AM824" s="6" t="str">
        <v>Not Applicable</v>
      </c>
      <c r="AO824" s="6" t="str">
        <v>US - Amazon.com Inc acquired 2lemetry Inc, a Denver-based provider of computer related services. Terms were not disclosed.</v>
      </c>
    </row>
    <row r="825">
      <c r="A825" s="6" t="str">
        <v>30303M</v>
      </c>
      <c r="B825" s="6" t="str">
        <v>United States</v>
      </c>
      <c r="C825" s="6" t="str">
        <v>Facebook Inc</v>
      </c>
      <c r="D825" s="6" t="str">
        <v>Facebook Inc</v>
      </c>
      <c r="F825" s="6" t="str">
        <v>United States</v>
      </c>
      <c r="G825" s="6" t="str">
        <v>TheFind Inc</v>
      </c>
      <c r="H825" s="6" t="str">
        <v>Miscellaneous Retail Trade</v>
      </c>
      <c r="I825" s="6" t="str">
        <v>31708V</v>
      </c>
      <c r="J825" s="6" t="str">
        <v>TheFind Inc</v>
      </c>
      <c r="K825" s="6" t="str">
        <v>TheFind Inc</v>
      </c>
      <c r="L825" s="7">
        <f>=DATE(2015,3,13)</f>
        <v>42075.99949074074</v>
      </c>
      <c r="M825" s="7">
        <f>=DATE(2015,3,13)</f>
        <v>42075.99949074074</v>
      </c>
      <c r="W825" s="6" t="str">
        <v>Internet Services &amp; Software</v>
      </c>
      <c r="X825" s="6" t="str">
        <v>Internet Services &amp; Software</v>
      </c>
      <c r="Y825" s="6" t="str">
        <v>Internet Services &amp; Software</v>
      </c>
      <c r="Z825" s="6" t="str">
        <v>Internet Services &amp; Software</v>
      </c>
      <c r="AA825" s="6" t="str">
        <v>Internet Services &amp; Software</v>
      </c>
      <c r="AB825" s="6" t="str">
        <v>Internet Services &amp; Software</v>
      </c>
      <c r="AH825" s="6" t="str">
        <v>True</v>
      </c>
      <c r="AI825" s="6" t="str">
        <v>2015</v>
      </c>
      <c r="AJ825" s="6" t="str">
        <v>Completed</v>
      </c>
      <c r="AM825" s="6" t="str">
        <v>Financial Acquiror</v>
      </c>
      <c r="AO825" s="6" t="str">
        <v>US - Facebook Inc acquired TheFind Inc, a Mountain View-based provider of ecommerce retail services. Terms of the transaction were not disclosed.</v>
      </c>
    </row>
    <row r="826">
      <c r="A826" s="6" t="str">
        <v>53578A</v>
      </c>
      <c r="B826" s="6" t="str">
        <v>United States</v>
      </c>
      <c r="C826" s="6" t="str">
        <v>LinkedIn Corp</v>
      </c>
      <c r="D826" s="6" t="str">
        <v>LinkedIn Corp</v>
      </c>
      <c r="F826" s="6" t="str">
        <v>Canada</v>
      </c>
      <c r="G826" s="6" t="str">
        <v>Careerify Corp</v>
      </c>
      <c r="H826" s="6" t="str">
        <v>Prepackaged Software</v>
      </c>
      <c r="I826" s="6" t="str">
        <v>6C5952</v>
      </c>
      <c r="J826" s="6" t="str">
        <v>Careerify Corp</v>
      </c>
      <c r="K826" s="6" t="str">
        <v>Careerify Corp</v>
      </c>
      <c r="L826" s="7">
        <f>=DATE(2015,3,16)</f>
        <v>42078.99949074074</v>
      </c>
      <c r="M826" s="7">
        <f>=DATE(2015,3,16)</f>
        <v>42078.99949074074</v>
      </c>
      <c r="S826" s="8">
        <v>0.860733344809778</v>
      </c>
      <c r="W826" s="6" t="str">
        <v>Internet Services &amp; Software</v>
      </c>
      <c r="X826" s="6" t="str">
        <v>Other Software (inq. Games)</v>
      </c>
      <c r="Y826" s="6" t="str">
        <v>Other Software (inq. Games)</v>
      </c>
      <c r="Z826" s="6" t="str">
        <v>Other Software (inq. Games)</v>
      </c>
      <c r="AA826" s="6" t="str">
        <v>Internet Services &amp; Software</v>
      </c>
      <c r="AB826" s="6" t="str">
        <v>Internet Services &amp; Software</v>
      </c>
      <c r="AH826" s="6" t="str">
        <v>True</v>
      </c>
      <c r="AI826" s="6" t="str">
        <v>2015</v>
      </c>
      <c r="AJ826" s="6" t="str">
        <v>Completed</v>
      </c>
      <c r="AM826" s="6" t="str">
        <v>Financial Acquiror</v>
      </c>
      <c r="AO826" s="6" t="str">
        <v>CANADA - LinkedIn Corp acquired Careerify Corp, a Toronto-based developer of data recruitment services.</v>
      </c>
    </row>
    <row r="827">
      <c r="A827" s="6" t="str">
        <v>037833</v>
      </c>
      <c r="B827" s="6" t="str">
        <v>United States</v>
      </c>
      <c r="C827" s="6" t="str">
        <v>Apple Inc</v>
      </c>
      <c r="D827" s="6" t="str">
        <v>Apple Inc</v>
      </c>
      <c r="F827" s="6" t="str">
        <v>United States</v>
      </c>
      <c r="G827" s="6" t="str">
        <v>FoundationDB Inc</v>
      </c>
      <c r="H827" s="6" t="str">
        <v>Business Services</v>
      </c>
      <c r="I827" s="6" t="str">
        <v>5A2520</v>
      </c>
      <c r="J827" s="6" t="str">
        <v>FoundationDB Inc</v>
      </c>
      <c r="K827" s="6" t="str">
        <v>FoundationDB Inc</v>
      </c>
      <c r="L827" s="7">
        <f>=DATE(2015,3,25)</f>
        <v>42087.99949074074</v>
      </c>
      <c r="S827" s="8">
        <v>1.8</v>
      </c>
      <c r="W827" s="6" t="str">
        <v>Other Software (inq. Games);Micro-Computers (PCs);Portable Computers;Disk Drives;Other Peripherals;Mainframes &amp; Super Computers;Monitors/Terminals;Printers</v>
      </c>
      <c r="X827" s="6" t="str">
        <v>Data Processing Services;Other Computer Related Svcs</v>
      </c>
      <c r="Y827" s="6" t="str">
        <v>Data Processing Services;Other Computer Related Svcs</v>
      </c>
      <c r="Z827" s="6" t="str">
        <v>Data Processing Services;Other Computer Related Svcs</v>
      </c>
      <c r="AA827" s="6" t="str">
        <v>Printers;Micro-Computers (PCs);Other Peripherals;Portable Computers;Monitors/Terminals;Other Software (inq. Games);Mainframes &amp; Super Computers;Disk Drives</v>
      </c>
      <c r="AB827" s="6" t="str">
        <v>Disk Drives;Micro-Computers (PCs);Mainframes &amp; Super Computers;Monitors/Terminals;Other Peripherals;Printers;Portable Computers;Other Software (inq. Games)</v>
      </c>
      <c r="AH827" s="6" t="str">
        <v>True</v>
      </c>
      <c r="AJ827" s="6" t="str">
        <v>Pending</v>
      </c>
      <c r="AM827" s="6" t="str">
        <v>Rumored Deal</v>
      </c>
      <c r="AO827" s="6" t="str">
        <v>US - Apple Inc (Apple) agreed to acquire FoundationDB Inc (FoundationDB), a Vienna-based provider of data processing and hosting services. Originally, in March 2014, Apple was rumored to be planning to acquire FoundationDB.</v>
      </c>
    </row>
    <row r="828">
      <c r="A828" s="6" t="str">
        <v>037833</v>
      </c>
      <c r="B828" s="6" t="str">
        <v>United States</v>
      </c>
      <c r="C828" s="6" t="str">
        <v>Apple Inc</v>
      </c>
      <c r="D828" s="6" t="str">
        <v>Apple Inc</v>
      </c>
      <c r="F828" s="6" t="str">
        <v>United Kingdom</v>
      </c>
      <c r="G828" s="6" t="str">
        <v>Acunu Ltd</v>
      </c>
      <c r="H828" s="6" t="str">
        <v>Prepackaged Software</v>
      </c>
      <c r="I828" s="6" t="str">
        <v>0L1913</v>
      </c>
      <c r="J828" s="6" t="str">
        <v>Acunu Ltd</v>
      </c>
      <c r="K828" s="6" t="str">
        <v>Acunu Ltd</v>
      </c>
      <c r="L828" s="7">
        <f>=DATE(2015,3,26)</f>
        <v>42088.99949074074</v>
      </c>
      <c r="M828" s="7">
        <f>=DATE(2015,3,26)</f>
        <v>42088.99949074074</v>
      </c>
      <c r="W828" s="6" t="str">
        <v>Mainframes &amp; Super Computers;Other Peripherals;Monitors/Terminals;Portable Computers;Printers;Micro-Computers (PCs);Other Software (inq. Games);Disk Drives</v>
      </c>
      <c r="X828" s="6" t="str">
        <v>Applications Software(Business</v>
      </c>
      <c r="Y828" s="6" t="str">
        <v>Applications Software(Business</v>
      </c>
      <c r="Z828" s="6" t="str">
        <v>Applications Software(Business</v>
      </c>
      <c r="AA828" s="6" t="str">
        <v>Disk Drives;Mainframes &amp; Super Computers;Portable Computers;Micro-Computers (PCs);Monitors/Terminals;Other Software (inq. Games);Other Peripherals;Printers</v>
      </c>
      <c r="AB828" s="6" t="str">
        <v>Other Peripherals;Portable Computers;Monitors/Terminals;Micro-Computers (PCs);Other Software (inq. Games);Printers;Mainframes &amp; Super Computers;Disk Drives</v>
      </c>
      <c r="AH828" s="6" t="str">
        <v>True</v>
      </c>
      <c r="AI828" s="6" t="str">
        <v>2015</v>
      </c>
      <c r="AJ828" s="6" t="str">
        <v>Completed</v>
      </c>
      <c r="AM828" s="6" t="str">
        <v>Not Applicable</v>
      </c>
      <c r="AO828" s="6" t="str">
        <v>UK - Apple Inc of the US acquired Acunu Ltd, a London-based software publisher.</v>
      </c>
    </row>
    <row r="829">
      <c r="A829" s="6" t="str">
        <v>023135</v>
      </c>
      <c r="B829" s="6" t="str">
        <v>United States</v>
      </c>
      <c r="C829" s="6" t="str">
        <v>Amazon.com Inc</v>
      </c>
      <c r="D829" s="6" t="str">
        <v>Amazon.com Inc</v>
      </c>
      <c r="F829" s="6" t="str">
        <v>United Kingdom</v>
      </c>
      <c r="G829" s="6" t="str">
        <v>Net-A-Porter Group Ltd</v>
      </c>
      <c r="H829" s="6" t="str">
        <v>Business Services</v>
      </c>
      <c r="I829" s="6" t="str">
        <v>64250K</v>
      </c>
      <c r="J829" s="6" t="str">
        <v>Compagnie Financiere Richemont SA</v>
      </c>
      <c r="K829" s="6" t="str">
        <v>Compagnie Financiere Richemont SA</v>
      </c>
      <c r="L829" s="7">
        <f>=DATE(2015,3,26)</f>
        <v>42088.99949074074</v>
      </c>
      <c r="R829" s="8">
        <v>-21.5584502004625</v>
      </c>
      <c r="S829" s="8">
        <v>886.192211076176</v>
      </c>
      <c r="W829" s="6" t="str">
        <v>Primary Business not Hi-Tech</v>
      </c>
      <c r="X829" s="6" t="str">
        <v>Internet Services &amp; Software</v>
      </c>
      <c r="Y829" s="6" t="str">
        <v>Primary Business not Hi-Tech</v>
      </c>
      <c r="Z829" s="6" t="str">
        <v>Primary Business not Hi-Tech</v>
      </c>
      <c r="AA829" s="6" t="str">
        <v>Primary Business not Hi-Tech</v>
      </c>
      <c r="AB829" s="6" t="str">
        <v>Primary Business not Hi-Tech</v>
      </c>
      <c r="AH829" s="6" t="str">
        <v>True</v>
      </c>
      <c r="AJ829" s="6" t="str">
        <v>Dismissed Rumor</v>
      </c>
      <c r="AM829" s="6" t="str">
        <v>Divestiture;Rumored Deal</v>
      </c>
      <c r="AN829" s="8">
        <v>13.3286752840578</v>
      </c>
      <c r="AO829" s="6" t="str">
        <v>UK - Amazon.com Inc of the US was rumored to be planning to acquire Net-A-Porter Group Ltd, a London-based online retailer, from Compagnie Financiere Richemont SA. The Current status of this deal is unknown.</v>
      </c>
    </row>
    <row r="830">
      <c r="A830" s="6" t="str">
        <v>594918</v>
      </c>
      <c r="B830" s="6" t="str">
        <v>United States</v>
      </c>
      <c r="C830" s="6" t="str">
        <v>Microsoft Corp</v>
      </c>
      <c r="D830" s="6" t="str">
        <v>Microsoft Corp</v>
      </c>
      <c r="F830" s="6" t="str">
        <v>United States</v>
      </c>
      <c r="G830" s="6" t="str">
        <v>LiveLoop Inc</v>
      </c>
      <c r="H830" s="6" t="str">
        <v>Prepackaged Software</v>
      </c>
      <c r="I830" s="6" t="str">
        <v>6C9068</v>
      </c>
      <c r="J830" s="6" t="str">
        <v>LiveLoop Inc</v>
      </c>
      <c r="K830" s="6" t="str">
        <v>LiveLoop Inc</v>
      </c>
      <c r="L830" s="7">
        <f>=DATE(2015,3,28)</f>
        <v>42090.99949074074</v>
      </c>
      <c r="M830" s="7">
        <f>=DATE(2015,3,28)</f>
        <v>42090.99949074074</v>
      </c>
      <c r="W830" s="6" t="str">
        <v>Other Peripherals;Computer Consulting Services;Applications Software(Business;Operating Systems;Monitors/Terminals;Internet Services &amp; Software</v>
      </c>
      <c r="X830" s="6" t="str">
        <v>Applications Software(Home);Communication/Network Software;Applications Software(Business</v>
      </c>
      <c r="Y830" s="6" t="str">
        <v>Applications Software(Business;Applications Software(Home);Communication/Network Software</v>
      </c>
      <c r="Z830" s="6" t="str">
        <v>Applications Software(Business;Applications Software(Home);Communication/Network Software</v>
      </c>
      <c r="AA830" s="6" t="str">
        <v>Operating Systems;Computer Consulting Services;Monitors/Terminals;Applications Software(Business;Other Peripherals;Internet Services &amp; Software</v>
      </c>
      <c r="AB830" s="6" t="str">
        <v>Monitors/Terminals;Internet Services &amp; Software;Other Peripherals;Operating Systems;Applications Software(Business;Computer Consulting Services</v>
      </c>
      <c r="AH830" s="6" t="str">
        <v>True</v>
      </c>
      <c r="AI830" s="6" t="str">
        <v>2015</v>
      </c>
      <c r="AJ830" s="6" t="str">
        <v>Completed</v>
      </c>
      <c r="AM830" s="6" t="str">
        <v>Not Applicable</v>
      </c>
      <c r="AO830" s="6" t="str">
        <v>US - Microsoft Corp acquired LiveLoop Inc, a San Francisco-based developer of cloud-based document sharing software. Terms of the transaction were not disclosed.</v>
      </c>
    </row>
    <row r="831">
      <c r="A831" s="6" t="str">
        <v>67020Y</v>
      </c>
      <c r="B831" s="6" t="str">
        <v>United States</v>
      </c>
      <c r="C831" s="6" t="str">
        <v>Nuance Communications Inc</v>
      </c>
      <c r="D831" s="6" t="str">
        <v>Nuance Communications Inc</v>
      </c>
      <c r="F831" s="6" t="str">
        <v>Brazil</v>
      </c>
      <c r="G831" s="6" t="str">
        <v>Novitech Tecnologia e Servicos Ltda</v>
      </c>
      <c r="H831" s="6" t="str">
        <v>Business Services</v>
      </c>
      <c r="I831" s="6" t="str">
        <v>7C3012</v>
      </c>
      <c r="J831" s="6" t="str">
        <v>Novitech Tecnologia e Servicos Ltda</v>
      </c>
      <c r="K831" s="6" t="str">
        <v>Novitech Tecnologia e Servicos Ltda</v>
      </c>
      <c r="L831" s="7">
        <f>=DATE(2015,4,1)</f>
        <v>42094.99949074074</v>
      </c>
      <c r="M831" s="7">
        <f>=DATE(2015,4,1)</f>
        <v>42094.99949074074</v>
      </c>
      <c r="W831" s="6" t="str">
        <v>Programming Services;Internet Services &amp; Software;Networking Systems (LAN,WAN);Database Software/Programming;Applications Software(Home);Applications Software(Business;Other Computer Related Svcs;Other Software (inq. Games);Communication/Network Software;Utilities/File Mgmt Software;Desktop Publishing;Primary Business not Hi-Tech;Computer Consulting Services</v>
      </c>
      <c r="X831" s="6" t="str">
        <v>Computer Consulting Services;Other Computer Related Svcs;Other Software (inq. Games)</v>
      </c>
      <c r="Y831" s="6" t="str">
        <v>Other Software (inq. Games);Other Computer Related Svcs;Computer Consulting Services</v>
      </c>
      <c r="Z831" s="6" t="str">
        <v>Computer Consulting Services;Other Computer Related Svcs;Other Software (inq. Games)</v>
      </c>
      <c r="AA831" s="6" t="str">
        <v>Applications Software(Business;Computer Consulting Services;Other Computer Related Svcs;Database Software/Programming;Internet Services &amp; Software;Applications Software(Home);Desktop Publishing;Programming Services;Communication/Network Software;Primary Business not Hi-Tech;Other Software (inq. Games);Utilities/File Mgmt Software;Networking Systems (LAN,WAN)</v>
      </c>
      <c r="AB831" s="6" t="str">
        <v>Applications Software(Home);Database Software/Programming;Primary Business not Hi-Tech;Computer Consulting Services;Applications Software(Business;Other Computer Related Svcs;Networking Systems (LAN,WAN);Other Software (inq. Games);Programming Services;Utilities/File Mgmt Software;Internet Services &amp; Software;Communication/Network Software;Desktop Publishing</v>
      </c>
      <c r="AH831" s="6" t="str">
        <v>False</v>
      </c>
      <c r="AI831" s="6" t="str">
        <v>2015</v>
      </c>
      <c r="AJ831" s="6" t="str">
        <v>Completed</v>
      </c>
      <c r="AM831" s="6" t="str">
        <v>Financial Acquiror</v>
      </c>
      <c r="AO831" s="6" t="str">
        <v>BRAZIL - Nuance Communications Inc of the US acquired the entire share capital of Novitech Tecnologia e Servicos Ltda, a Sao Paulo-based provider of marketing consulting services.</v>
      </c>
    </row>
    <row r="832">
      <c r="A832" s="6" t="str">
        <v>53578A</v>
      </c>
      <c r="B832" s="6" t="str">
        <v>United States</v>
      </c>
      <c r="C832" s="6" t="str">
        <v>LinkedIn Corp</v>
      </c>
      <c r="D832" s="6" t="str">
        <v>LinkedIn Corp</v>
      </c>
      <c r="F832" s="6" t="str">
        <v>United States</v>
      </c>
      <c r="G832" s="6" t="str">
        <v>Refresh Inc</v>
      </c>
      <c r="H832" s="6" t="str">
        <v>Prepackaged Software</v>
      </c>
      <c r="I832" s="6" t="str">
        <v>7C0642</v>
      </c>
      <c r="J832" s="6" t="str">
        <v>Refresh Inc</v>
      </c>
      <c r="K832" s="6" t="str">
        <v>Refresh Inc</v>
      </c>
      <c r="L832" s="7">
        <f>=DATE(2015,4,2)</f>
        <v>42095.99949074074</v>
      </c>
      <c r="M832" s="7">
        <f>=DATE(2015,4,2)</f>
        <v>42095.99949074074</v>
      </c>
      <c r="W832" s="6" t="str">
        <v>Internet Services &amp; Software</v>
      </c>
      <c r="X832" s="6" t="str">
        <v>Utilities/File Mgmt Software;Internet Services &amp; Software</v>
      </c>
      <c r="Y832" s="6" t="str">
        <v>Internet Services &amp; Software;Utilities/File Mgmt Software</v>
      </c>
      <c r="Z832" s="6" t="str">
        <v>Internet Services &amp; Software;Utilities/File Mgmt Software</v>
      </c>
      <c r="AA832" s="6" t="str">
        <v>Internet Services &amp; Software</v>
      </c>
      <c r="AB832" s="6" t="str">
        <v>Internet Services &amp; Software</v>
      </c>
      <c r="AH832" s="6" t="str">
        <v>False</v>
      </c>
      <c r="AI832" s="6" t="str">
        <v>2015</v>
      </c>
      <c r="AJ832" s="6" t="str">
        <v>Completed</v>
      </c>
      <c r="AM832" s="6" t="str">
        <v>Financial Acquiror</v>
      </c>
      <c r="AO832" s="6" t="str">
        <v>US - LinkedIn Corp acquired Refresh Inc, a Mountain View-based developer of online data compilatiopn software. Terms were not disclosed.</v>
      </c>
    </row>
    <row r="833">
      <c r="A833" s="6" t="str">
        <v>2E5821</v>
      </c>
      <c r="B833" s="6" t="str">
        <v>United States</v>
      </c>
      <c r="C833" s="6" t="str">
        <v>Amazon Corporate LLC</v>
      </c>
      <c r="D833" s="6" t="str">
        <v>Amazon.com Inc</v>
      </c>
      <c r="F833" s="6" t="str">
        <v>United States</v>
      </c>
      <c r="G833" s="6" t="str">
        <v>Cloudreach Inc</v>
      </c>
      <c r="H833" s="6" t="str">
        <v>Prepackaged Software</v>
      </c>
      <c r="I833" s="6" t="str">
        <v>2E5825</v>
      </c>
      <c r="J833" s="6" t="str">
        <v>Cloudreach Inc</v>
      </c>
      <c r="K833" s="6" t="str">
        <v>Cloudreach Inc</v>
      </c>
      <c r="L833" s="7">
        <f>=DATE(2015,4,8)</f>
        <v>42101.99949074074</v>
      </c>
      <c r="M833" s="7">
        <f>=DATE(2015,4,8)</f>
        <v>42101.99949074074</v>
      </c>
      <c r="W833" s="6" t="str">
        <v>Internet Services &amp; Software;Primary Business not Hi-Tech</v>
      </c>
      <c r="X833" s="6" t="str">
        <v>Programming Services;Database Software/Programming;Other Software (inq. Games);Communication/Network Software;Applications Software(Business</v>
      </c>
      <c r="Y833" s="6" t="str">
        <v>Applications Software(Business;Programming Services;Database Software/Programming;Other Software (inq. Games);Communication/Network Software</v>
      </c>
      <c r="Z833" s="6" t="str">
        <v>Programming Services;Database Software/Programming;Communication/Network Software;Other Software (inq. Games);Applications Software(Business</v>
      </c>
      <c r="AA833" s="6" t="str">
        <v>Primary Business not Hi-Tech</v>
      </c>
      <c r="AB833" s="6" t="str">
        <v>Primary Business not Hi-Tech</v>
      </c>
      <c r="AH833" s="6" t="str">
        <v>False</v>
      </c>
      <c r="AI833" s="6" t="str">
        <v>2015</v>
      </c>
      <c r="AJ833" s="6" t="str">
        <v>Completed</v>
      </c>
      <c r="AM833" s="6" t="str">
        <v>Privately Negotiated Purchase</v>
      </c>
      <c r="AO833" s="6" t="str">
        <v>US - Amazon Corporate LLC, a unit of Amazon.com Inc, planned to acquire an undisclosed minority stake in Cloudreach Inc, a New York-developer of software, in a privately negotiated transaction.</v>
      </c>
    </row>
    <row r="834">
      <c r="A834" s="6" t="str">
        <v>037833</v>
      </c>
      <c r="B834" s="6" t="str">
        <v>United States</v>
      </c>
      <c r="C834" s="6" t="str">
        <v>Apple Inc</v>
      </c>
      <c r="D834" s="6" t="str">
        <v>Apple Inc</v>
      </c>
      <c r="F834" s="6" t="str">
        <v>United States</v>
      </c>
      <c r="G834" s="6" t="str">
        <v>Dryft</v>
      </c>
      <c r="H834" s="6" t="str">
        <v>Prepackaged Software</v>
      </c>
      <c r="I834" s="6" t="str">
        <v>7C1307</v>
      </c>
      <c r="J834" s="6" t="str">
        <v>Dryft</v>
      </c>
      <c r="K834" s="6" t="str">
        <v>Dryft</v>
      </c>
      <c r="L834" s="7">
        <f>=DATE(2015,4,8)</f>
        <v>42101.99949074074</v>
      </c>
      <c r="M834" s="7">
        <f>=DATE(2015,4,8)</f>
        <v>42101.99949074074</v>
      </c>
      <c r="W834" s="6" t="str">
        <v>Monitors/Terminals;Disk Drives;Mainframes &amp; Super Computers;Other Software (inq. Games);Printers;Other Peripherals;Micro-Computers (PCs);Portable Computers</v>
      </c>
      <c r="X834" s="6" t="str">
        <v>Communication/Network Software;Applications Software(Home);Applications Software(Business</v>
      </c>
      <c r="Y834" s="6" t="str">
        <v>Communication/Network Software;Applications Software(Home);Applications Software(Business</v>
      </c>
      <c r="Z834" s="6" t="str">
        <v>Applications Software(Business;Applications Software(Home);Communication/Network Software</v>
      </c>
      <c r="AA834" s="6" t="str">
        <v>Portable Computers;Disk Drives;Monitors/Terminals;Mainframes &amp; Super Computers;Printers;Other Peripherals;Other Software (inq. Games);Micro-Computers (PCs)</v>
      </c>
      <c r="AB834" s="6" t="str">
        <v>Disk Drives;Mainframes &amp; Super Computers;Monitors/Terminals;Printers;Other Peripherals;Portable Computers;Other Software (inq. Games);Micro-Computers (PCs)</v>
      </c>
      <c r="AH834" s="6" t="str">
        <v>False</v>
      </c>
      <c r="AI834" s="6" t="str">
        <v>2015</v>
      </c>
      <c r="AJ834" s="6" t="str">
        <v>Completed</v>
      </c>
      <c r="AM834" s="6" t="str">
        <v>Rumored Deal</v>
      </c>
      <c r="AO834" s="6" t="str">
        <v>US - Apple Inc was rumored to have acquired Dryft, a Menlo Park-based developer of virtual keyboards.</v>
      </c>
    </row>
    <row r="835">
      <c r="A835" s="6" t="str">
        <v>023135</v>
      </c>
      <c r="B835" s="6" t="str">
        <v>United States</v>
      </c>
      <c r="C835" s="6" t="str">
        <v>Amazon.com Inc</v>
      </c>
      <c r="D835" s="6" t="str">
        <v>Amazon.com Inc</v>
      </c>
      <c r="F835" s="6" t="str">
        <v>United States</v>
      </c>
      <c r="G835" s="6" t="str">
        <v>Shoefitr Inc</v>
      </c>
      <c r="H835" s="6" t="str">
        <v>Business Services</v>
      </c>
      <c r="I835" s="6" t="str">
        <v>7C1588</v>
      </c>
      <c r="J835" s="6" t="str">
        <v>Shoefitr Inc</v>
      </c>
      <c r="K835" s="6" t="str">
        <v>Shoefitr Inc</v>
      </c>
      <c r="L835" s="7">
        <f>=DATE(2015,4,8)</f>
        <v>42101.99949074074</v>
      </c>
      <c r="M835" s="7">
        <f>=DATE(2015,4,8)</f>
        <v>42101.99949074074</v>
      </c>
      <c r="S835" s="8">
        <v>1.6</v>
      </c>
      <c r="W835" s="6" t="str">
        <v>Primary Business not Hi-Tech</v>
      </c>
      <c r="X835" s="6" t="str">
        <v>Internet Services &amp; Software</v>
      </c>
      <c r="Y835" s="6" t="str">
        <v>Internet Services &amp; Software</v>
      </c>
      <c r="Z835" s="6" t="str">
        <v>Internet Services &amp; Software</v>
      </c>
      <c r="AA835" s="6" t="str">
        <v>Primary Business not Hi-Tech</v>
      </c>
      <c r="AB835" s="6" t="str">
        <v>Primary Business not Hi-Tech</v>
      </c>
      <c r="AH835" s="6" t="str">
        <v>True</v>
      </c>
      <c r="AI835" s="6" t="str">
        <v>2015</v>
      </c>
      <c r="AJ835" s="6" t="str">
        <v>Completed</v>
      </c>
      <c r="AM835" s="6" t="str">
        <v>Rumored Deal</v>
      </c>
      <c r="AO835" s="6" t="str">
        <v>US - Amazon.com Inc was rumored to have acquired Shoefitr Inc, a Pittsburgh-based provider of online footwear purchasing services.</v>
      </c>
    </row>
    <row r="836">
      <c r="A836" s="6" t="str">
        <v>53578A</v>
      </c>
      <c r="B836" s="6" t="str">
        <v>United States</v>
      </c>
      <c r="C836" s="6" t="str">
        <v>LinkedIn Corp</v>
      </c>
      <c r="D836" s="6" t="str">
        <v>LinkedIn Corp</v>
      </c>
      <c r="F836" s="6" t="str">
        <v>United States</v>
      </c>
      <c r="G836" s="6" t="str">
        <v>Lynda.com Inc</v>
      </c>
      <c r="H836" s="6" t="str">
        <v>Business Services</v>
      </c>
      <c r="I836" s="6" t="str">
        <v>55126T</v>
      </c>
      <c r="J836" s="6" t="str">
        <v>Lynda.com Inc</v>
      </c>
      <c r="K836" s="6" t="str">
        <v>Lynda.com Inc</v>
      </c>
      <c r="L836" s="7">
        <f>=DATE(2015,4,9)</f>
        <v>42102.99949074074</v>
      </c>
      <c r="M836" s="7">
        <f>=DATE(2015,5,14)</f>
        <v>42137.99949074074</v>
      </c>
      <c r="N836" s="8">
        <v>1500</v>
      </c>
      <c r="O836" s="8">
        <v>1500</v>
      </c>
      <c r="W836" s="6" t="str">
        <v>Internet Services &amp; Software</v>
      </c>
      <c r="X836" s="6" t="str">
        <v>Internet Services &amp; Software</v>
      </c>
      <c r="Y836" s="6" t="str">
        <v>Internet Services &amp; Software</v>
      </c>
      <c r="Z836" s="6" t="str">
        <v>Internet Services &amp; Software</v>
      </c>
      <c r="AA836" s="6" t="str">
        <v>Internet Services &amp; Software</v>
      </c>
      <c r="AB836" s="6" t="str">
        <v>Internet Services &amp; Software</v>
      </c>
      <c r="AC836" s="8">
        <v>1500</v>
      </c>
      <c r="AD836" s="7">
        <f>=DATE(2015,4,9)</f>
        <v>42102.99949074074</v>
      </c>
      <c r="AF836" s="8" t="str">
        <v>1,500.00</v>
      </c>
      <c r="AG836" s="8" t="str">
        <v>1,500.00</v>
      </c>
      <c r="AH836" s="6" t="str">
        <v>False</v>
      </c>
      <c r="AI836" s="6" t="str">
        <v>2015</v>
      </c>
      <c r="AJ836" s="6" t="str">
        <v>Completed</v>
      </c>
      <c r="AM836" s="6" t="str">
        <v>Financial Acquiror</v>
      </c>
      <c r="AO836" s="6" t="str">
        <v>US - LinkedIn Corp (LinkedIn), through its Harpo Acquisition Merger Corp, acquired the entire share capital of Lynda.com Inc, a Carpinteria-based provider of online learning services, for an estimated USD 1.5 bil. The consideration consisted of an estimated USD 780 mil in cash and USD 720 mil in LinkedIn Class A common shares. This transaction is Tax-Exempt under IRC s386.</v>
      </c>
    </row>
    <row r="837">
      <c r="A837" s="6" t="str">
        <v>594918</v>
      </c>
      <c r="B837" s="6" t="str">
        <v>United States</v>
      </c>
      <c r="C837" s="6" t="str">
        <v>Microsoft Corp</v>
      </c>
      <c r="D837" s="6" t="str">
        <v>Microsoft Corp</v>
      </c>
      <c r="F837" s="6" t="str">
        <v>Canada</v>
      </c>
      <c r="G837" s="6" t="str">
        <v>Datazen Software Inc</v>
      </c>
      <c r="H837" s="6" t="str">
        <v>Prepackaged Software</v>
      </c>
      <c r="I837" s="6" t="str">
        <v>7C2358</v>
      </c>
      <c r="J837" s="6" t="str">
        <v>Datazen Software Inc</v>
      </c>
      <c r="K837" s="6" t="str">
        <v>Datazen Software Inc</v>
      </c>
      <c r="L837" s="7">
        <f>=DATE(2015,4,14)</f>
        <v>42107.99949074074</v>
      </c>
      <c r="M837" s="7">
        <f>=DATE(2015,4,14)</f>
        <v>42107.99949074074</v>
      </c>
      <c r="W837" s="6" t="str">
        <v>Monitors/Terminals;Internet Services &amp; Software;Operating Systems;Other Peripherals;Applications Software(Business;Computer Consulting Services</v>
      </c>
      <c r="X837" s="6" t="str">
        <v>Applications Software(Home);Applications Software(Business;Communication/Network Software</v>
      </c>
      <c r="Y837" s="6" t="str">
        <v>Applications Software(Home);Communication/Network Software;Applications Software(Business</v>
      </c>
      <c r="Z837" s="6" t="str">
        <v>Applications Software(Business;Applications Software(Home);Communication/Network Software</v>
      </c>
      <c r="AA837" s="6" t="str">
        <v>Monitors/Terminals;Applications Software(Business;Internet Services &amp; Software;Computer Consulting Services;Operating Systems;Other Peripherals</v>
      </c>
      <c r="AB837" s="6" t="str">
        <v>Internet Services &amp; Software;Applications Software(Business;Monitors/Terminals;Operating Systems;Other Peripherals;Computer Consulting Services</v>
      </c>
      <c r="AH837" s="6" t="str">
        <v>False</v>
      </c>
      <c r="AI837" s="6" t="str">
        <v>2015</v>
      </c>
      <c r="AJ837" s="6" t="str">
        <v>Completed</v>
      </c>
      <c r="AM837" s="6" t="str">
        <v>Not Applicable</v>
      </c>
      <c r="AO837" s="6" t="str">
        <v>CANADA - Microsoft Corp of the US acquired Datazen Software Inc, a Toronto-based developer of mobile applications software.</v>
      </c>
    </row>
    <row r="838">
      <c r="A838" s="6" t="str">
        <v>01864J</v>
      </c>
      <c r="B838" s="6" t="str">
        <v>United States</v>
      </c>
      <c r="C838" s="6" t="str">
        <v>Avanade Inc</v>
      </c>
      <c r="D838" s="6" t="str">
        <v>Accenture PLC</v>
      </c>
      <c r="F838" s="6" t="str">
        <v>Switzerland</v>
      </c>
      <c r="G838" s="6" t="str">
        <v>KCS net Holding AG</v>
      </c>
      <c r="H838" s="6" t="str">
        <v>Business Services</v>
      </c>
      <c r="I838" s="6" t="str">
        <v>48522T</v>
      </c>
      <c r="J838" s="6" t="str">
        <v>The Carlyle Group LP</v>
      </c>
      <c r="K838" s="6" t="str">
        <v>Carlyle Europe Technology Partners II LP</v>
      </c>
      <c r="L838" s="7">
        <f>=DATE(2015,4,28)</f>
        <v>42121.99949074074</v>
      </c>
      <c r="M838" s="7">
        <f>=DATE(2015,6,10)</f>
        <v>42164.99949074074</v>
      </c>
      <c r="W838" s="6" t="str">
        <v>Computer Consulting Services;Other Computer Related Svcs;Other Software (inq. Games)</v>
      </c>
      <c r="X838" s="6" t="str">
        <v>Primary Business not Hi-Tech;Computer Consulting Services;Other Computer Related Svcs;Other Software (inq. Games)</v>
      </c>
      <c r="Y838" s="6" t="str">
        <v>Primary Business not Hi-Tech</v>
      </c>
      <c r="Z838" s="6" t="str">
        <v>Primary Business not Hi-Tech</v>
      </c>
      <c r="AA838" s="6" t="str">
        <v>Communication/Network Software;Utilities/File Mgmt Software;Desktop Publishing;Computer Consulting Services;Other Software (inq. Games);Applications Software(Home);Data Processing Services;Turnkey Systems;Primary Business not Hi-Tech;Other Computer Related Svcs;Workstations;Internet Services &amp; Software;CAD/CAM/CAE/Graphics Systems;Data Commun(Exclude networking;Other Computer Systems;Operating Systems;Applications Software(Business;Networking Systems (LAN,WAN)</v>
      </c>
      <c r="AB838" s="6" t="str">
        <v>CAD/CAM/CAE/Graphics Systems;Workstations;Data Commun(Exclude networking;Other Computer Systems;Turnkey Systems;Primary Business not Hi-Tech;Operating Systems;Communication/Network Software;Other Computer Related Svcs;Utilities/File Mgmt Software;Internet Services &amp; Software;Desktop Publishing;Other Software (inq. Games);Networking Systems (LAN,WAN);Applications Software(Business;Data Processing Services;Applications Software(Home);Computer Consulting Services</v>
      </c>
      <c r="AH838" s="6" t="str">
        <v>True</v>
      </c>
      <c r="AI838" s="6" t="str">
        <v>2015</v>
      </c>
      <c r="AJ838" s="6" t="str">
        <v>Completed</v>
      </c>
      <c r="AM838" s="6" t="str">
        <v>Divestiture</v>
      </c>
      <c r="AO838" s="6" t="str">
        <v>SWITZERLAND - Avanade Inc of the US, jointly owned by Accenture PLC and Microsoft Corp, acquired KCS net Holding AG, a St. Gallen-based provider of management consulting services, from Carlyle Europe TechnologyPartners II LP, ultimately owned by The Carlyle Group LP.</v>
      </c>
    </row>
    <row r="839">
      <c r="A839" s="6" t="str">
        <v>38259P</v>
      </c>
      <c r="B839" s="6" t="str">
        <v>United States</v>
      </c>
      <c r="C839" s="6" t="str">
        <v>Google Inc</v>
      </c>
      <c r="D839" s="6" t="str">
        <v>Alphabet Inc</v>
      </c>
      <c r="F839" s="6" t="str">
        <v>United States</v>
      </c>
      <c r="G839" s="6" t="str">
        <v>Softcard</v>
      </c>
      <c r="H839" s="6" t="str">
        <v>Prepackaged Software</v>
      </c>
      <c r="I839" s="6" t="str">
        <v>5C5662</v>
      </c>
      <c r="J839" s="6" t="str">
        <v>Softcard</v>
      </c>
      <c r="K839" s="6" t="str">
        <v>Softcard</v>
      </c>
      <c r="L839" s="7">
        <f>=DATE(2015,4,29)</f>
        <v>42122.99949074074</v>
      </c>
      <c r="M839" s="7">
        <f>=DATE(2015,4,29)</f>
        <v>42122.99949074074</v>
      </c>
      <c r="W839" s="6" t="str">
        <v>Programming Services;Internet Services &amp; Software</v>
      </c>
      <c r="X839" s="6" t="str">
        <v>Applications Software(Home);Communication/Network Software;Applications Software(Business</v>
      </c>
      <c r="Y839" s="6" t="str">
        <v>Communication/Network Software;Applications Software(Home);Applications Software(Business</v>
      </c>
      <c r="Z839" s="6" t="str">
        <v>Applications Software(Business;Applications Software(Home);Communication/Network Software</v>
      </c>
      <c r="AA839" s="6" t="str">
        <v>Internet Services &amp; Software;Computer Consulting Services;Telecommunications Equipment;Primary Business not Hi-Tech;Programming Services</v>
      </c>
      <c r="AB839" s="6" t="str">
        <v>Primary Business not Hi-Tech;Computer Consulting Services;Internet Services &amp; Software;Programming Services;Telecommunications Equipment</v>
      </c>
      <c r="AH839" s="6" t="str">
        <v>False</v>
      </c>
      <c r="AI839" s="6" t="str">
        <v>2015</v>
      </c>
      <c r="AJ839" s="6" t="str">
        <v>Completed</v>
      </c>
      <c r="AM839" s="6" t="str">
        <v>Rumored Deal</v>
      </c>
      <c r="AO839" s="6" t="str">
        <v>US - Google Inc (Google) acquired Softcard, a New York-based developer of mobile payment applications software. Originally, in January 2015, Google was rumored to be planning to acquire Softcard.</v>
      </c>
    </row>
    <row r="840">
      <c r="A840" s="6" t="str">
        <v>594918</v>
      </c>
      <c r="B840" s="6" t="str">
        <v>United States</v>
      </c>
      <c r="C840" s="6" t="str">
        <v>Microsoft Corp</v>
      </c>
      <c r="D840" s="6" t="str">
        <v>Microsoft Corp</v>
      </c>
      <c r="F840" s="6" t="str">
        <v>Israel</v>
      </c>
      <c r="G840" s="6" t="str">
        <v>N Trig Ltd</v>
      </c>
      <c r="H840" s="6" t="str">
        <v>Computer and Office Equipment</v>
      </c>
      <c r="I840" s="6" t="str">
        <v>62777Q</v>
      </c>
      <c r="J840" s="6" t="str">
        <v>N Trig Ltd</v>
      </c>
      <c r="K840" s="6" t="str">
        <v>N Trig Ltd</v>
      </c>
      <c r="L840" s="7">
        <f>=DATE(2015,5,1)</f>
        <v>42124.99949074074</v>
      </c>
      <c r="M840" s="7">
        <f>=DATE(2015,5,1)</f>
        <v>42124.99949074074</v>
      </c>
      <c r="S840" s="8">
        <v>46.2441585415104</v>
      </c>
      <c r="W840" s="6" t="str">
        <v>Applications Software(Business;Operating Systems;Monitors/Terminals;Computer Consulting Services;Other Peripherals;Internet Services &amp; Software</v>
      </c>
      <c r="X840" s="6" t="str">
        <v>Other Peripherals</v>
      </c>
      <c r="Y840" s="6" t="str">
        <v>Other Peripherals</v>
      </c>
      <c r="Z840" s="6" t="str">
        <v>Other Peripherals</v>
      </c>
      <c r="AA840" s="6" t="str">
        <v>Applications Software(Business;Operating Systems;Monitors/Terminals;Internet Services &amp; Software;Other Peripherals;Computer Consulting Services</v>
      </c>
      <c r="AB840" s="6" t="str">
        <v>Computer Consulting Services;Other Peripherals;Internet Services &amp; Software;Operating Systems;Applications Software(Business;Monitors/Terminals</v>
      </c>
      <c r="AH840" s="6" t="str">
        <v>True</v>
      </c>
      <c r="AI840" s="6" t="str">
        <v>2015</v>
      </c>
      <c r="AJ840" s="6" t="str">
        <v>Completed</v>
      </c>
      <c r="AM840" s="6" t="str">
        <v>Rumored Deal</v>
      </c>
      <c r="AO840" s="6" t="str">
        <v>ISRAEL - Microsoft Corp of the US acquired N Trig Ltd, a Kfar Saba-based manufacturer of computer peripheral equipment. The terms of the transaction were not disclosed, but according to sources close to the transaction, the value was estimated at ILS 775.801 mil (USD 200 mil). Originally, in February 2015, Microsoft Corp was rumored to be planning to acquire N Trig Ltd.</v>
      </c>
    </row>
    <row r="841">
      <c r="A841" s="6" t="str">
        <v>594918</v>
      </c>
      <c r="B841" s="6" t="str">
        <v>United States</v>
      </c>
      <c r="C841" s="6" t="str">
        <v>Microsoft Corp</v>
      </c>
      <c r="D841" s="6" t="str">
        <v>Microsoft Corp</v>
      </c>
      <c r="F841" s="6" t="str">
        <v>Israel</v>
      </c>
      <c r="G841" s="6" t="str">
        <v>N Trig Ltd-Advanced Digital Pen Technology</v>
      </c>
      <c r="H841" s="6" t="str">
        <v>Computer and Office Equipment</v>
      </c>
      <c r="I841" s="6" t="str">
        <v>7C6573</v>
      </c>
      <c r="J841" s="6" t="str">
        <v>N Trig Ltd</v>
      </c>
      <c r="K841" s="6" t="str">
        <v>N Trig Ltd</v>
      </c>
      <c r="L841" s="7">
        <f>=DATE(2015,5,1)</f>
        <v>42124.99949074074</v>
      </c>
      <c r="M841" s="7">
        <f>=DATE(2015,5,1)</f>
        <v>42124.99949074074</v>
      </c>
      <c r="W841" s="6" t="str">
        <v>Monitors/Terminals;Other Peripherals;Internet Services &amp; Software;Operating Systems;Computer Consulting Services;Applications Software(Business</v>
      </c>
      <c r="X841" s="6" t="str">
        <v>Disk Drives</v>
      </c>
      <c r="Y841" s="6" t="str">
        <v>Other Peripherals</v>
      </c>
      <c r="Z841" s="6" t="str">
        <v>Other Peripherals</v>
      </c>
      <c r="AA841" s="6" t="str">
        <v>Monitors/Terminals;Applications Software(Business;Operating Systems;Other Peripherals;Computer Consulting Services;Internet Services &amp; Software</v>
      </c>
      <c r="AB841" s="6" t="str">
        <v>Computer Consulting Services;Monitors/Terminals;Operating Systems;Applications Software(Business;Other Peripherals;Internet Services &amp; Software</v>
      </c>
      <c r="AH841" s="6" t="str">
        <v>False</v>
      </c>
      <c r="AI841" s="6" t="str">
        <v>2015</v>
      </c>
      <c r="AJ841" s="6" t="str">
        <v>Completed</v>
      </c>
      <c r="AM841" s="6" t="str">
        <v>Divestiture</v>
      </c>
      <c r="AO841" s="6" t="str">
        <v>ISRAEL - Microsoft Corp of the US acquired advanced digital pen technology of N Trig Ltd, a Kfar Saba-based manufacturer of computer peripheral equipment.</v>
      </c>
    </row>
    <row r="842">
      <c r="A842" s="6" t="str">
        <v>38259P</v>
      </c>
      <c r="B842" s="6" t="str">
        <v>United States</v>
      </c>
      <c r="C842" s="6" t="str">
        <v>Google Inc</v>
      </c>
      <c r="D842" s="6" t="str">
        <v>Alphabet Inc</v>
      </c>
      <c r="F842" s="6" t="str">
        <v>United States</v>
      </c>
      <c r="G842" s="6" t="str">
        <v>Timeful Inc</v>
      </c>
      <c r="H842" s="6" t="str">
        <v>Prepackaged Software</v>
      </c>
      <c r="I842" s="6" t="str">
        <v>7C5880</v>
      </c>
      <c r="J842" s="6" t="str">
        <v>Timeful Inc</v>
      </c>
      <c r="K842" s="6" t="str">
        <v>Timeful Inc</v>
      </c>
      <c r="L842" s="7">
        <f>=DATE(2015,5,4)</f>
        <v>42127.99949074074</v>
      </c>
      <c r="M842" s="7">
        <f>=DATE(2015,5,4)</f>
        <v>42127.99949074074</v>
      </c>
      <c r="W842" s="6" t="str">
        <v>Programming Services;Internet Services &amp; Software</v>
      </c>
      <c r="X842" s="6" t="str">
        <v>Applications Software(Business;Communication/Network Software;Applications Software(Home)</v>
      </c>
      <c r="Y842" s="6" t="str">
        <v>Communication/Network Software;Applications Software(Home);Applications Software(Business</v>
      </c>
      <c r="Z842" s="6" t="str">
        <v>Applications Software(Business;Communication/Network Software;Applications Software(Home)</v>
      </c>
      <c r="AA842" s="6" t="str">
        <v>Internet Services &amp; Software;Computer Consulting Services;Programming Services;Primary Business not Hi-Tech;Telecommunications Equipment</v>
      </c>
      <c r="AB842" s="6" t="str">
        <v>Internet Services &amp; Software;Computer Consulting Services;Telecommunications Equipment;Primary Business not Hi-Tech;Programming Services</v>
      </c>
      <c r="AH842" s="6" t="str">
        <v>False</v>
      </c>
      <c r="AI842" s="6" t="str">
        <v>2015</v>
      </c>
      <c r="AJ842" s="6" t="str">
        <v>Completed</v>
      </c>
      <c r="AM842" s="6" t="str">
        <v>Not Applicable</v>
      </c>
      <c r="AO842" s="6" t="str">
        <v>US - Google Inc acquired Timeful Inc, a Mountain View-based developer of machine learning and data analysis mobile application.</v>
      </c>
    </row>
    <row r="843">
      <c r="A843" s="6" t="str">
        <v>037833</v>
      </c>
      <c r="B843" s="6" t="str">
        <v>United States</v>
      </c>
      <c r="C843" s="6" t="str">
        <v>Apple Inc</v>
      </c>
      <c r="D843" s="6" t="str">
        <v>Apple Inc</v>
      </c>
      <c r="F843" s="6" t="str">
        <v>United States</v>
      </c>
      <c r="G843" s="6" t="str">
        <v>Coherent Navigation Inc</v>
      </c>
      <c r="H843" s="6" t="str">
        <v>Telecommunications</v>
      </c>
      <c r="I843" s="6" t="str">
        <v>7C8497</v>
      </c>
      <c r="J843" s="6" t="str">
        <v>Coherent Navigation Inc</v>
      </c>
      <c r="K843" s="6" t="str">
        <v>Coherent Navigation Inc</v>
      </c>
      <c r="L843" s="7">
        <f>=DATE(2015,5,17)</f>
        <v>42140.99949074074</v>
      </c>
      <c r="M843" s="7">
        <f>=DATE(2015,5,17)</f>
        <v>42140.99949074074</v>
      </c>
      <c r="W843" s="6" t="str">
        <v>Other Software (inq. Games);Portable Computers;Micro-Computers (PCs);Printers;Other Peripherals;Mainframes &amp; Super Computers;Disk Drives;Monitors/Terminals</v>
      </c>
      <c r="X843" s="6" t="str">
        <v>Satellite Communications;Satellites (Non-Communications)</v>
      </c>
      <c r="Y843" s="6" t="str">
        <v>Satellites (Non-Communications);Satellite Communications</v>
      </c>
      <c r="Z843" s="6" t="str">
        <v>Satellite Communications;Satellites (Non-Communications)</v>
      </c>
      <c r="AA843" s="6" t="str">
        <v>Printers;Monitors/Terminals;Disk Drives;Micro-Computers (PCs);Other Software (inq. Games);Other Peripherals;Mainframes &amp; Super Computers;Portable Computers</v>
      </c>
      <c r="AB843" s="6" t="str">
        <v>Other Peripherals;Monitors/Terminals;Other Software (inq. Games);Micro-Computers (PCs);Mainframes &amp; Super Computers;Disk Drives;Printers;Portable Computers</v>
      </c>
      <c r="AH843" s="6" t="str">
        <v>False</v>
      </c>
      <c r="AI843" s="6" t="str">
        <v>2015</v>
      </c>
      <c r="AJ843" s="6" t="str">
        <v>Completed</v>
      </c>
      <c r="AM843" s="6" t="str">
        <v>Not Applicable</v>
      </c>
      <c r="AO843" s="6" t="str">
        <v>US - Apple Inc acquired Coherent Navigation Inc, a provider of global positioning technology services.</v>
      </c>
    </row>
    <row r="844">
      <c r="A844" s="6" t="str">
        <v>9A6770</v>
      </c>
      <c r="B844" s="6" t="str">
        <v>United States</v>
      </c>
      <c r="C844" s="6" t="str">
        <v>Oculus VR LLC(NOW 8J8006)</v>
      </c>
      <c r="D844" s="6" t="str">
        <v>Facebook Inc</v>
      </c>
      <c r="F844" s="6" t="str">
        <v>United Kingdom</v>
      </c>
      <c r="G844" s="6" t="str">
        <v>Surreal Vision Ltd</v>
      </c>
      <c r="H844" s="6" t="str">
        <v>Prepackaged Software</v>
      </c>
      <c r="I844" s="6" t="str">
        <v>8C0489</v>
      </c>
      <c r="J844" s="6" t="str">
        <v>Surreal Vision Ltd</v>
      </c>
      <c r="K844" s="6" t="str">
        <v>Surreal Vision Ltd</v>
      </c>
      <c r="L844" s="7">
        <f>=DATE(2015,5,26)</f>
        <v>42149.99949074074</v>
      </c>
      <c r="M844" s="7">
        <f>=DATE(2015,5,26)</f>
        <v>42149.99949074074</v>
      </c>
      <c r="W844" s="6" t="str">
        <v>Programming Services;Applications Software(Home);Applications Software(Business;Communication/Network Software</v>
      </c>
      <c r="X844" s="6" t="str">
        <v>Applications Software(Business;Other Software (inq. Games);Internet Services &amp; Software;Applications Software(Home);Communication/Network Software;Desktop Publishing;Utilities/File Mgmt Software</v>
      </c>
      <c r="Y844" s="6" t="str">
        <v>Internet Services &amp; Software;Applications Software(Business;Applications Software(Home);Utilities/File Mgmt Software;Communication/Network Software;Other Software (inq. Games);Desktop Publishing</v>
      </c>
      <c r="Z844" s="6" t="str">
        <v>Internet Services &amp; Software;Communication/Network Software;Applications Software(Business;Applications Software(Home);Desktop Publishing;Other Software (inq. Games);Utilities/File Mgmt Software</v>
      </c>
      <c r="AA844" s="6" t="str">
        <v>Internet Services &amp; Software</v>
      </c>
      <c r="AB844" s="6" t="str">
        <v>Internet Services &amp; Software</v>
      </c>
      <c r="AH844" s="6" t="str">
        <v>False</v>
      </c>
      <c r="AI844" s="6" t="str">
        <v>2015</v>
      </c>
      <c r="AJ844" s="6" t="str">
        <v>Completed</v>
      </c>
      <c r="AM844" s="6" t="str">
        <v>Financial Acquiror</v>
      </c>
      <c r="AO844" s="6" t="str">
        <v>UK - Oculus VR LLC of the US, a unit of Facebook Inc, acquired Surreal Vision Ltd, a Bushey-based developer of computer applications.</v>
      </c>
    </row>
    <row r="845">
      <c r="A845" s="6" t="str">
        <v>037833</v>
      </c>
      <c r="B845" s="6" t="str">
        <v>United States</v>
      </c>
      <c r="C845" s="6" t="str">
        <v>Apple Inc</v>
      </c>
      <c r="D845" s="6" t="str">
        <v>Apple Inc</v>
      </c>
      <c r="F845" s="6" t="str">
        <v>Germany</v>
      </c>
      <c r="G845" s="6" t="str">
        <v>Metaio GmbH</v>
      </c>
      <c r="H845" s="6" t="str">
        <v>Prepackaged Software</v>
      </c>
      <c r="I845" s="6" t="str">
        <v>8C1056</v>
      </c>
      <c r="J845" s="6" t="str">
        <v>Metaio GmbH</v>
      </c>
      <c r="K845" s="6" t="str">
        <v>Metaio GmbH</v>
      </c>
      <c r="L845" s="7">
        <f>=DATE(2015,5,28)</f>
        <v>42151.99949074074</v>
      </c>
      <c r="M845" s="7">
        <f>=DATE(2015,5,28)</f>
        <v>42151.99949074074</v>
      </c>
      <c r="W845" s="6" t="str">
        <v>Mainframes &amp; Super Computers;Other Peripherals;Printers;Monitors/Terminals;Portable Computers;Micro-Computers (PCs);Disk Drives;Other Software (inq. Games)</v>
      </c>
      <c r="X845" s="6" t="str">
        <v>Other Software (inq. Games)</v>
      </c>
      <c r="Y845" s="6" t="str">
        <v>Other Software (inq. Games)</v>
      </c>
      <c r="Z845" s="6" t="str">
        <v>Other Software (inq. Games)</v>
      </c>
      <c r="AA845" s="6" t="str">
        <v>Other Peripherals;Printers;Other Software (inq. Games);Portable Computers;Disk Drives;Mainframes &amp; Super Computers;Micro-Computers (PCs);Monitors/Terminals</v>
      </c>
      <c r="AB845" s="6" t="str">
        <v>Other Software (inq. Games);Other Peripherals;Monitors/Terminals;Printers;Micro-Computers (PCs);Portable Computers;Mainframes &amp; Super Computers;Disk Drives</v>
      </c>
      <c r="AH845" s="6" t="str">
        <v>False</v>
      </c>
      <c r="AI845" s="6" t="str">
        <v>2015</v>
      </c>
      <c r="AJ845" s="6" t="str">
        <v>Completed</v>
      </c>
      <c r="AM845" s="6" t="str">
        <v>Not Applicable</v>
      </c>
      <c r="AO845" s="6" t="str">
        <v>GERMANY - Apple Inc of the US acquired Metaio GmbH, a Munich-based software publisher.</v>
      </c>
    </row>
    <row r="846">
      <c r="A846" s="6" t="str">
        <v>037833</v>
      </c>
      <c r="B846" s="6" t="str">
        <v>United States</v>
      </c>
      <c r="C846" s="6" t="str">
        <v>Apple Inc</v>
      </c>
      <c r="D846" s="6" t="str">
        <v>Apple Inc</v>
      </c>
      <c r="F846" s="6" t="str">
        <v>United States</v>
      </c>
      <c r="G846" s="6" t="str">
        <v>Apple Inc</v>
      </c>
      <c r="H846" s="6" t="str">
        <v>Computer and Office Equipment</v>
      </c>
      <c r="I846" s="6" t="str">
        <v>037833</v>
      </c>
      <c r="J846" s="6" t="str">
        <v>Apple Inc</v>
      </c>
      <c r="K846" s="6" t="str">
        <v>Apple Inc</v>
      </c>
      <c r="L846" s="7">
        <f>=DATE(2015,5,31)</f>
        <v>42154.99949074074</v>
      </c>
      <c r="M846" s="7">
        <f>=DATE(2015,7,31)</f>
        <v>42215.99949074074</v>
      </c>
      <c r="N846" s="8">
        <v>6000</v>
      </c>
      <c r="O846" s="8">
        <v>6000</v>
      </c>
      <c r="P846" s="8" t="str">
        <v>726,534.63</v>
      </c>
      <c r="R846" s="8">
        <v>47808</v>
      </c>
      <c r="S846" s="8">
        <v>212164</v>
      </c>
      <c r="T846" s="8">
        <v>-18055</v>
      </c>
      <c r="U846" s="8">
        <v>-62713</v>
      </c>
      <c r="V846" s="8">
        <v>74931</v>
      </c>
      <c r="W846" s="6" t="str">
        <v>Other Peripherals;Disk Drives;Micro-Computers (PCs);Monitors/Terminals;Printers;Portable Computers;Other Software (inq. Games);Mainframes &amp; Super Computers</v>
      </c>
      <c r="X846" s="6" t="str">
        <v>Printers;Other Software (inq. Games);Monitors/Terminals;Disk Drives;Portable Computers;Micro-Computers (PCs);Other Peripherals;Mainframes &amp; Super Computers</v>
      </c>
      <c r="Y846" s="6" t="str">
        <v>Disk Drives;Other Peripherals;Printers;Micro-Computers (PCs);Portable Computers;Monitors/Terminals;Mainframes &amp; Super Computers;Other Software (inq. Games)</v>
      </c>
      <c r="Z846" s="6" t="str">
        <v>Disk Drives;Printers;Other Software (inq. Games);Monitors/Terminals;Mainframes &amp; Super Computers;Other Peripherals;Micro-Computers (PCs);Portable Computers</v>
      </c>
      <c r="AA846" s="6" t="str">
        <v>Other Software (inq. Games);Other Peripherals;Disk Drives;Monitors/Terminals;Mainframes &amp; Super Computers;Printers;Micro-Computers (PCs);Portable Computers</v>
      </c>
      <c r="AB846" s="6" t="str">
        <v>Printers;Portable Computers;Mainframes &amp; Super Computers;Other Peripherals;Monitors/Terminals;Other Software (inq. Games);Micro-Computers (PCs);Disk Drives</v>
      </c>
      <c r="AC846" s="8">
        <v>6000</v>
      </c>
      <c r="AD846" s="7">
        <f>=DATE(2015,5,31)</f>
        <v>42154.99949074074</v>
      </c>
      <c r="AF846" s="8" t="str">
        <v>726,534.63</v>
      </c>
      <c r="AG846" s="8" t="str">
        <v>726,534.63</v>
      </c>
      <c r="AH846" s="6" t="str">
        <v>True</v>
      </c>
      <c r="AI846" s="6" t="str">
        <v>2015</v>
      </c>
      <c r="AJ846" s="6" t="str">
        <v>Completed</v>
      </c>
      <c r="AL846" s="8">
        <v>48.293</v>
      </c>
      <c r="AM846" s="6" t="str">
        <v>Open Market Purchase;Repurchase</v>
      </c>
      <c r="AN846" s="8">
        <v>8772</v>
      </c>
      <c r="AO846" s="6" t="str">
        <v>US - On May 2015, the board of Apple Inc, a Cupertino-based manufacturer and wholesaler of mobile communication and media devices, completed the repurchase of USD 6 bil of the company's entire share capital, in an accelerated buyback transaction.</v>
      </c>
    </row>
    <row r="847">
      <c r="A847" s="6" t="str">
        <v>594918</v>
      </c>
      <c r="B847" s="6" t="str">
        <v>United States</v>
      </c>
      <c r="C847" s="6" t="str">
        <v>Microsoft Corp</v>
      </c>
      <c r="D847" s="6" t="str">
        <v>Microsoft Corp</v>
      </c>
      <c r="F847" s="6" t="str">
        <v>Germany</v>
      </c>
      <c r="G847" s="6" t="str">
        <v>6 Wunderkinder GmbH</v>
      </c>
      <c r="H847" s="6" t="str">
        <v>Prepackaged Software</v>
      </c>
      <c r="I847" s="6" t="str">
        <v>7A8933</v>
      </c>
      <c r="J847" s="6" t="str">
        <v>6 Wunderkinder GmbH</v>
      </c>
      <c r="K847" s="6" t="str">
        <v>6 Wunderkinder GmbH</v>
      </c>
      <c r="L847" s="7">
        <f>=DATE(2015,6,2)</f>
        <v>42156.99949074074</v>
      </c>
      <c r="M847" s="7">
        <f>=DATE(2015,6,2)</f>
        <v>42156.99949074074</v>
      </c>
      <c r="W847" s="6" t="str">
        <v>Computer Consulting Services;Monitors/Terminals;Other Peripherals;Operating Systems;Applications Software(Business;Internet Services &amp; Software</v>
      </c>
      <c r="X847" s="6" t="str">
        <v>Utilities/File Mgmt Software;Applications Software(Home);Other Software (inq. Games)</v>
      </c>
      <c r="Y847" s="6" t="str">
        <v>Applications Software(Home);Utilities/File Mgmt Software;Other Software (inq. Games)</v>
      </c>
      <c r="Z847" s="6" t="str">
        <v>Applications Software(Home);Other Software (inq. Games);Utilities/File Mgmt Software</v>
      </c>
      <c r="AA847" s="6" t="str">
        <v>Computer Consulting Services;Applications Software(Business;Internet Services &amp; Software;Other Peripherals;Monitors/Terminals;Operating Systems</v>
      </c>
      <c r="AB847" s="6" t="str">
        <v>Operating Systems;Other Peripherals;Internet Services &amp; Software;Applications Software(Business;Monitors/Terminals;Computer Consulting Services</v>
      </c>
      <c r="AH847" s="6" t="str">
        <v>False</v>
      </c>
      <c r="AI847" s="6" t="str">
        <v>2015</v>
      </c>
      <c r="AJ847" s="6" t="str">
        <v>Completed</v>
      </c>
      <c r="AM847" s="6" t="str">
        <v>Rumored Deal</v>
      </c>
      <c r="AO847" s="6" t="str">
        <v>GERMANY - Microsoft Corp of the US acquired 6 Wunderkinder GmbH, a Berlin-based software publisher. Previously, Microsoft Corp was rumored to be planning to acquire 6 Wunderkinder.</v>
      </c>
    </row>
    <row r="848">
      <c r="A848" s="6" t="str">
        <v>38259P</v>
      </c>
      <c r="B848" s="6" t="str">
        <v>United States</v>
      </c>
      <c r="C848" s="6" t="str">
        <v>Google Inc</v>
      </c>
      <c r="D848" s="6" t="str">
        <v>Alphabet Inc</v>
      </c>
      <c r="F848" s="6" t="str">
        <v>United States</v>
      </c>
      <c r="G848" s="6" t="str">
        <v>Lumedyne Technologies Inc</v>
      </c>
      <c r="H848" s="6" t="str">
        <v>Electronic and Electrical Equipment</v>
      </c>
      <c r="I848" s="6" t="str">
        <v>8C3265</v>
      </c>
      <c r="J848" s="6" t="str">
        <v>Lumedyne Technologies Inc</v>
      </c>
      <c r="K848" s="6" t="str">
        <v>Lumedyne Technologies Inc</v>
      </c>
      <c r="L848" s="7">
        <f>=DATE(2015,6,2)</f>
        <v>42156.99949074074</v>
      </c>
      <c r="W848" s="6" t="str">
        <v>Programming Services;Internet Services &amp; Software</v>
      </c>
      <c r="X848" s="6" t="str">
        <v>Semiconductors;Other Electronics</v>
      </c>
      <c r="Y848" s="6" t="str">
        <v>Semiconductors;Other Electronics</v>
      </c>
      <c r="Z848" s="6" t="str">
        <v>Semiconductors;Other Electronics</v>
      </c>
      <c r="AA848" s="6" t="str">
        <v>Internet Services &amp; Software;Programming Services;Computer Consulting Services;Primary Business not Hi-Tech;Telecommunications Equipment</v>
      </c>
      <c r="AB848" s="6" t="str">
        <v>Computer Consulting Services;Primary Business not Hi-Tech;Telecommunications Equipment;Programming Services;Internet Services &amp; Software</v>
      </c>
      <c r="AH848" s="6" t="str">
        <v>False</v>
      </c>
      <c r="AJ848" s="6" t="str">
        <v>Dismissed Rumor</v>
      </c>
      <c r="AM848" s="6" t="str">
        <v>Rumored Deal</v>
      </c>
      <c r="AO848" s="6" t="str">
        <v>US - Google Inc was rumored to be planning to acquire Lumedyne Technologies Inc, a San Francisco-based manufacturer industrial sensor. Terms were not disclosed, but according to the people familiar with the transaction, the deal was valued at an estimated USD 85 mil.  The Current status of this deal is unknown.</v>
      </c>
    </row>
    <row r="849">
      <c r="A849" s="6" t="str">
        <v>594918</v>
      </c>
      <c r="B849" s="6" t="str">
        <v>United States</v>
      </c>
      <c r="C849" s="6" t="str">
        <v>Microsoft Corp</v>
      </c>
      <c r="D849" s="6" t="str">
        <v>Microsoft Corp</v>
      </c>
      <c r="F849" s="6" t="str">
        <v>United States</v>
      </c>
      <c r="G849" s="6" t="str">
        <v>BlueStripe Software Inc</v>
      </c>
      <c r="H849" s="6" t="str">
        <v>Prepackaged Software</v>
      </c>
      <c r="I849" s="6" t="str">
        <v>8C3537</v>
      </c>
      <c r="J849" s="6" t="str">
        <v>BlueStripe Software Inc</v>
      </c>
      <c r="K849" s="6" t="str">
        <v>BlueStripe Software Inc</v>
      </c>
      <c r="L849" s="7">
        <f>=DATE(2015,6,10)</f>
        <v>42164.99949074074</v>
      </c>
      <c r="M849" s="7">
        <f>=DATE(2015,6,10)</f>
        <v>42164.99949074074</v>
      </c>
      <c r="W849" s="6" t="str">
        <v>Internet Services &amp; Software;Operating Systems;Monitors/Terminals;Applications Software(Business;Computer Consulting Services;Other Peripherals</v>
      </c>
      <c r="X849" s="6" t="str">
        <v>Internet Services &amp; Software;Utilities/File Mgmt Software;Communication/Network Software;Other Software (inq. Games);Applications Software(Business;Desktop Publishing;Applications Software(Home)</v>
      </c>
      <c r="Y849" s="6" t="str">
        <v>Communication/Network Software;Desktop Publishing;Internet Services &amp; Software;Applications Software(Business;Other Software (inq. Games);Utilities/File Mgmt Software;Applications Software(Home)</v>
      </c>
      <c r="Z849" s="6" t="str">
        <v>Utilities/File Mgmt Software;Applications Software(Home);Internet Services &amp; Software;Communication/Network Software;Desktop Publishing;Applications Software(Business;Other Software (inq. Games)</v>
      </c>
      <c r="AA849" s="6" t="str">
        <v>Computer Consulting Services;Operating Systems;Internet Services &amp; Software;Monitors/Terminals;Other Peripherals;Applications Software(Business</v>
      </c>
      <c r="AB849" s="6" t="str">
        <v>Monitors/Terminals;Applications Software(Business;Internet Services &amp; Software;Other Peripherals;Computer Consulting Services;Operating Systems</v>
      </c>
      <c r="AH849" s="6" t="str">
        <v>False</v>
      </c>
      <c r="AI849" s="6" t="str">
        <v>2015</v>
      </c>
      <c r="AJ849" s="6" t="str">
        <v>Completed</v>
      </c>
      <c r="AM849" s="6" t="str">
        <v>Not Applicable</v>
      </c>
      <c r="AO849" s="6" t="str">
        <v>US - Microsoft Corp acquired BlueStripe Software Inc, a Morrisville-based developer of application management software.</v>
      </c>
    </row>
    <row r="850">
      <c r="A850" s="6" t="str">
        <v>38259P</v>
      </c>
      <c r="B850" s="6" t="str">
        <v>United States</v>
      </c>
      <c r="C850" s="6" t="str">
        <v>Google Inc</v>
      </c>
      <c r="D850" s="6" t="str">
        <v>Alphabet Inc</v>
      </c>
      <c r="F850" s="6" t="str">
        <v>United States</v>
      </c>
      <c r="G850" s="6" t="str">
        <v>Agawi Inc</v>
      </c>
      <c r="H850" s="6" t="str">
        <v>Prepackaged Software</v>
      </c>
      <c r="I850" s="6" t="str">
        <v>8C5643</v>
      </c>
      <c r="J850" s="6" t="str">
        <v>Agawi Inc</v>
      </c>
      <c r="K850" s="6" t="str">
        <v>Agawi Inc</v>
      </c>
      <c r="L850" s="7">
        <f>=DATE(2015,6,18)</f>
        <v>42172.99949074074</v>
      </c>
      <c r="M850" s="7">
        <f>=DATE(2015,6,18)</f>
        <v>42172.99949074074</v>
      </c>
      <c r="W850" s="6" t="str">
        <v>Internet Services &amp; Software;Programming Services</v>
      </c>
      <c r="X850" s="6" t="str">
        <v>Communication/Network Software;Applications Software(Business;Applications Software(Home)</v>
      </c>
      <c r="Y850" s="6" t="str">
        <v>Applications Software(Business;Communication/Network Software;Applications Software(Home)</v>
      </c>
      <c r="Z850" s="6" t="str">
        <v>Applications Software(Home);Applications Software(Business;Communication/Network Software</v>
      </c>
      <c r="AA850" s="6" t="str">
        <v>Primary Business not Hi-Tech;Internet Services &amp; Software;Computer Consulting Services;Telecommunications Equipment;Programming Services</v>
      </c>
      <c r="AB850" s="6" t="str">
        <v>Computer Consulting Services;Programming Services;Internet Services &amp; Software;Primary Business not Hi-Tech;Telecommunications Equipment</v>
      </c>
      <c r="AH850" s="6" t="str">
        <v>False</v>
      </c>
      <c r="AI850" s="6" t="str">
        <v>2015</v>
      </c>
      <c r="AJ850" s="6" t="str">
        <v>Completed</v>
      </c>
      <c r="AM850" s="6" t="str">
        <v>Not Applicable</v>
      </c>
      <c r="AO850" s="6" t="str">
        <v>US - Google Inc acquired Agawi Inc, a Campbell-based developer of mobile software.</v>
      </c>
    </row>
    <row r="851">
      <c r="A851" s="6" t="str">
        <v>88837Z</v>
      </c>
      <c r="B851" s="6" t="str">
        <v>United States</v>
      </c>
      <c r="C851" s="6" t="str">
        <v>Titan Outdoor LLC</v>
      </c>
      <c r="D851" s="6" t="str">
        <v>Alphabet Inc</v>
      </c>
      <c r="E851" s="6" t="str">
        <v>Sidewalk Labs</v>
      </c>
      <c r="F851" s="6" t="str">
        <v>United States</v>
      </c>
      <c r="G851" s="6" t="str">
        <v>Control Group Inc</v>
      </c>
      <c r="H851" s="6" t="str">
        <v>Prepackaged Software</v>
      </c>
      <c r="I851" s="6" t="str">
        <v>8C9018</v>
      </c>
      <c r="J851" s="6" t="str">
        <v>Control Group Inc</v>
      </c>
      <c r="K851" s="6" t="str">
        <v>Control Group Inc</v>
      </c>
      <c r="L851" s="7">
        <f>=DATE(2015,6,23)</f>
        <v>42177.99949074074</v>
      </c>
      <c r="M851" s="7">
        <f>=DATE(2015,9,18)</f>
        <v>42264.99949074074</v>
      </c>
      <c r="W851" s="6" t="str">
        <v>Primary Business not Hi-Tech</v>
      </c>
      <c r="X851" s="6" t="str">
        <v>Other Computer Related Svcs;Computer Consulting Services;Data Processing Services;Other Software (inq. Games)</v>
      </c>
      <c r="Y851" s="6" t="str">
        <v>Computer Consulting Services;Other Software (inq. Games);Data Processing Services;Other Computer Related Svcs</v>
      </c>
      <c r="Z851" s="6" t="str">
        <v>Other Software (inq. Games);Data Processing Services;Other Computer Related Svcs;Computer Consulting Services</v>
      </c>
      <c r="AA851" s="6" t="str">
        <v>Other Computer Related Svcs;Computer Consulting Services;Data Processing Services;Other Software (inq. Games)</v>
      </c>
      <c r="AB851" s="6" t="str">
        <v>Primary Business not Hi-Tech;Programming Services;Computer Consulting Services;Telecommunications Equipment;Internet Services &amp; Software</v>
      </c>
      <c r="AH851" s="6" t="str">
        <v>False</v>
      </c>
      <c r="AI851" s="6" t="str">
        <v>2015</v>
      </c>
      <c r="AJ851" s="6" t="str">
        <v>Completed</v>
      </c>
      <c r="AM851" s="6" t="str">
        <v>Financial Acquiror</v>
      </c>
      <c r="AO851" s="6" t="str">
        <v>US - Titan Outdoor LLC merged with Control Group Inc, a New York-based provider of information technology services. Terms were not disclosed. Upon completion, the merged entity was to be renamed Intersection. Concurrently, Sidewalk Labs planned to acquire Titan.</v>
      </c>
    </row>
    <row r="852">
      <c r="A852" s="6" t="str">
        <v>4C7902</v>
      </c>
      <c r="B852" s="6" t="str">
        <v>United States</v>
      </c>
      <c r="C852" s="6" t="str">
        <v>Amazon Web Services Inc</v>
      </c>
      <c r="D852" s="6" t="str">
        <v>Amazon.com Inc</v>
      </c>
      <c r="F852" s="6" t="str">
        <v>United States</v>
      </c>
      <c r="G852" s="6" t="str">
        <v>Trellis Automation Inc</v>
      </c>
      <c r="H852" s="6" t="str">
        <v>Prepackaged Software</v>
      </c>
      <c r="I852" s="6" t="str">
        <v>9C1814</v>
      </c>
      <c r="J852" s="6" t="str">
        <v>Trellis Automation Inc</v>
      </c>
      <c r="K852" s="6" t="str">
        <v>Trellis Automation Inc</v>
      </c>
      <c r="L852" s="7">
        <f>=DATE(2015,7,14)</f>
        <v>42198.99949074074</v>
      </c>
      <c r="M852" s="7">
        <f>=DATE(2015,7,14)</f>
        <v>42198.99949074074</v>
      </c>
      <c r="W852" s="6" t="str">
        <v>Primary Business not Hi-Tech;Computer Consulting Services;Other Computer Related Svcs;Internet Services &amp; Software;Data Processing Services</v>
      </c>
      <c r="X852" s="6" t="str">
        <v>Applications Software(Business</v>
      </c>
      <c r="Y852" s="6" t="str">
        <v>Applications Software(Business</v>
      </c>
      <c r="Z852" s="6" t="str">
        <v>Applications Software(Business</v>
      </c>
      <c r="AA852" s="6" t="str">
        <v>Primary Business not Hi-Tech</v>
      </c>
      <c r="AB852" s="6" t="str">
        <v>Primary Business not Hi-Tech</v>
      </c>
      <c r="AH852" s="6" t="str">
        <v>False</v>
      </c>
      <c r="AI852" s="6" t="str">
        <v>2015</v>
      </c>
      <c r="AJ852" s="6" t="str">
        <v>Completed</v>
      </c>
      <c r="AM852" s="6" t="str">
        <v>Not Applicable</v>
      </c>
      <c r="AO852" s="6" t="str">
        <v>US - Amazon Web Services Inc, a unit of Amazon.com Inc, acquired Trellis Automation Inc dba AppThwack, a Portland-based developer of testing applications software. Terms of the deal were not disclosed.</v>
      </c>
    </row>
    <row r="853">
      <c r="A853" s="6" t="str">
        <v>9A6770</v>
      </c>
      <c r="B853" s="6" t="str">
        <v>United States</v>
      </c>
      <c r="C853" s="6" t="str">
        <v>Oculus VR LLC(NOW 8J8006)</v>
      </c>
      <c r="D853" s="6" t="str">
        <v>Facebook Inc</v>
      </c>
      <c r="F853" s="6" t="str">
        <v>Israel</v>
      </c>
      <c r="G853" s="6" t="str">
        <v>Pebbles Interfaces Ltd</v>
      </c>
      <c r="H853" s="6" t="str">
        <v>Prepackaged Software</v>
      </c>
      <c r="I853" s="6" t="str">
        <v>9C2347</v>
      </c>
      <c r="J853" s="6" t="str">
        <v>Pebbles Interfaces Ltd</v>
      </c>
      <c r="K853" s="6" t="str">
        <v>Pebbles Interfaces Ltd</v>
      </c>
      <c r="L853" s="7">
        <f>=DATE(2015,7,16)</f>
        <v>42200.99949074074</v>
      </c>
      <c r="M853" s="7">
        <f>=DATE(2015,7,16)</f>
        <v>42200.99949074074</v>
      </c>
      <c r="W853" s="6" t="str">
        <v>Applications Software(Business;Communication/Network Software;Programming Services;Applications Software(Home)</v>
      </c>
      <c r="X853" s="6" t="str">
        <v>Other Software (inq. Games);Applications Software(Business;Data Processing Services;Communication/Network Software;Applications Software(Home)</v>
      </c>
      <c r="Y853" s="6" t="str">
        <v>Other Software (inq. Games);Applications Software(Home);Data Processing Services;Applications Software(Business;Communication/Network Software</v>
      </c>
      <c r="Z853" s="6" t="str">
        <v>Communication/Network Software;Data Processing Services;Applications Software(Business;Other Software (inq. Games);Applications Software(Home)</v>
      </c>
      <c r="AA853" s="6" t="str">
        <v>Internet Services &amp; Software</v>
      </c>
      <c r="AB853" s="6" t="str">
        <v>Internet Services &amp; Software</v>
      </c>
      <c r="AH853" s="6" t="str">
        <v>False</v>
      </c>
      <c r="AI853" s="6" t="str">
        <v>2015</v>
      </c>
      <c r="AJ853" s="6" t="str">
        <v>Completed</v>
      </c>
      <c r="AM853" s="6" t="str">
        <v>Financial Acquiror</v>
      </c>
      <c r="AO853" s="6" t="str">
        <v>ISRAEL - Oculus VR LLC of the US, a unit of Facebook Inc, acquired Pebbles Interfaces Ltd, a Kfar Saba-based software publisher, for a reported value of ILS 227.43 mil (USD 60 mil).</v>
      </c>
    </row>
    <row r="854">
      <c r="A854" s="6" t="str">
        <v>594918</v>
      </c>
      <c r="B854" s="6" t="str">
        <v>United States</v>
      </c>
      <c r="C854" s="6" t="str">
        <v>Microsoft Corp</v>
      </c>
      <c r="D854" s="6" t="str">
        <v>Microsoft Corp</v>
      </c>
      <c r="F854" s="6" t="str">
        <v>United States</v>
      </c>
      <c r="G854" s="6" t="str">
        <v>FieldOne Systems LLC</v>
      </c>
      <c r="H854" s="6" t="str">
        <v>Prepackaged Software</v>
      </c>
      <c r="I854" s="6" t="str">
        <v>9C2694</v>
      </c>
      <c r="J854" s="6" t="str">
        <v>FieldOne Systems LLC</v>
      </c>
      <c r="K854" s="6" t="str">
        <v>FieldOne Systems LLC</v>
      </c>
      <c r="L854" s="7">
        <f>=DATE(2015,7,16)</f>
        <v>42200.99949074074</v>
      </c>
      <c r="W854" s="6" t="str">
        <v>Other Peripherals;Operating Systems;Applications Software(Business;Internet Services &amp; Software;Monitors/Terminals;Computer Consulting Services</v>
      </c>
      <c r="X854" s="6" t="str">
        <v>Utilities/File Mgmt Software;Internet Services &amp; Software;Other Software (inq. Games);Applications Software(Business;Desktop Publishing;Communication/Network Software;Applications Software(Home)</v>
      </c>
      <c r="Y854" s="6" t="str">
        <v>Communication/Network Software;Other Software (inq. Games);Utilities/File Mgmt Software;Internet Services &amp; Software;Desktop Publishing;Applications Software(Home);Applications Software(Business</v>
      </c>
      <c r="Z854" s="6" t="str">
        <v>Utilities/File Mgmt Software;Internet Services &amp; Software;Applications Software(Home);Applications Software(Business;Desktop Publishing;Other Software (inq. Games);Communication/Network Software</v>
      </c>
      <c r="AA854" s="6" t="str">
        <v>Internet Services &amp; Software;Operating Systems;Applications Software(Business;Other Peripherals;Computer Consulting Services;Monitors/Terminals</v>
      </c>
      <c r="AB854" s="6" t="str">
        <v>Applications Software(Business;Computer Consulting Services;Monitors/Terminals;Other Peripherals;Internet Services &amp; Software;Operating Systems</v>
      </c>
      <c r="AH854" s="6" t="str">
        <v>True</v>
      </c>
      <c r="AJ854" s="6" t="str">
        <v>Pending</v>
      </c>
      <c r="AM854" s="6" t="str">
        <v>Not Applicable</v>
      </c>
      <c r="AO854" s="6" t="str">
        <v>US - Microsoft Corp agreed to acquire FieldOne Systems LLC, a Mahwah-based developer of field service mangement software.</v>
      </c>
    </row>
    <row r="855">
      <c r="A855" s="6" t="str">
        <v>38259P</v>
      </c>
      <c r="B855" s="6" t="str">
        <v>United States</v>
      </c>
      <c r="C855" s="6" t="str">
        <v>Google Inc</v>
      </c>
      <c r="D855" s="6" t="str">
        <v>Alphabet Inc</v>
      </c>
      <c r="F855" s="6" t="str">
        <v>United States</v>
      </c>
      <c r="G855" s="6" t="str">
        <v>Pixate Inc</v>
      </c>
      <c r="H855" s="6" t="str">
        <v>Prepackaged Software</v>
      </c>
      <c r="I855" s="6" t="str">
        <v>9C2731</v>
      </c>
      <c r="J855" s="6" t="str">
        <v>Pixate Inc</v>
      </c>
      <c r="K855" s="6" t="str">
        <v>Pixate Inc</v>
      </c>
      <c r="L855" s="7">
        <f>=DATE(2015,7,21)</f>
        <v>42205.99949074074</v>
      </c>
      <c r="M855" s="7">
        <f>=DATE(2015,7,21)</f>
        <v>42205.99949074074</v>
      </c>
      <c r="W855" s="6" t="str">
        <v>Programming Services;Internet Services &amp; Software</v>
      </c>
      <c r="X855" s="6" t="str">
        <v>Communication/Network Software;Applications Software(Home);Applications Software(Business</v>
      </c>
      <c r="Y855" s="6" t="str">
        <v>Communication/Network Software;Applications Software(Home);Applications Software(Business</v>
      </c>
      <c r="Z855" s="6" t="str">
        <v>Applications Software(Home);Communication/Network Software;Applications Software(Business</v>
      </c>
      <c r="AA855" s="6" t="str">
        <v>Telecommunications Equipment;Internet Services &amp; Software;Computer Consulting Services;Programming Services;Primary Business not Hi-Tech</v>
      </c>
      <c r="AB855" s="6" t="str">
        <v>Programming Services;Primary Business not Hi-Tech;Computer Consulting Services;Internet Services &amp; Software;Telecommunications Equipment</v>
      </c>
      <c r="AH855" s="6" t="str">
        <v>False</v>
      </c>
      <c r="AI855" s="6" t="str">
        <v>2015</v>
      </c>
      <c r="AJ855" s="6" t="str">
        <v>Completed</v>
      </c>
      <c r="AM855" s="6" t="str">
        <v>Not Applicable</v>
      </c>
      <c r="AO855" s="6" t="str">
        <v>US - Google Inc acquired Pixate Inc, a Palo Alto-based developer of mobile app prototyping tool.</v>
      </c>
    </row>
    <row r="856">
      <c r="A856" s="6" t="str">
        <v>594918</v>
      </c>
      <c r="B856" s="6" t="str">
        <v>United States</v>
      </c>
      <c r="C856" s="6" t="str">
        <v>Microsoft Corp</v>
      </c>
      <c r="D856" s="6" t="str">
        <v>Microsoft Corp</v>
      </c>
      <c r="F856" s="6" t="str">
        <v>United States</v>
      </c>
      <c r="G856" s="6" t="str">
        <v>Incent Games Inc</v>
      </c>
      <c r="H856" s="6" t="str">
        <v>Prepackaged Software</v>
      </c>
      <c r="I856" s="6" t="str">
        <v>9C4861</v>
      </c>
      <c r="J856" s="6" t="str">
        <v>Incent Games Inc</v>
      </c>
      <c r="K856" s="6" t="str">
        <v>Incent Games Inc</v>
      </c>
      <c r="L856" s="7">
        <f>=DATE(2015,8,3)</f>
        <v>42218.99949074074</v>
      </c>
      <c r="M856" s="7">
        <f>=DATE(2015,8,3)</f>
        <v>42218.99949074074</v>
      </c>
      <c r="W856" s="6" t="str">
        <v>Operating Systems;Applications Software(Business;Monitors/Terminals;Computer Consulting Services;Internet Services &amp; Software;Other Peripherals</v>
      </c>
      <c r="X856" s="6" t="str">
        <v>Other Software (inq. Games);Applications Software(Business;Internet Services &amp; Software</v>
      </c>
      <c r="Y856" s="6" t="str">
        <v>Applications Software(Business;Other Software (inq. Games);Internet Services &amp; Software</v>
      </c>
      <c r="Z856" s="6" t="str">
        <v>Internet Services &amp; Software;Other Software (inq. Games);Applications Software(Business</v>
      </c>
      <c r="AA856" s="6" t="str">
        <v>Internet Services &amp; Software;Operating Systems;Applications Software(Business;Computer Consulting Services;Other Peripherals;Monitors/Terminals</v>
      </c>
      <c r="AB856" s="6" t="str">
        <v>Operating Systems;Other Peripherals;Computer Consulting Services;Monitors/Terminals;Internet Services &amp; Software;Applications Software(Business</v>
      </c>
      <c r="AH856" s="6" t="str">
        <v>False</v>
      </c>
      <c r="AI856" s="6" t="str">
        <v>2015</v>
      </c>
      <c r="AJ856" s="6" t="str">
        <v>Completed</v>
      </c>
      <c r="AM856" s="6" t="str">
        <v>Not Applicable</v>
      </c>
      <c r="AO856" s="6" t="str">
        <v>US - Microsoft Corp acquired Incent Games Inc, an Austin-based developer of sales gamification software.</v>
      </c>
    </row>
    <row r="857">
      <c r="A857" s="6" t="str">
        <v>01864J</v>
      </c>
      <c r="B857" s="6" t="str">
        <v>United States</v>
      </c>
      <c r="C857" s="6" t="str">
        <v>Avanade Inc</v>
      </c>
      <c r="D857" s="6" t="str">
        <v>Accenture PLC</v>
      </c>
      <c r="F857" s="6" t="str">
        <v>United Kingdom</v>
      </c>
      <c r="G857" s="6" t="str">
        <v>Cloud Talent Ltd</v>
      </c>
      <c r="H857" s="6" t="str">
        <v>Business Services</v>
      </c>
      <c r="I857" s="6" t="str">
        <v>9C5735</v>
      </c>
      <c r="J857" s="6" t="str">
        <v>Cloud Talent Ltd</v>
      </c>
      <c r="K857" s="6" t="str">
        <v>Cloud Talent Ltd</v>
      </c>
      <c r="L857" s="7">
        <f>=DATE(2015,8,3)</f>
        <v>42218.99949074074</v>
      </c>
      <c r="M857" s="7">
        <f>=DATE(2015,8,3)</f>
        <v>42218.99949074074</v>
      </c>
      <c r="W857" s="6" t="str">
        <v>Other Software (inq. Games);Other Computer Related Svcs;Computer Consulting Services</v>
      </c>
      <c r="X857" s="6" t="str">
        <v>Programming Services;Database Software/Programming</v>
      </c>
      <c r="Y857" s="6" t="str">
        <v>Database Software/Programming;Programming Services</v>
      </c>
      <c r="Z857" s="6" t="str">
        <v>Programming Services;Database Software/Programming</v>
      </c>
      <c r="AA857" s="6" t="str">
        <v>Utilities/File Mgmt Software;Communication/Network Software;Applications Software(Business;Internet Services &amp; Software;Data Processing Services;Applications Software(Home);Computer Consulting Services;Other Software (inq. Games);Operating Systems;Primary Business not Hi-Tech;Other Computer Systems;Desktop Publishing;Data Commun(Exclude networking;Networking Systems (LAN,WAN);Workstations;CAD/CAM/CAE/Graphics Systems;Turnkey Systems;Other Computer Related Svcs</v>
      </c>
      <c r="AB857" s="6" t="str">
        <v>Applications Software(Home);Applications Software(Business;Data Processing Services;Desktop Publishing;Computer Consulting Services;Networking Systems (LAN,WAN);Utilities/File Mgmt Software;Operating Systems;Internet Services &amp; Software;Turnkey Systems;Data Commun(Exclude networking;Workstations;Other Software (inq. Games);Primary Business not Hi-Tech;Other Computer Systems;Communication/Network Software;CAD/CAM/CAE/Graphics Systems;Other Computer Related Svcs</v>
      </c>
      <c r="AH857" s="6" t="str">
        <v>False</v>
      </c>
      <c r="AI857" s="6" t="str">
        <v>2015</v>
      </c>
      <c r="AJ857" s="6" t="str">
        <v>Completed</v>
      </c>
      <c r="AM857" s="6" t="str">
        <v>Not Applicable</v>
      </c>
      <c r="AO857" s="6" t="str">
        <v>UK - Avanade Inc of the US, jointly owned by Accenture PLC and Microsoft Corp, acquired Cloud Talent Ltd, a London-based provider of cloud advisory services. Terms were not disclosed.</v>
      </c>
    </row>
    <row r="858">
      <c r="A858" s="6" t="str">
        <v>594918</v>
      </c>
      <c r="B858" s="6" t="str">
        <v>United States</v>
      </c>
      <c r="C858" s="6" t="str">
        <v>Microsoft Corp</v>
      </c>
      <c r="D858" s="6" t="str">
        <v>Microsoft Corp</v>
      </c>
      <c r="F858" s="6" t="str">
        <v>United States</v>
      </c>
      <c r="G858" s="6" t="str">
        <v>Mesophere Inc</v>
      </c>
      <c r="H858" s="6" t="str">
        <v>Prepackaged Software</v>
      </c>
      <c r="I858" s="6" t="str">
        <v>9C7609</v>
      </c>
      <c r="J858" s="6" t="str">
        <v>Mesophere Inc</v>
      </c>
      <c r="K858" s="6" t="str">
        <v>Mesophere Inc</v>
      </c>
      <c r="L858" s="7">
        <f>=DATE(2015,8,18)</f>
        <v>42233.99949074074</v>
      </c>
      <c r="W858" s="6" t="str">
        <v>Applications Software(Business;Computer Consulting Services;Other Peripherals;Operating Systems;Internet Services &amp; Software;Monitors/Terminals</v>
      </c>
      <c r="X858" s="6" t="str">
        <v>Applications Software(Business;Applications Software(Home);Communication/Network Software</v>
      </c>
      <c r="Y858" s="6" t="str">
        <v>Communication/Network Software;Applications Software(Home);Applications Software(Business</v>
      </c>
      <c r="Z858" s="6" t="str">
        <v>Applications Software(Home);Communication/Network Software;Applications Software(Business</v>
      </c>
      <c r="AA858" s="6" t="str">
        <v>Operating Systems;Internet Services &amp; Software;Computer Consulting Services;Applications Software(Business;Monitors/Terminals;Other Peripherals</v>
      </c>
      <c r="AB858" s="6" t="str">
        <v>Computer Consulting Services;Applications Software(Business;Other Peripherals;Monitors/Terminals;Operating Systems;Internet Services &amp; Software</v>
      </c>
      <c r="AH858" s="6" t="str">
        <v>False</v>
      </c>
      <c r="AJ858" s="6" t="str">
        <v>Dismissed Rumor</v>
      </c>
      <c r="AM858" s="6" t="str">
        <v>Rumored Deal</v>
      </c>
      <c r="AO858" s="6" t="str">
        <v>US - Microsoft Corp was rumored to be planning to acquire Mesophere Inc, a San Francisco-based developer of mobile applications.  The Current status of this deal is unknown.</v>
      </c>
    </row>
    <row r="859">
      <c r="A859" s="6" t="str">
        <v>53578A</v>
      </c>
      <c r="B859" s="6" t="str">
        <v>United States</v>
      </c>
      <c r="C859" s="6" t="str">
        <v>LinkedIn Corp</v>
      </c>
      <c r="D859" s="6" t="str">
        <v>LinkedIn Corp</v>
      </c>
      <c r="F859" s="6" t="str">
        <v>United States</v>
      </c>
      <c r="G859" s="6" t="str">
        <v>Fliptop Inc</v>
      </c>
      <c r="H859" s="6" t="str">
        <v>Prepackaged Software</v>
      </c>
      <c r="I859" s="6" t="str">
        <v>0A5696</v>
      </c>
      <c r="J859" s="6" t="str">
        <v>Fliptop Inc</v>
      </c>
      <c r="K859" s="6" t="str">
        <v>Fliptop Inc</v>
      </c>
      <c r="L859" s="7">
        <f>=DATE(2015,8,28)</f>
        <v>42243.99949074074</v>
      </c>
      <c r="M859" s="7">
        <f>=DATE(2015,8,28)</f>
        <v>42243.99949074074</v>
      </c>
      <c r="W859" s="6" t="str">
        <v>Internet Services &amp; Software</v>
      </c>
      <c r="X859" s="6" t="str">
        <v>Applications Software(Business</v>
      </c>
      <c r="Y859" s="6" t="str">
        <v>Applications Software(Business</v>
      </c>
      <c r="Z859" s="6" t="str">
        <v>Applications Software(Business</v>
      </c>
      <c r="AA859" s="6" t="str">
        <v>Internet Services &amp; Software</v>
      </c>
      <c r="AB859" s="6" t="str">
        <v>Internet Services &amp; Software</v>
      </c>
      <c r="AH859" s="6" t="str">
        <v>False</v>
      </c>
      <c r="AI859" s="6" t="str">
        <v>2015</v>
      </c>
      <c r="AJ859" s="6" t="str">
        <v>Completed</v>
      </c>
      <c r="AM859" s="6" t="str">
        <v>Financial Acquiror</v>
      </c>
      <c r="AO859" s="6" t="str">
        <v>US - LinkedIn Corp acquired Fliptop Inc, a San Francisco-based developer of software. Terms were not disclosed.</v>
      </c>
    </row>
    <row r="860">
      <c r="A860" s="6" t="str">
        <v>4C7902</v>
      </c>
      <c r="B860" s="6" t="str">
        <v>United States</v>
      </c>
      <c r="C860" s="6" t="str">
        <v>Amazon Web Services Inc</v>
      </c>
      <c r="D860" s="6" t="str">
        <v>Amazon.com Inc</v>
      </c>
      <c r="F860" s="6" t="str">
        <v>United States</v>
      </c>
      <c r="G860" s="6" t="str">
        <v>Elemental Technologies Inc</v>
      </c>
      <c r="H860" s="6" t="str">
        <v>Prepackaged Software</v>
      </c>
      <c r="I860" s="6" t="str">
        <v>0C8631</v>
      </c>
      <c r="J860" s="6" t="str">
        <v>Elemental Technologies Inc</v>
      </c>
      <c r="K860" s="6" t="str">
        <v>Elemental Technologies Inc</v>
      </c>
      <c r="L860" s="7">
        <f>=DATE(2015,9,3)</f>
        <v>42249.99949074074</v>
      </c>
      <c r="M860" s="7">
        <f>=DATE(2015,10,19)</f>
        <v>42295.99949074074</v>
      </c>
      <c r="N860" s="8">
        <v>296</v>
      </c>
      <c r="O860" s="8">
        <v>296</v>
      </c>
      <c r="S860" s="8">
        <v>8.2</v>
      </c>
      <c r="W860" s="6" t="str">
        <v>Data Processing Services;Internet Services &amp; Software;Computer Consulting Services;Other Computer Related Svcs;Primary Business not Hi-Tech</v>
      </c>
      <c r="X860" s="6" t="str">
        <v>Internet Services &amp; Software;Communication/Network Software</v>
      </c>
      <c r="Y860" s="6" t="str">
        <v>Communication/Network Software;Internet Services &amp; Software</v>
      </c>
      <c r="Z860" s="6" t="str">
        <v>Communication/Network Software;Internet Services &amp; Software</v>
      </c>
      <c r="AA860" s="6" t="str">
        <v>Primary Business not Hi-Tech</v>
      </c>
      <c r="AB860" s="6" t="str">
        <v>Primary Business not Hi-Tech</v>
      </c>
      <c r="AC860" s="8">
        <v>296</v>
      </c>
      <c r="AD860" s="7">
        <f>=DATE(2015,10,19)</f>
        <v>42295.99949074074</v>
      </c>
      <c r="AH860" s="6" t="str">
        <v>True</v>
      </c>
      <c r="AI860" s="6" t="str">
        <v>2015</v>
      </c>
      <c r="AJ860" s="6" t="str">
        <v>Completed</v>
      </c>
      <c r="AM860" s="6" t="str">
        <v>Not Applicable</v>
      </c>
      <c r="AO860" s="6" t="str">
        <v>US - Amazon Web Services Inc, a unit of Amazon.com Inc, acquired Elemental Technologies Inc, a Portland-based developer of video streaming software, for an estimated USD 296 mil.</v>
      </c>
    </row>
    <row r="861">
      <c r="A861" s="6" t="str">
        <v>594918</v>
      </c>
      <c r="B861" s="6" t="str">
        <v>United States</v>
      </c>
      <c r="C861" s="6" t="str">
        <v>Microsoft Corp</v>
      </c>
      <c r="D861" s="6" t="str">
        <v>Microsoft Corp</v>
      </c>
      <c r="F861" s="6" t="str">
        <v>United States</v>
      </c>
      <c r="G861" s="6" t="str">
        <v>VoloMetrix Inc</v>
      </c>
      <c r="H861" s="6" t="str">
        <v>Prepackaged Software</v>
      </c>
      <c r="I861" s="6" t="str">
        <v>0E0498</v>
      </c>
      <c r="J861" s="6" t="str">
        <v>VoloMetrix Inc</v>
      </c>
      <c r="K861" s="6" t="str">
        <v>VoloMetrix Inc</v>
      </c>
      <c r="L861" s="7">
        <f>=DATE(2015,9,3)</f>
        <v>42249.99949074074</v>
      </c>
      <c r="W861" s="6" t="str">
        <v>Other Peripherals;Operating Systems;Monitors/Terminals;Applications Software(Business;Internet Services &amp; Software;Computer Consulting Services</v>
      </c>
      <c r="X861" s="6" t="str">
        <v>Desktop Publishing;Other Software (inq. Games);Communication/Network Software;Internet Services &amp; Software;Utilities/File Mgmt Software;Applications Software(Home);Applications Software(Business</v>
      </c>
      <c r="Y861" s="6" t="str">
        <v>Other Software (inq. Games);Internet Services &amp; Software;Desktop Publishing;Utilities/File Mgmt Software;Applications Software(Business;Applications Software(Home);Communication/Network Software</v>
      </c>
      <c r="Z861" s="6" t="str">
        <v>Communication/Network Software;Internet Services &amp; Software;Desktop Publishing;Applications Software(Business;Other Software (inq. Games);Utilities/File Mgmt Software;Applications Software(Home)</v>
      </c>
      <c r="AA861" s="6" t="str">
        <v>Internet Services &amp; Software;Applications Software(Business;Operating Systems;Computer Consulting Services;Other Peripherals;Monitors/Terminals</v>
      </c>
      <c r="AB861" s="6" t="str">
        <v>Internet Services &amp; Software;Applications Software(Business;Monitors/Terminals;Computer Consulting Services;Operating Systems;Other Peripherals</v>
      </c>
      <c r="AH861" s="6" t="str">
        <v>False</v>
      </c>
      <c r="AJ861" s="6" t="str">
        <v>Pending</v>
      </c>
      <c r="AM861" s="6" t="str">
        <v>Not Applicable</v>
      </c>
      <c r="AO861" s="6" t="str">
        <v>US - Microsoft Corp agreed to acquire VoloMetrix Inc, a Seattle-based provider of organizational performance analysis services.</v>
      </c>
    </row>
    <row r="862">
      <c r="A862" s="6" t="str">
        <v>594918</v>
      </c>
      <c r="B862" s="6" t="str">
        <v>United States</v>
      </c>
      <c r="C862" s="6" t="str">
        <v>Microsoft Corp</v>
      </c>
      <c r="D862" s="6" t="str">
        <v>Microsoft Corp</v>
      </c>
      <c r="F862" s="6" t="str">
        <v>United States</v>
      </c>
      <c r="G862" s="6" t="str">
        <v>Adallom Inc</v>
      </c>
      <c r="H862" s="6" t="str">
        <v>Prepackaged Software</v>
      </c>
      <c r="I862" s="6" t="str">
        <v>9C2365</v>
      </c>
      <c r="J862" s="6" t="str">
        <v>Adallom Inc</v>
      </c>
      <c r="K862" s="6" t="str">
        <v>Adallom Inc</v>
      </c>
      <c r="L862" s="7">
        <f>=DATE(2015,9,8)</f>
        <v>42254.99949074074</v>
      </c>
      <c r="M862" s="7">
        <f>=DATE(2015,9,8)</f>
        <v>42254.99949074074</v>
      </c>
      <c r="W862" s="6" t="str">
        <v>Internet Services &amp; Software;Operating Systems;Applications Software(Business;Monitors/Terminals;Computer Consulting Services;Other Peripherals</v>
      </c>
      <c r="X862" s="6" t="str">
        <v>Desktop Publishing;Communication/Network Software;Applications Software(Home);Applications Software(Business;Utilities/File Mgmt Software;Other Software (inq. Games);Internet Services &amp; Software</v>
      </c>
      <c r="Y862" s="6" t="str">
        <v>Internet Services &amp; Software;Other Software (inq. Games);Desktop Publishing;Applications Software(Business;Applications Software(Home);Utilities/File Mgmt Software;Communication/Network Software</v>
      </c>
      <c r="Z862" s="6" t="str">
        <v>Communication/Network Software;Utilities/File Mgmt Software;Desktop Publishing;Applications Software(Home);Other Software (inq. Games);Internet Services &amp; Software;Applications Software(Business</v>
      </c>
      <c r="AA862" s="6" t="str">
        <v>Computer Consulting Services;Other Peripherals;Operating Systems;Internet Services &amp; Software;Applications Software(Business;Monitors/Terminals</v>
      </c>
      <c r="AB862" s="6" t="str">
        <v>Applications Software(Business;Computer Consulting Services;Operating Systems;Internet Services &amp; Software;Other Peripherals;Monitors/Terminals</v>
      </c>
      <c r="AH862" s="6" t="str">
        <v>True</v>
      </c>
      <c r="AI862" s="6" t="str">
        <v>2015</v>
      </c>
      <c r="AJ862" s="6" t="str">
        <v>Completed</v>
      </c>
      <c r="AM862" s="6" t="str">
        <v>Rumored Deal</v>
      </c>
      <c r="AO862" s="6" t="str">
        <v>US - Microsoft Corp (Microsoft) acquired Adallom Inc (Adallom), a Palo Alto-based cloud security company. Originally, in July, Microsoft was rumored to be planning to acquire Adallom. The terms of the transaction were not disclosed, but according to sources close to the transaction, the value was estimated at USD 320 mil.</v>
      </c>
    </row>
    <row r="863">
      <c r="A863" s="6" t="str">
        <v>594918</v>
      </c>
      <c r="B863" s="6" t="str">
        <v>United States</v>
      </c>
      <c r="C863" s="6" t="str">
        <v>Microsoft Corp</v>
      </c>
      <c r="D863" s="6" t="str">
        <v>Microsoft Corp</v>
      </c>
      <c r="F863" s="6" t="str">
        <v>United States</v>
      </c>
      <c r="G863" s="6" t="str">
        <v>Double Labs Inc</v>
      </c>
      <c r="H863" s="6" t="str">
        <v>Prepackaged Software</v>
      </c>
      <c r="I863" s="6" t="str">
        <v>0E2871</v>
      </c>
      <c r="J863" s="6" t="str">
        <v>Double Labs Inc</v>
      </c>
      <c r="K863" s="6" t="str">
        <v>Double Labs Inc</v>
      </c>
      <c r="L863" s="7">
        <f>=DATE(2015,9,11)</f>
        <v>42257.99949074074</v>
      </c>
      <c r="M863" s="7">
        <f>=DATE(2015,9,11)</f>
        <v>42257.99949074074</v>
      </c>
      <c r="W863" s="6" t="str">
        <v>Applications Software(Business;Computer Consulting Services;Operating Systems;Monitors/Terminals;Other Peripherals;Internet Services &amp; Software</v>
      </c>
      <c r="X863" s="6" t="str">
        <v>Communication/Network Software;Applications Software(Business;Applications Software(Home)</v>
      </c>
      <c r="Y863" s="6" t="str">
        <v>Communication/Network Software;Applications Software(Home);Applications Software(Business</v>
      </c>
      <c r="Z863" s="6" t="str">
        <v>Applications Software(Business;Applications Software(Home);Communication/Network Software</v>
      </c>
      <c r="AA863" s="6" t="str">
        <v>Internet Services &amp; Software;Other Peripherals;Computer Consulting Services;Monitors/Terminals;Operating Systems;Applications Software(Business</v>
      </c>
      <c r="AB863" s="6" t="str">
        <v>Computer Consulting Services;Applications Software(Business;Internet Services &amp; Software;Other Peripherals;Monitors/Terminals;Operating Systems</v>
      </c>
      <c r="AH863" s="6" t="str">
        <v>False</v>
      </c>
      <c r="AI863" s="6" t="str">
        <v>2015</v>
      </c>
      <c r="AJ863" s="6" t="str">
        <v>Completed</v>
      </c>
      <c r="AM863" s="6" t="str">
        <v>Not Applicable</v>
      </c>
      <c r="AO863" s="6" t="str">
        <v>US - Microsoft Corp acquired Double Labs Inc, a Palo Alto-based developer of mobile applications.</v>
      </c>
    </row>
    <row r="864">
      <c r="A864" s="6" t="str">
        <v>037833</v>
      </c>
      <c r="B864" s="6" t="str">
        <v>United States</v>
      </c>
      <c r="C864" s="6" t="str">
        <v>Apple Inc</v>
      </c>
      <c r="D864" s="6" t="str">
        <v>Apple Inc</v>
      </c>
      <c r="F864" s="6" t="str">
        <v>United States</v>
      </c>
      <c r="G864" s="6" t="str">
        <v>Mapsense Inc</v>
      </c>
      <c r="H864" s="6" t="str">
        <v>Prepackaged Software</v>
      </c>
      <c r="I864" s="6" t="str">
        <v>0E3269</v>
      </c>
      <c r="J864" s="6" t="str">
        <v>Mapsense Inc</v>
      </c>
      <c r="K864" s="6" t="str">
        <v>Mapsense Inc</v>
      </c>
      <c r="L864" s="7">
        <f>=DATE(2015,9,16)</f>
        <v>42262.99949074074</v>
      </c>
      <c r="W864" s="6" t="str">
        <v>Monitors/Terminals;Portable Computers;Other Peripherals;Disk Drives;Micro-Computers (PCs);Printers;Other Software (inq. Games);Mainframes &amp; Super Computers</v>
      </c>
      <c r="X864" s="6" t="str">
        <v>Internet Services &amp; Software;Applications Software(Business;Utilities/File Mgmt Software;Desktop Publishing;Applications Software(Home);Communication/Network Software;Other Software (inq. Games)</v>
      </c>
      <c r="Y864" s="6" t="str">
        <v>Desktop Publishing;Internet Services &amp; Software;Applications Software(Home);Communication/Network Software;Utilities/File Mgmt Software;Applications Software(Business;Other Software (inq. Games)</v>
      </c>
      <c r="Z864" s="6" t="str">
        <v>Desktop Publishing;Communication/Network Software;Applications Software(Home);Applications Software(Business;Internet Services &amp; Software;Other Software (inq. Games);Utilities/File Mgmt Software</v>
      </c>
      <c r="AA864" s="6" t="str">
        <v>Printers;Monitors/Terminals;Other Software (inq. Games);Mainframes &amp; Super Computers;Other Peripherals;Micro-Computers (PCs);Disk Drives;Portable Computers</v>
      </c>
      <c r="AB864" s="6" t="str">
        <v>Other Peripherals;Other Software (inq. Games);Portable Computers;Micro-Computers (PCs);Printers;Monitors/Terminals;Mainframes &amp; Super Computers;Disk Drives</v>
      </c>
      <c r="AH864" s="6" t="str">
        <v>False</v>
      </c>
      <c r="AJ864" s="6" t="str">
        <v>Dismissed Rumor</v>
      </c>
      <c r="AM864" s="6" t="str">
        <v>Rumored Deal</v>
      </c>
      <c r="AO864" s="6" t="str">
        <v>US - Apple Inc was rumored to be planning to acquire Mapsense Inc, a San Francisco-based developer of mapping visualization software. The Current status of this deal is unknown.</v>
      </c>
    </row>
    <row r="865">
      <c r="A865" s="6" t="str">
        <v>023135</v>
      </c>
      <c r="B865" s="6" t="str">
        <v>United States</v>
      </c>
      <c r="C865" s="6" t="str">
        <v>Amazon.com Inc</v>
      </c>
      <c r="D865" s="6" t="str">
        <v>Amazon.com Inc</v>
      </c>
      <c r="F865" s="6" t="str">
        <v>United States</v>
      </c>
      <c r="G865" s="6" t="str">
        <v>Safaba Translation Solutions Inc</v>
      </c>
      <c r="H865" s="6" t="str">
        <v>Prepackaged Software</v>
      </c>
      <c r="I865" s="6" t="str">
        <v>0E5588</v>
      </c>
      <c r="J865" s="6" t="str">
        <v>Safaba Translation Solutions Inc</v>
      </c>
      <c r="K865" s="6" t="str">
        <v>Safaba Translation Solutions Inc</v>
      </c>
      <c r="L865" s="7">
        <f>=DATE(2015,9,25)</f>
        <v>42271.99949074074</v>
      </c>
      <c r="M865" s="7">
        <f>=DATE(2015,9,25)</f>
        <v>42271.99949074074</v>
      </c>
      <c r="W865" s="6" t="str">
        <v>Primary Business not Hi-Tech</v>
      </c>
      <c r="X865" s="6" t="str">
        <v>Other Software (inq. Games)</v>
      </c>
      <c r="Y865" s="6" t="str">
        <v>Other Software (inq. Games)</v>
      </c>
      <c r="Z865" s="6" t="str">
        <v>Other Software (inq. Games)</v>
      </c>
      <c r="AA865" s="6" t="str">
        <v>Primary Business not Hi-Tech</v>
      </c>
      <c r="AB865" s="6" t="str">
        <v>Primary Business not Hi-Tech</v>
      </c>
      <c r="AH865" s="6" t="str">
        <v>False</v>
      </c>
      <c r="AI865" s="6" t="str">
        <v>2015</v>
      </c>
      <c r="AJ865" s="6" t="str">
        <v>Completed</v>
      </c>
      <c r="AM865" s="6" t="str">
        <v>Not Applicable</v>
      </c>
      <c r="AO865" s="6" t="str">
        <v>US - Amazon.com Inc acquired Safaba Translation Solutions Inc, a Pittsburgh-based provider of Enterprise Machine Translation solutions. Terms were not disclosed.</v>
      </c>
    </row>
    <row r="866">
      <c r="A866" s="6" t="str">
        <v>594918</v>
      </c>
      <c r="B866" s="6" t="str">
        <v>United States</v>
      </c>
      <c r="C866" s="6" t="str">
        <v>Microsoft Corp</v>
      </c>
      <c r="D866" s="6" t="str">
        <v>Microsoft Corp</v>
      </c>
      <c r="F866" s="6" t="str">
        <v>Canada</v>
      </c>
      <c r="G866" s="6" t="str">
        <v>Adxstudio Inc</v>
      </c>
      <c r="H866" s="6" t="str">
        <v>Business Services</v>
      </c>
      <c r="I866" s="6" t="str">
        <v>0E6701</v>
      </c>
      <c r="J866" s="6" t="str">
        <v>Adxstudio Inc</v>
      </c>
      <c r="K866" s="6" t="str">
        <v>Adxstudio Inc</v>
      </c>
      <c r="L866" s="7">
        <f>=DATE(2015,9,28)</f>
        <v>42274.99949074074</v>
      </c>
      <c r="M866" s="7">
        <f>=DATE(2015,9,28)</f>
        <v>42274.99949074074</v>
      </c>
      <c r="S866" s="8">
        <v>2.06576002754347</v>
      </c>
      <c r="W866" s="6" t="str">
        <v>Monitors/Terminals;Internet Services &amp; Software;Operating Systems;Applications Software(Business;Computer Consulting Services;Other Peripherals</v>
      </c>
      <c r="X866" s="6" t="str">
        <v>Satellite Communications;Internet Services &amp; Software</v>
      </c>
      <c r="Y866" s="6" t="str">
        <v>Satellite Communications;Internet Services &amp; Software</v>
      </c>
      <c r="Z866" s="6" t="str">
        <v>Internet Services &amp; Software;Satellite Communications</v>
      </c>
      <c r="AA866" s="6" t="str">
        <v>Applications Software(Business;Monitors/Terminals;Computer Consulting Services;Internet Services &amp; Software;Other Peripherals;Operating Systems</v>
      </c>
      <c r="AB866" s="6" t="str">
        <v>Applications Software(Business;Operating Systems;Internet Services &amp; Software;Computer Consulting Services;Other Peripherals;Monitors/Terminals</v>
      </c>
      <c r="AH866" s="6" t="str">
        <v>True</v>
      </c>
      <c r="AI866" s="6" t="str">
        <v>2015</v>
      </c>
      <c r="AJ866" s="6" t="str">
        <v>Completed</v>
      </c>
      <c r="AM866" s="6" t="str">
        <v>Not Applicable</v>
      </c>
      <c r="AO866" s="6" t="str">
        <v>CANADA - Microsoft Corp of the US acquired Adxstudio Inc, a Regina-provides web portals, online engagement solutions and application lifecycle management services.</v>
      </c>
    </row>
    <row r="867">
      <c r="A867" s="6" t="str">
        <v>38259P</v>
      </c>
      <c r="B867" s="6" t="str">
        <v>United States</v>
      </c>
      <c r="C867" s="6" t="str">
        <v>Google Inc</v>
      </c>
      <c r="D867" s="6" t="str">
        <v>Alphabet Inc</v>
      </c>
      <c r="F867" s="6" t="str">
        <v>United States</v>
      </c>
      <c r="G867" s="6" t="str">
        <v>Jibe Mobile Inc</v>
      </c>
      <c r="H867" s="6" t="str">
        <v>Business Services</v>
      </c>
      <c r="I867" s="6" t="str">
        <v>0E7230</v>
      </c>
      <c r="J867" s="6" t="str">
        <v>Jibe Mobile Inc</v>
      </c>
      <c r="K867" s="6" t="str">
        <v>Jibe Mobile Inc</v>
      </c>
      <c r="L867" s="7">
        <f>=DATE(2015,9,30)</f>
        <v>42276.99949074074</v>
      </c>
      <c r="M867" s="7">
        <f>=DATE(2015,9,30)</f>
        <v>42276.99949074074</v>
      </c>
      <c r="W867" s="6" t="str">
        <v>Internet Services &amp; Software;Programming Services</v>
      </c>
      <c r="X867" s="6" t="str">
        <v>Other Computer Related Svcs;Programming Services;Computer Consulting Services</v>
      </c>
      <c r="Y867" s="6" t="str">
        <v>Programming Services;Other Computer Related Svcs;Computer Consulting Services</v>
      </c>
      <c r="Z867" s="6" t="str">
        <v>Programming Services;Other Computer Related Svcs;Computer Consulting Services</v>
      </c>
      <c r="AA867" s="6" t="str">
        <v>Telecommunications Equipment;Internet Services &amp; Software;Computer Consulting Services;Programming Services;Primary Business not Hi-Tech</v>
      </c>
      <c r="AB867" s="6" t="str">
        <v>Telecommunications Equipment;Internet Services &amp; Software;Programming Services;Computer Consulting Services;Primary Business not Hi-Tech</v>
      </c>
      <c r="AH867" s="6" t="str">
        <v>False</v>
      </c>
      <c r="AI867" s="6" t="str">
        <v>2015</v>
      </c>
      <c r="AJ867" s="6" t="str">
        <v>Completed</v>
      </c>
      <c r="AM867" s="6" t="str">
        <v>Not Applicable</v>
      </c>
      <c r="AO867" s="6" t="str">
        <v>US - Google Inc, a unit of Alphabet Inc, acquired Jibe Mobile Inc, a Mountain View-based provider of application services.</v>
      </c>
    </row>
    <row r="868">
      <c r="A868" s="6" t="str">
        <v>594918</v>
      </c>
      <c r="B868" s="6" t="str">
        <v>United States</v>
      </c>
      <c r="C868" s="6" t="str">
        <v>Microsoft Corp</v>
      </c>
      <c r="D868" s="6" t="str">
        <v>Microsoft Corp</v>
      </c>
      <c r="F868" s="6" t="str">
        <v>Ireland</v>
      </c>
      <c r="G868" s="6" t="str">
        <v>Telekinesys Research Ltd</v>
      </c>
      <c r="H868" s="6" t="str">
        <v>Prepackaged Software</v>
      </c>
      <c r="I868" s="6" t="str">
        <v>40668C</v>
      </c>
      <c r="J868" s="6" t="str">
        <v>Intel Corp</v>
      </c>
      <c r="K868" s="6" t="str">
        <v>Intel Corp</v>
      </c>
      <c r="L868" s="7">
        <f>=DATE(2015,10,2)</f>
        <v>42278.99949074074</v>
      </c>
      <c r="M868" s="7">
        <f>=DATE(2015,10,2)</f>
        <v>42278.99949074074</v>
      </c>
      <c r="R868" s="8">
        <v>0.630661342164216</v>
      </c>
      <c r="S868" s="8">
        <v>21.4497905912146</v>
      </c>
      <c r="W868" s="6" t="str">
        <v>Monitors/Terminals;Other Peripherals;Operating Systems;Computer Consulting Services;Applications Software(Business;Internet Services &amp; Software</v>
      </c>
      <c r="X868" s="6" t="str">
        <v>Other Software (inq. Games)</v>
      </c>
      <c r="Y868" s="6" t="str">
        <v>Other Peripherals;Other Electronics;Telecommunications Equipment;Semiconductors</v>
      </c>
      <c r="Z868" s="6" t="str">
        <v>Semiconductors;Other Electronics;Other Peripherals;Telecommunications Equipment</v>
      </c>
      <c r="AA868" s="6" t="str">
        <v>Internet Services &amp; Software;Applications Software(Business;Monitors/Terminals;Computer Consulting Services;Other Peripherals;Operating Systems</v>
      </c>
      <c r="AB868" s="6" t="str">
        <v>Applications Software(Business;Other Peripherals;Monitors/Terminals;Internet Services &amp; Software;Operating Systems;Computer Consulting Services</v>
      </c>
      <c r="AH868" s="6" t="str">
        <v>True</v>
      </c>
      <c r="AI868" s="6" t="str">
        <v>2015</v>
      </c>
      <c r="AJ868" s="6" t="str">
        <v>Completed</v>
      </c>
      <c r="AM868" s="6" t="str">
        <v>Divestiture</v>
      </c>
      <c r="AO868" s="6" t="str">
        <v>IRELAND - Microsoft Corp of the US acquired Telekinesys Research Ltd, a Dublin-based developer of interactive software, from Intel Corp. Terms were not disclosed.</v>
      </c>
    </row>
    <row r="869">
      <c r="A869" s="6" t="str">
        <v>037833</v>
      </c>
      <c r="B869" s="6" t="str">
        <v>United States</v>
      </c>
      <c r="C869" s="6" t="str">
        <v>Apple Inc</v>
      </c>
      <c r="D869" s="6" t="str">
        <v>Apple Inc</v>
      </c>
      <c r="F869" s="6" t="str">
        <v>United Kingdom</v>
      </c>
      <c r="G869" s="6" t="str">
        <v>VocalIQ Ltd</v>
      </c>
      <c r="H869" s="6" t="str">
        <v>Prepackaged Software</v>
      </c>
      <c r="I869" s="6" t="str">
        <v>0E7928</v>
      </c>
      <c r="J869" s="6" t="str">
        <v>VocalIQ Ltd</v>
      </c>
      <c r="K869" s="6" t="str">
        <v>VocalIQ Ltd</v>
      </c>
      <c r="L869" s="7">
        <f>=DATE(2015,10,5)</f>
        <v>42281.99949074074</v>
      </c>
      <c r="M869" s="7">
        <f>=DATE(2015,10,5)</f>
        <v>42281.99949074074</v>
      </c>
      <c r="W869" s="6" t="str">
        <v>Disk Drives;Monitors/Terminals;Portable Computers;Mainframes &amp; Super Computers;Printers;Other Peripherals;Other Software (inq. Games);Micro-Computers (PCs)</v>
      </c>
      <c r="X869" s="6" t="str">
        <v>Utilities/File Mgmt Software;Communication/Network Software;Desktop Publishing;Applications Software(Business;Other Software (inq. Games);Internet Services &amp; Software;Applications Software(Home)</v>
      </c>
      <c r="Y869" s="6" t="str">
        <v>Internet Services &amp; Software;Desktop Publishing;Other Software (inq. Games);Communication/Network Software;Applications Software(Business;Applications Software(Home);Utilities/File Mgmt Software</v>
      </c>
      <c r="Z869" s="6" t="str">
        <v>Utilities/File Mgmt Software;Communication/Network Software;Desktop Publishing;Applications Software(Home);Other Software (inq. Games);Internet Services &amp; Software;Applications Software(Business</v>
      </c>
      <c r="AA869" s="6" t="str">
        <v>Printers;Micro-Computers (PCs);Other Peripherals;Portable Computers;Monitors/Terminals;Other Software (inq. Games);Disk Drives;Mainframes &amp; Super Computers</v>
      </c>
      <c r="AB869" s="6" t="str">
        <v>Other Peripherals;Monitors/Terminals;Portable Computers;Other Software (inq. Games);Mainframes &amp; Super Computers;Micro-Computers (PCs);Disk Drives;Printers</v>
      </c>
      <c r="AH869" s="6" t="str">
        <v>False</v>
      </c>
      <c r="AI869" s="6" t="str">
        <v>2015</v>
      </c>
      <c r="AJ869" s="6" t="str">
        <v>Completed</v>
      </c>
      <c r="AM869" s="6" t="str">
        <v>Rumored Deal</v>
      </c>
      <c r="AO869" s="6" t="str">
        <v>UK - Apple Inc of the US acquired VocalIQ Ltd, a Cambridge-based software publisher. Originally, Apple was rumored to acquire VocalIQ.</v>
      </c>
    </row>
    <row r="870">
      <c r="A870" s="6" t="str">
        <v>037833</v>
      </c>
      <c r="B870" s="6" t="str">
        <v>United States</v>
      </c>
      <c r="C870" s="6" t="str">
        <v>Apple Inc</v>
      </c>
      <c r="D870" s="6" t="str">
        <v>Apple Inc</v>
      </c>
      <c r="F870" s="6" t="str">
        <v>United States</v>
      </c>
      <c r="G870" s="6" t="str">
        <v>Perceptio Inc</v>
      </c>
      <c r="H870" s="6" t="str">
        <v>Prepackaged Software</v>
      </c>
      <c r="I870" s="6" t="str">
        <v>0E7940</v>
      </c>
      <c r="J870" s="6" t="str">
        <v>Perceptio Inc</v>
      </c>
      <c r="K870" s="6" t="str">
        <v>Perceptio Inc</v>
      </c>
      <c r="L870" s="7">
        <f>=DATE(2015,10,5)</f>
        <v>42281.99949074074</v>
      </c>
      <c r="M870" s="7">
        <f>=DATE(2015,10,5)</f>
        <v>42281.99949074074</v>
      </c>
      <c r="W870" s="6" t="str">
        <v>Printers;Portable Computers;Mainframes &amp; Super Computers;Other Peripherals;Monitors/Terminals;Other Software (inq. Games);Micro-Computers (PCs);Disk Drives</v>
      </c>
      <c r="X870" s="6" t="str">
        <v>Other Software (inq. Games)</v>
      </c>
      <c r="Y870" s="6" t="str">
        <v>Other Software (inq. Games)</v>
      </c>
      <c r="Z870" s="6" t="str">
        <v>Other Software (inq. Games)</v>
      </c>
      <c r="AA870" s="6" t="str">
        <v>Micro-Computers (PCs);Monitors/Terminals;Disk Drives;Mainframes &amp; Super Computers;Other Peripherals;Printers;Portable Computers;Other Software (inq. Games)</v>
      </c>
      <c r="AB870" s="6" t="str">
        <v>Other Peripherals;Monitors/Terminals;Other Software (inq. Games);Micro-Computers (PCs);Portable Computers;Printers;Disk Drives;Mainframes &amp; Super Computers</v>
      </c>
      <c r="AH870" s="6" t="str">
        <v>False</v>
      </c>
      <c r="AI870" s="6" t="str">
        <v>2015</v>
      </c>
      <c r="AJ870" s="6" t="str">
        <v>Completed</v>
      </c>
      <c r="AM870" s="6" t="str">
        <v>Not Applicable</v>
      </c>
      <c r="AO870" s="6" t="str">
        <v>US - Apple Inc acquired Perceptio Inc, a San Francisco-based developer of advanced artificial intelligence systems.</v>
      </c>
    </row>
    <row r="871">
      <c r="A871" s="6" t="str">
        <v>38259P</v>
      </c>
      <c r="B871" s="6" t="str">
        <v>United States</v>
      </c>
      <c r="C871" s="6" t="str">
        <v>Google Inc</v>
      </c>
      <c r="D871" s="6" t="str">
        <v>Alphabet Inc</v>
      </c>
      <c r="F871" s="6" t="str">
        <v>United States</v>
      </c>
      <c r="G871" s="6" t="str">
        <v>Divshot Inc</v>
      </c>
      <c r="H871" s="6" t="str">
        <v>Prepackaged Software</v>
      </c>
      <c r="I871" s="6" t="str">
        <v>0E9101</v>
      </c>
      <c r="J871" s="6" t="str">
        <v>Divshot Inc</v>
      </c>
      <c r="K871" s="6" t="str">
        <v>Divshot Inc</v>
      </c>
      <c r="L871" s="7">
        <f>=DATE(2015,10,13)</f>
        <v>42289.99949074074</v>
      </c>
      <c r="M871" s="7">
        <f>=DATE(2015,10,13)</f>
        <v>42289.99949074074</v>
      </c>
      <c r="W871" s="6" t="str">
        <v>Programming Services;Internet Services &amp; Software</v>
      </c>
      <c r="X871" s="6" t="str">
        <v>Other Software (inq. Games)</v>
      </c>
      <c r="Y871" s="6" t="str">
        <v>Other Software (inq. Games)</v>
      </c>
      <c r="Z871" s="6" t="str">
        <v>Other Software (inq. Games)</v>
      </c>
      <c r="AA871" s="6" t="str">
        <v>Programming Services;Internet Services &amp; Software;Telecommunications Equipment;Primary Business not Hi-Tech;Computer Consulting Services</v>
      </c>
      <c r="AB871" s="6" t="str">
        <v>Telecommunications Equipment;Internet Services &amp; Software;Computer Consulting Services;Programming Services;Primary Business not Hi-Tech</v>
      </c>
      <c r="AH871" s="6" t="str">
        <v>False</v>
      </c>
      <c r="AI871" s="6" t="str">
        <v>2015</v>
      </c>
      <c r="AJ871" s="6" t="str">
        <v>Completed</v>
      </c>
      <c r="AM871" s="6" t="str">
        <v>Not Applicable</v>
      </c>
      <c r="AO871" s="6" t="str">
        <v>US - Google Inc, a unit of Alphabet Inc, acquired Divshot Inc, a Santa Monica-based developer of software.</v>
      </c>
    </row>
    <row r="872">
      <c r="A872" s="6" t="str">
        <v>38259P</v>
      </c>
      <c r="B872" s="6" t="str">
        <v>United States</v>
      </c>
      <c r="C872" s="6" t="str">
        <v>Google Inc</v>
      </c>
      <c r="D872" s="6" t="str">
        <v>Alphabet Inc</v>
      </c>
      <c r="F872" s="6" t="str">
        <v>Portugal</v>
      </c>
      <c r="G872" s="6" t="str">
        <v>Digisfera Fotografia e Informatica Lda</v>
      </c>
      <c r="H872" s="6" t="str">
        <v>Prepackaged Software</v>
      </c>
      <c r="I872" s="6" t="str">
        <v>1E1509</v>
      </c>
      <c r="J872" s="6" t="str">
        <v>Digisfera Fotografia e Informatica Lda</v>
      </c>
      <c r="K872" s="6" t="str">
        <v>Digisfera Fotografia e Informatica Lda</v>
      </c>
      <c r="L872" s="7">
        <f>=DATE(2015,10,17)</f>
        <v>42293.99949074074</v>
      </c>
      <c r="M872" s="7">
        <f>=DATE(2015,10,17)</f>
        <v>42293.99949074074</v>
      </c>
      <c r="W872" s="6" t="str">
        <v>Programming Services;Internet Services &amp; Software</v>
      </c>
      <c r="X872" s="6" t="str">
        <v>Other Software (inq. Games)</v>
      </c>
      <c r="Y872" s="6" t="str">
        <v>Other Software (inq. Games)</v>
      </c>
      <c r="Z872" s="6" t="str">
        <v>Other Software (inq. Games)</v>
      </c>
      <c r="AA872" s="6" t="str">
        <v>Internet Services &amp; Software;Primary Business not Hi-Tech;Programming Services;Telecommunications Equipment;Computer Consulting Services</v>
      </c>
      <c r="AB872" s="6" t="str">
        <v>Telecommunications Equipment;Computer Consulting Services;Internet Services &amp; Software;Primary Business not Hi-Tech;Programming Services</v>
      </c>
      <c r="AH872" s="6" t="str">
        <v>False</v>
      </c>
      <c r="AI872" s="6" t="str">
        <v>2015</v>
      </c>
      <c r="AJ872" s="6" t="str">
        <v>Completed</v>
      </c>
      <c r="AM872" s="6" t="str">
        <v>Not Applicable</v>
      </c>
      <c r="AO872" s="6" t="str">
        <v>PORTUGAL - Google Inc of the US, a unit of Alphabet Inc, acquired Digisfera Fotografia e Informatica Lda, a Cascais-based software publisher.</v>
      </c>
    </row>
    <row r="873">
      <c r="A873" s="6" t="str">
        <v>38259P</v>
      </c>
      <c r="B873" s="6" t="str">
        <v>United States</v>
      </c>
      <c r="C873" s="6" t="str">
        <v>Google Inc</v>
      </c>
      <c r="D873" s="6" t="str">
        <v>Alphabet Inc</v>
      </c>
      <c r="F873" s="6" t="str">
        <v>China (Mainland)</v>
      </c>
      <c r="G873" s="6" t="str">
        <v>Mobvoi Inc</v>
      </c>
      <c r="H873" s="6" t="str">
        <v>Prepackaged Software</v>
      </c>
      <c r="I873" s="6" t="str">
        <v>0E7151</v>
      </c>
      <c r="J873" s="6" t="str">
        <v>Mobvoi Inc</v>
      </c>
      <c r="K873" s="6" t="str">
        <v>Mobvoi Inc</v>
      </c>
      <c r="L873" s="7">
        <f>=DATE(2015,10,20)</f>
        <v>42296.99949074074</v>
      </c>
      <c r="M873" s="7">
        <f>=DATE(2015,10,20)</f>
        <v>42296.99949074074</v>
      </c>
      <c r="N873" s="8">
        <v>76.3645798933811</v>
      </c>
      <c r="O873" s="8">
        <v>76.3645798933811</v>
      </c>
      <c r="W873" s="6" t="str">
        <v>Internet Services &amp; Software;Programming Services</v>
      </c>
      <c r="X873" s="6" t="str">
        <v>Applications Software(Business;Utilities/File Mgmt Software;Primary Business not Hi-Tech;Desktop Publishing;Applications Software(Home);Communication/Network Software;Other Software (inq. Games);Internet Services &amp; Software</v>
      </c>
      <c r="Y873" s="6" t="str">
        <v>Internet Services &amp; Software;Utilities/File Mgmt Software;Other Software (inq. Games);Applications Software(Home);Applications Software(Business;Primary Business not Hi-Tech;Communication/Network Software;Desktop Publishing</v>
      </c>
      <c r="Z873" s="6" t="str">
        <v>Desktop Publishing;Other Software (inq. Games);Applications Software(Home);Utilities/File Mgmt Software;Communication/Network Software;Primary Business not Hi-Tech;Applications Software(Business;Internet Services &amp; Software</v>
      </c>
      <c r="AA873" s="6" t="str">
        <v>Primary Business not Hi-Tech;Programming Services;Internet Services &amp; Software;Computer Consulting Services;Telecommunications Equipment</v>
      </c>
      <c r="AB873" s="6" t="str">
        <v>Telecommunications Equipment;Primary Business not Hi-Tech;Internet Services &amp; Software;Computer Consulting Services;Programming Services</v>
      </c>
      <c r="AC873" s="8">
        <v>76.3645798933811</v>
      </c>
      <c r="AD873" s="7">
        <f>=DATE(2015,10,20)</f>
        <v>42296.99949074074</v>
      </c>
      <c r="AH873" s="6" t="str">
        <v>False</v>
      </c>
      <c r="AI873" s="6" t="str">
        <v>2015</v>
      </c>
      <c r="AJ873" s="6" t="str">
        <v>Completed</v>
      </c>
      <c r="AM873" s="6" t="str">
        <v>Privately Negotiated Purchase</v>
      </c>
      <c r="AO873" s="6" t="str">
        <v>CHINA - Google Inc of the US, a unit of Alphabet Inc, acquired an undisclosed minority stake in Mobvoi Inc, software publisher, for a total CNY 485.61 mil (USD 76.365 mil), in a privately negotiated transaction.</v>
      </c>
    </row>
    <row r="874">
      <c r="A874" s="6" t="str">
        <v>594918</v>
      </c>
      <c r="B874" s="6" t="str">
        <v>United States</v>
      </c>
      <c r="C874" s="6" t="str">
        <v>Microsoft Corp</v>
      </c>
      <c r="D874" s="6" t="str">
        <v>Microsoft Corp</v>
      </c>
      <c r="F874" s="6" t="str">
        <v>Israel</v>
      </c>
      <c r="G874" s="6" t="str">
        <v>Secure Islands Technologies Ltd</v>
      </c>
      <c r="H874" s="6" t="str">
        <v>Prepackaged Software</v>
      </c>
      <c r="I874" s="6" t="str">
        <v>1E0698</v>
      </c>
      <c r="J874" s="6" t="str">
        <v>Secure Islands Technologies Ltd</v>
      </c>
      <c r="K874" s="6" t="str">
        <v>Secure Islands Technologies Ltd</v>
      </c>
      <c r="L874" s="7">
        <f>=DATE(2015,10,21)</f>
        <v>42297.99949074074</v>
      </c>
      <c r="W874" s="6" t="str">
        <v>Monitors/Terminals;Computer Consulting Services;Operating Systems;Other Peripherals;Internet Services &amp; Software;Applications Software(Business</v>
      </c>
      <c r="X874" s="6" t="str">
        <v>Internet Services &amp; Software;Communication/Network Software</v>
      </c>
      <c r="Y874" s="6" t="str">
        <v>Communication/Network Software;Internet Services &amp; Software</v>
      </c>
      <c r="Z874" s="6" t="str">
        <v>Internet Services &amp; Software;Communication/Network Software</v>
      </c>
      <c r="AA874" s="6" t="str">
        <v>Internet Services &amp; Software;Other Peripherals;Monitors/Terminals;Computer Consulting Services;Operating Systems;Applications Software(Business</v>
      </c>
      <c r="AB874" s="6" t="str">
        <v>Monitors/Terminals;Other Peripherals;Computer Consulting Services;Applications Software(Business;Internet Services &amp; Software;Operating Systems</v>
      </c>
      <c r="AH874" s="6" t="str">
        <v>False</v>
      </c>
      <c r="AJ874" s="6" t="str">
        <v>Dismissed Rumor</v>
      </c>
      <c r="AM874" s="6" t="str">
        <v>Rumored Deal</v>
      </c>
      <c r="AO874" s="6" t="str">
        <v>ISRAEL - In October 2015, Microsoft Corp of the US was rumored to be planning to acquire Secure Islands Technologies Ltd, a Jerusalem-based provider of cyber security services. Terms were not disclosed but, according to sources close to the situation, the deal was valued at an estimated ILS 577.349 mil (USD 150 mil). The Current status of this deal is unknown.</v>
      </c>
    </row>
    <row r="875">
      <c r="A875" s="6" t="str">
        <v>594918</v>
      </c>
      <c r="B875" s="6" t="str">
        <v>United States</v>
      </c>
      <c r="C875" s="6" t="str">
        <v>Microsoft Corp</v>
      </c>
      <c r="D875" s="6" t="str">
        <v>Microsoft Corp</v>
      </c>
      <c r="F875" s="6" t="str">
        <v>United States</v>
      </c>
      <c r="G875" s="6" t="str">
        <v>Mobile Data Labs Inc</v>
      </c>
      <c r="H875" s="6" t="str">
        <v>Prepackaged Software</v>
      </c>
      <c r="I875" s="6" t="str">
        <v>1E3197</v>
      </c>
      <c r="J875" s="6" t="str">
        <v>Mobile Data Labs Inc</v>
      </c>
      <c r="K875" s="6" t="str">
        <v>Mobile Data Labs Inc</v>
      </c>
      <c r="L875" s="7">
        <f>=DATE(2015,11,5)</f>
        <v>42312.99949074074</v>
      </c>
      <c r="M875" s="7">
        <f>=DATE(2015,11,5)</f>
        <v>42312.99949074074</v>
      </c>
      <c r="W875" s="6" t="str">
        <v>Other Peripherals;Operating Systems;Internet Services &amp; Software;Applications Software(Business;Computer Consulting Services;Monitors/Terminals</v>
      </c>
      <c r="X875" s="6" t="str">
        <v>Applications Software(Business;Communication/Network Software;Applications Software(Home)</v>
      </c>
      <c r="Y875" s="6" t="str">
        <v>Communication/Network Software;Applications Software(Business;Applications Software(Home)</v>
      </c>
      <c r="Z875" s="6" t="str">
        <v>Applications Software(Home);Applications Software(Business;Communication/Network Software</v>
      </c>
      <c r="AA875" s="6" t="str">
        <v>Applications Software(Business;Computer Consulting Services;Monitors/Terminals;Other Peripherals;Operating Systems;Internet Services &amp; Software</v>
      </c>
      <c r="AB875" s="6" t="str">
        <v>Computer Consulting Services;Internet Services &amp; Software;Applications Software(Business;Monitors/Terminals;Operating Systems;Other Peripherals</v>
      </c>
      <c r="AH875" s="6" t="str">
        <v>False</v>
      </c>
      <c r="AI875" s="6" t="str">
        <v>2015</v>
      </c>
      <c r="AJ875" s="6" t="str">
        <v>Completed</v>
      </c>
      <c r="AM875" s="6" t="str">
        <v>Not Applicable</v>
      </c>
      <c r="AO875" s="6" t="str">
        <v>US - Microsoft Corp acquired Mobile Data Labs Inc, a San Francisco-based developer of drive-detection mobile application. Terms were not disclosed.</v>
      </c>
    </row>
    <row r="876">
      <c r="A876" s="6" t="str">
        <v>73959W</v>
      </c>
      <c r="B876" s="6" t="str">
        <v>United States</v>
      </c>
      <c r="C876" s="6" t="str">
        <v>PowerSchool Group LLC</v>
      </c>
      <c r="D876" s="6" t="str">
        <v>PowerSchool Holdings Inc</v>
      </c>
      <c r="F876" s="6" t="str">
        <v>United States</v>
      </c>
      <c r="G876" s="6" t="str">
        <v>InfoSnap Inc</v>
      </c>
      <c r="H876" s="6" t="str">
        <v>Business Services</v>
      </c>
      <c r="I876" s="6" t="str">
        <v>1E4035</v>
      </c>
      <c r="J876" s="6" t="str">
        <v>InfoSnap Inc</v>
      </c>
      <c r="K876" s="6" t="str">
        <v>InfoSnap Inc</v>
      </c>
      <c r="L876" s="7">
        <f>=DATE(2015,11,5)</f>
        <v>42312.99949074074</v>
      </c>
      <c r="M876" s="7">
        <f>=DATE(2015,11,5)</f>
        <v>42312.99949074074</v>
      </c>
      <c r="S876" s="8">
        <v>5.2</v>
      </c>
      <c r="W876" s="6" t="str">
        <v>Other Software (inq. Games)</v>
      </c>
      <c r="X876" s="6" t="str">
        <v>Internet Services &amp; Software</v>
      </c>
      <c r="Y876" s="6" t="str">
        <v>Internet Services &amp; Software</v>
      </c>
      <c r="Z876" s="6" t="str">
        <v>Internet Services &amp; Software</v>
      </c>
      <c r="AA876" s="6" t="str">
        <v>Utilities/File Mgmt Software;Applications Software(Business;Internet Services &amp; Software;Primary Business not Hi-Tech;Applications Software(Home);Desktop Publishing;Communication/Network Software;Other Software (inq. Games)</v>
      </c>
      <c r="AB876" s="6" t="str">
        <v>Applications Software(Business;Desktop Publishing;Other Software (inq. Games);Primary Business not Hi-Tech;Applications Software(Home);Utilities/File Mgmt Software;Communication/Network Software;Internet Services &amp; Software</v>
      </c>
      <c r="AH876" s="6" t="str">
        <v>True</v>
      </c>
      <c r="AI876" s="6" t="str">
        <v>2015</v>
      </c>
      <c r="AJ876" s="6" t="str">
        <v>Completed</v>
      </c>
      <c r="AM876" s="6" t="str">
        <v>Not Applicable</v>
      </c>
      <c r="AO876" s="6" t="str">
        <v>US - PowerSchool Group LLC acquired InfoSnap Inc, a Bethesda-based provider of cloud-based registration management solutions.</v>
      </c>
    </row>
    <row r="877">
      <c r="A877" s="6" t="str">
        <v>38259P</v>
      </c>
      <c r="B877" s="6" t="str">
        <v>United States</v>
      </c>
      <c r="C877" s="6" t="str">
        <v>Google Inc</v>
      </c>
      <c r="D877" s="6" t="str">
        <v>Alphabet Inc</v>
      </c>
      <c r="F877" s="6" t="str">
        <v>United States</v>
      </c>
      <c r="G877" s="6" t="str">
        <v>Fly Labs Inc</v>
      </c>
      <c r="H877" s="6" t="str">
        <v>Prepackaged Software</v>
      </c>
      <c r="I877" s="6" t="str">
        <v>1E3438</v>
      </c>
      <c r="J877" s="6" t="str">
        <v>Fly Labs Inc</v>
      </c>
      <c r="K877" s="6" t="str">
        <v>Fly Labs Inc</v>
      </c>
      <c r="L877" s="7">
        <f>=DATE(2015,11,7)</f>
        <v>42314.99949074074</v>
      </c>
      <c r="M877" s="7">
        <f>=DATE(2015,11,7)</f>
        <v>42314.99949074074</v>
      </c>
      <c r="W877" s="6" t="str">
        <v>Programming Services;Internet Services &amp; Software</v>
      </c>
      <c r="X877" s="6" t="str">
        <v>Applications Software(Business;Communication/Network Software;Applications Software(Home)</v>
      </c>
      <c r="Y877" s="6" t="str">
        <v>Applications Software(Home);Applications Software(Business;Communication/Network Software</v>
      </c>
      <c r="Z877" s="6" t="str">
        <v>Applications Software(Business;Communication/Network Software;Applications Software(Home)</v>
      </c>
      <c r="AA877" s="6" t="str">
        <v>Internet Services &amp; Software;Computer Consulting Services;Primary Business not Hi-Tech;Telecommunications Equipment;Programming Services</v>
      </c>
      <c r="AB877" s="6" t="str">
        <v>Programming Services;Primary Business not Hi-Tech;Telecommunications Equipment;Computer Consulting Services;Internet Services &amp; Software</v>
      </c>
      <c r="AH877" s="6" t="str">
        <v>False</v>
      </c>
      <c r="AI877" s="6" t="str">
        <v>2015</v>
      </c>
      <c r="AJ877" s="6" t="str">
        <v>Completed</v>
      </c>
      <c r="AM877" s="6" t="str">
        <v>Not Applicable</v>
      </c>
      <c r="AO877" s="6" t="str">
        <v>US - Google Inc, a unit of Alphabet Inc, acquired Fly Labs Inc, a Brooklyn,-based developer of mobile photo and video editing applications. Terms were not disclosed.</v>
      </c>
    </row>
    <row r="878">
      <c r="A878" s="6" t="str">
        <v>037833</v>
      </c>
      <c r="B878" s="6" t="str">
        <v>United States</v>
      </c>
      <c r="C878" s="6" t="str">
        <v>Apple Inc</v>
      </c>
      <c r="D878" s="6" t="str">
        <v>Apple Inc</v>
      </c>
      <c r="F878" s="6" t="str">
        <v>United States</v>
      </c>
      <c r="G878" s="6" t="str">
        <v>Box Inc</v>
      </c>
      <c r="H878" s="6" t="str">
        <v>Prepackaged Software</v>
      </c>
      <c r="I878" s="6" t="str">
        <v>10316T</v>
      </c>
      <c r="J878" s="6" t="str">
        <v>Box Inc</v>
      </c>
      <c r="K878" s="6" t="str">
        <v>Box Inc</v>
      </c>
      <c r="L878" s="7">
        <f>=DATE(2015,11,19)</f>
        <v>42326.99949074074</v>
      </c>
      <c r="R878" s="8">
        <v>-199.308</v>
      </c>
      <c r="S878" s="8">
        <v>280.361</v>
      </c>
      <c r="T878" s="8">
        <v>193.76</v>
      </c>
      <c r="U878" s="8">
        <v>-82.495</v>
      </c>
      <c r="V878" s="8">
        <v>-86.775</v>
      </c>
      <c r="W878" s="6" t="str">
        <v>Portable Computers;Disk Drives;Printers;Micro-Computers (PCs);Other Peripherals;Mainframes &amp; Super Computers;Monitors/Terminals;Other Software (inq. Games)</v>
      </c>
      <c r="X878" s="6" t="str">
        <v>Other Software (inq. Games)</v>
      </c>
      <c r="Y878" s="6" t="str">
        <v>Other Software (inq. Games)</v>
      </c>
      <c r="Z878" s="6" t="str">
        <v>Other Software (inq. Games)</v>
      </c>
      <c r="AA878" s="6" t="str">
        <v>Printers;Disk Drives;Other Software (inq. Games);Other Peripherals;Micro-Computers (PCs);Mainframes &amp; Super Computers;Portable Computers;Monitors/Terminals</v>
      </c>
      <c r="AB878" s="6" t="str">
        <v>Micro-Computers (PCs);Other Peripherals;Other Software (inq. Games);Mainframes &amp; Super Computers;Disk Drives;Portable Computers;Printers;Monitors/Terminals</v>
      </c>
      <c r="AH878" s="6" t="str">
        <v>True</v>
      </c>
      <c r="AJ878" s="6" t="str">
        <v>Dismissed Rumor</v>
      </c>
      <c r="AM878" s="6" t="str">
        <v>Rumored Deal</v>
      </c>
      <c r="AN878" s="8">
        <v>19.666</v>
      </c>
      <c r="AO878" s="6" t="str">
        <v>US - Apple Inc was rumored to be planning to acquire Box Inc, a Los Altos-based software publisher. The Current status of this deal is unknown.</v>
      </c>
    </row>
    <row r="879">
      <c r="A879" s="6" t="str">
        <v>38259P</v>
      </c>
      <c r="B879" s="6" t="str">
        <v>United States</v>
      </c>
      <c r="C879" s="6" t="str">
        <v>Google Inc</v>
      </c>
      <c r="D879" s="6" t="str">
        <v>Alphabet Inc</v>
      </c>
      <c r="F879" s="6" t="str">
        <v>United States</v>
      </c>
      <c r="G879" s="6" t="str">
        <v>Bebop Technology LLC</v>
      </c>
      <c r="H879" s="6" t="str">
        <v>Prepackaged Software</v>
      </c>
      <c r="I879" s="6" t="str">
        <v>1E6853</v>
      </c>
      <c r="J879" s="6" t="str">
        <v>Bebop Technology LLC</v>
      </c>
      <c r="K879" s="6" t="str">
        <v>Bebop Technology LLC</v>
      </c>
      <c r="L879" s="7">
        <f>=DATE(2015,11,19)</f>
        <v>42326.99949074074</v>
      </c>
      <c r="M879" s="7">
        <f>=DATE(2015,12,17)</f>
        <v>42354.99949074074</v>
      </c>
      <c r="N879" s="8">
        <v>380.241</v>
      </c>
      <c r="O879" s="8">
        <v>380.241</v>
      </c>
      <c r="W879" s="6" t="str">
        <v>Programming Services;Internet Services &amp; Software</v>
      </c>
      <c r="X879" s="6" t="str">
        <v>Other Software (inq. Games)</v>
      </c>
      <c r="Y879" s="6" t="str">
        <v>Other Software (inq. Games)</v>
      </c>
      <c r="Z879" s="6" t="str">
        <v>Other Software (inq. Games)</v>
      </c>
      <c r="AA879" s="6" t="str">
        <v>Telecommunications Equipment;Computer Consulting Services;Programming Services;Primary Business not Hi-Tech;Internet Services &amp; Software</v>
      </c>
      <c r="AB879" s="6" t="str">
        <v>Telecommunications Equipment;Internet Services &amp; Software;Primary Business not Hi-Tech;Computer Consulting Services;Programming Services</v>
      </c>
      <c r="AC879" s="8">
        <v>380.241</v>
      </c>
      <c r="AD879" s="7">
        <f>=DATE(2015,12,17)</f>
        <v>42354.99949074074</v>
      </c>
      <c r="AH879" s="6" t="str">
        <v>False</v>
      </c>
      <c r="AI879" s="6" t="str">
        <v>2015</v>
      </c>
      <c r="AJ879" s="6" t="str">
        <v>Completed</v>
      </c>
      <c r="AM879" s="6" t="str">
        <v>Not Applicable</v>
      </c>
      <c r="AO879" s="6" t="str">
        <v>US - Google Inc, a unit of Alphabet Inc, acquired bebop Technologies Inc, a Los Altos-based developer of enterprise software, for USD 380.241 mil.</v>
      </c>
    </row>
    <row r="880">
      <c r="A880" s="6" t="str">
        <v>037833</v>
      </c>
      <c r="B880" s="6" t="str">
        <v>United States</v>
      </c>
      <c r="C880" s="6" t="str">
        <v>Apple Inc</v>
      </c>
      <c r="D880" s="6" t="str">
        <v>Apple Inc</v>
      </c>
      <c r="F880" s="6" t="str">
        <v>United States</v>
      </c>
      <c r="G880" s="6" t="str">
        <v>Apple Inc</v>
      </c>
      <c r="H880" s="6" t="str">
        <v>Computer and Office Equipment</v>
      </c>
      <c r="I880" s="6" t="str">
        <v>037833</v>
      </c>
      <c r="J880" s="6" t="str">
        <v>Apple Inc</v>
      </c>
      <c r="K880" s="6" t="str">
        <v>Apple Inc</v>
      </c>
      <c r="L880" s="7">
        <f>=DATE(2015,11,30)</f>
        <v>42337.99949074074</v>
      </c>
      <c r="M880" s="7">
        <f>=DATE(2016,4,30)</f>
        <v>42489.99949074074</v>
      </c>
      <c r="N880" s="8">
        <v>3000</v>
      </c>
      <c r="O880" s="8">
        <v>3000</v>
      </c>
      <c r="P880" s="8" t="str">
        <v>597,203.18</v>
      </c>
      <c r="R880" s="8">
        <v>53394</v>
      </c>
      <c r="S880" s="8">
        <v>233715</v>
      </c>
      <c r="T880" s="8">
        <v>-17716</v>
      </c>
      <c r="U880" s="8">
        <v>-56274</v>
      </c>
      <c r="V880" s="8">
        <v>81266</v>
      </c>
      <c r="W880" s="6" t="str">
        <v>Mainframes &amp; Super Computers;Disk Drives;Printers;Monitors/Terminals;Other Software (inq. Games);Portable Computers;Micro-Computers (PCs);Other Peripherals</v>
      </c>
      <c r="X880" s="6" t="str">
        <v>Printers;Other Peripherals;Disk Drives;Micro-Computers (PCs);Other Software (inq. Games);Portable Computers;Monitors/Terminals;Mainframes &amp; Super Computers</v>
      </c>
      <c r="Y880" s="6" t="str">
        <v>Printers;Micro-Computers (PCs);Monitors/Terminals;Disk Drives;Other Peripherals;Other Software (inq. Games);Portable Computers;Mainframes &amp; Super Computers</v>
      </c>
      <c r="Z880" s="6" t="str">
        <v>Portable Computers;Other Peripherals;Monitors/Terminals;Micro-Computers (PCs);Disk Drives;Mainframes &amp; Super Computers;Other Software (inq. Games);Printers</v>
      </c>
      <c r="AA880" s="6" t="str">
        <v>Monitors/Terminals;Micro-Computers (PCs);Printers;Other Software (inq. Games);Other Peripherals;Mainframes &amp; Super Computers;Disk Drives;Portable Computers</v>
      </c>
      <c r="AB880" s="6" t="str">
        <v>Portable Computers;Other Software (inq. Games);Disk Drives;Micro-Computers (PCs);Monitors/Terminals;Other Peripherals;Mainframes &amp; Super Computers;Printers</v>
      </c>
      <c r="AC880" s="8">
        <v>3000</v>
      </c>
      <c r="AD880" s="7">
        <f>=DATE(2015,11,30)</f>
        <v>42337.99949074074</v>
      </c>
      <c r="AF880" s="8" t="str">
        <v>597,203.18</v>
      </c>
      <c r="AG880" s="8" t="str">
        <v>597,203.18</v>
      </c>
      <c r="AH880" s="6" t="str">
        <v>True</v>
      </c>
      <c r="AI880" s="6" t="str">
        <v>2016</v>
      </c>
      <c r="AJ880" s="6" t="str">
        <v>Completed</v>
      </c>
      <c r="AL880" s="8">
        <v>29.122</v>
      </c>
      <c r="AM880" s="6" t="str">
        <v>Open Market Purchase;Repurchase</v>
      </c>
      <c r="AN880" s="8">
        <v>9009</v>
      </c>
      <c r="AO880" s="6" t="str">
        <v>US - On 30 Nov 2015, the board of Apple Inc, a Cupertino-based manufacturer and wholesaler of mobile communication and media devices, authorized the repurchase of USD 3 bil of the company's entire share capital, in an accelerated buyback transaction.</v>
      </c>
    </row>
    <row r="881">
      <c r="A881" s="6" t="str">
        <v>594918</v>
      </c>
      <c r="B881" s="6" t="str">
        <v>United States</v>
      </c>
      <c r="C881" s="6" t="str">
        <v>Microsoft Corp</v>
      </c>
      <c r="D881" s="6" t="str">
        <v>Microsoft Corp</v>
      </c>
      <c r="F881" s="6" t="str">
        <v>United States</v>
      </c>
      <c r="G881" s="6" t="str">
        <v>Metanautix Inc</v>
      </c>
      <c r="H881" s="6" t="str">
        <v>Prepackaged Software</v>
      </c>
      <c r="I881" s="6" t="str">
        <v>2E5770</v>
      </c>
      <c r="J881" s="6" t="str">
        <v>Metanautix Inc</v>
      </c>
      <c r="K881" s="6" t="str">
        <v>Metanautix Inc</v>
      </c>
      <c r="L881" s="7">
        <f>=DATE(2015,12,18)</f>
        <v>42355.99949074074</v>
      </c>
      <c r="M881" s="7">
        <f>=DATE(2015,12,18)</f>
        <v>42355.99949074074</v>
      </c>
      <c r="W881" s="6" t="str">
        <v>Internet Services &amp; Software;Monitors/Terminals;Operating Systems;Applications Software(Business;Computer Consulting Services;Other Peripherals</v>
      </c>
      <c r="X881" s="6" t="str">
        <v>Applications Software(Business</v>
      </c>
      <c r="Y881" s="6" t="str">
        <v>Applications Software(Business</v>
      </c>
      <c r="Z881" s="6" t="str">
        <v>Applications Software(Business</v>
      </c>
      <c r="AA881" s="6" t="str">
        <v>Monitors/Terminals;Computer Consulting Services;Internet Services &amp; Software;Applications Software(Business;Other Peripherals;Operating Systems</v>
      </c>
      <c r="AB881" s="6" t="str">
        <v>Monitors/Terminals;Applications Software(Business;Computer Consulting Services;Operating Systems;Other Peripherals;Internet Services &amp; Software</v>
      </c>
      <c r="AH881" s="6" t="str">
        <v>False</v>
      </c>
      <c r="AI881" s="6" t="str">
        <v>2015</v>
      </c>
      <c r="AJ881" s="6" t="str">
        <v>Completed</v>
      </c>
      <c r="AM881" s="6" t="str">
        <v>Not Applicable</v>
      </c>
      <c r="AO881" s="6" t="str">
        <v>US - Microsoft Corp acquired Metanautix Inc, a Palo Alto-based software publisher. Terms of the deal were not disclosed.</v>
      </c>
    </row>
    <row r="882">
      <c r="A882" s="6" t="str">
        <v>594918</v>
      </c>
      <c r="B882" s="6" t="str">
        <v>United States</v>
      </c>
      <c r="C882" s="6" t="str">
        <v>Microsoft Corp</v>
      </c>
      <c r="D882" s="6" t="str">
        <v>Microsoft Corp</v>
      </c>
      <c r="F882" s="6" t="str">
        <v>United States</v>
      </c>
      <c r="G882" s="6" t="str">
        <v>Talko Inc</v>
      </c>
      <c r="H882" s="6" t="str">
        <v>Prepackaged Software</v>
      </c>
      <c r="I882" s="6" t="str">
        <v>2E4117</v>
      </c>
      <c r="J882" s="6" t="str">
        <v>Talko Inc</v>
      </c>
      <c r="K882" s="6" t="str">
        <v>Talko Inc</v>
      </c>
      <c r="L882" s="7">
        <f>=DATE(2015,12,21)</f>
        <v>42358.99949074074</v>
      </c>
      <c r="M882" s="7">
        <f>=DATE(2015,12,21)</f>
        <v>42358.99949074074</v>
      </c>
      <c r="W882" s="6" t="str">
        <v>Operating Systems;Computer Consulting Services;Other Peripherals;Applications Software(Business;Monitors/Terminals;Internet Services &amp; Software</v>
      </c>
      <c r="X882" s="6" t="str">
        <v>Applications Software(Business;Applications Software(Home);Communication/Network Software</v>
      </c>
      <c r="Y882" s="6" t="str">
        <v>Applications Software(Business;Applications Software(Home);Communication/Network Software</v>
      </c>
      <c r="Z882" s="6" t="str">
        <v>Communication/Network Software;Applications Software(Home);Applications Software(Business</v>
      </c>
      <c r="AA882" s="6" t="str">
        <v>Other Peripherals;Operating Systems;Monitors/Terminals;Applications Software(Business;Computer Consulting Services;Internet Services &amp; Software</v>
      </c>
      <c r="AB882" s="6" t="str">
        <v>Internet Services &amp; Software;Monitors/Terminals;Applications Software(Business;Operating Systems;Other Peripherals;Computer Consulting Services</v>
      </c>
      <c r="AH882" s="6" t="str">
        <v>False</v>
      </c>
      <c r="AI882" s="6" t="str">
        <v>2015</v>
      </c>
      <c r="AJ882" s="6" t="str">
        <v>Completed</v>
      </c>
      <c r="AM882" s="6" t="str">
        <v>Not Applicable</v>
      </c>
      <c r="AO882" s="6" t="str">
        <v>US - Microsoft Corp acquired Talko Inc, a Manchester-based developer of mobile application software.</v>
      </c>
    </row>
    <row r="883">
      <c r="A883" s="6" t="str">
        <v>00507V</v>
      </c>
      <c r="B883" s="6" t="str">
        <v>United States</v>
      </c>
      <c r="C883" s="6" t="str">
        <v>Activision Blizzard Inc</v>
      </c>
      <c r="D883" s="6" t="str">
        <v>Activision Blizzard Inc</v>
      </c>
      <c r="F883" s="6" t="str">
        <v>United States</v>
      </c>
      <c r="G883" s="6" t="str">
        <v>Major League Gaming Inc</v>
      </c>
      <c r="H883" s="6" t="str">
        <v>Amusement and Recreation Services</v>
      </c>
      <c r="I883" s="6" t="str">
        <v>56115Y</v>
      </c>
      <c r="J883" s="6" t="str">
        <v>Major League Gaming Inc</v>
      </c>
      <c r="K883" s="6" t="str">
        <v>Major League Gaming Inc</v>
      </c>
      <c r="L883" s="7">
        <f>=DATE(2016,1,4)</f>
        <v>42372.99949074074</v>
      </c>
      <c r="M883" s="7">
        <f>=DATE(2016,1,4)</f>
        <v>42372.99949074074</v>
      </c>
      <c r="W883" s="6" t="str">
        <v>Operating Systems;Other Software (inq. Games);Other Computer Systems</v>
      </c>
      <c r="X883" s="6" t="str">
        <v>Other Software (inq. Games);Communication/Network Software;Internet Services &amp; Software</v>
      </c>
      <c r="Y883" s="6" t="str">
        <v>Communication/Network Software;Internet Services &amp; Software;Other Software (inq. Games)</v>
      </c>
      <c r="Z883" s="6" t="str">
        <v>Communication/Network Software;Other Software (inq. Games);Internet Services &amp; Software</v>
      </c>
      <c r="AA883" s="6" t="str">
        <v>Other Computer Systems;Operating Systems;Other Software (inq. Games)</v>
      </c>
      <c r="AB883" s="6" t="str">
        <v>Other Computer Systems;Operating Systems;Other Software (inq. Games)</v>
      </c>
      <c r="AH883" s="6" t="str">
        <v>True</v>
      </c>
      <c r="AI883" s="6" t="str">
        <v>2016</v>
      </c>
      <c r="AJ883" s="6" t="str">
        <v>Completed</v>
      </c>
      <c r="AM883" s="6" t="str">
        <v>Not Applicable</v>
      </c>
      <c r="AO883" s="6" t="str">
        <v>US - Activision Blizzard Inc acquired Major League Gaming Inc, a New York-based provider of online gaming services.</v>
      </c>
    </row>
    <row r="884">
      <c r="A884" s="6" t="str">
        <v>037833</v>
      </c>
      <c r="B884" s="6" t="str">
        <v>United States</v>
      </c>
      <c r="C884" s="6" t="str">
        <v>Apple Inc</v>
      </c>
      <c r="D884" s="6" t="str">
        <v>Apple Inc</v>
      </c>
      <c r="F884" s="6" t="str">
        <v>United States</v>
      </c>
      <c r="G884" s="6" t="str">
        <v>Emotient Inc</v>
      </c>
      <c r="H884" s="6" t="str">
        <v>Prepackaged Software</v>
      </c>
      <c r="I884" s="6" t="str">
        <v>2E9669</v>
      </c>
      <c r="J884" s="6" t="str">
        <v>Emotient Inc</v>
      </c>
      <c r="K884" s="6" t="str">
        <v>Emotient Inc</v>
      </c>
      <c r="L884" s="7">
        <f>=DATE(2016,1,7)</f>
        <v>42375.99949074074</v>
      </c>
      <c r="M884" s="7">
        <f>=DATE(2016,1,7)</f>
        <v>42375.99949074074</v>
      </c>
      <c r="W884" s="6" t="str">
        <v>Micro-Computers (PCs);Disk Drives;Mainframes &amp; Super Computers;Portable Computers;Monitors/Terminals;Other Peripherals;Other Software (inq. Games);Printers</v>
      </c>
      <c r="X884" s="6" t="str">
        <v>Other Software (inq. Games)</v>
      </c>
      <c r="Y884" s="6" t="str">
        <v>Other Software (inq. Games)</v>
      </c>
      <c r="Z884" s="6" t="str">
        <v>Other Software (inq. Games)</v>
      </c>
      <c r="AA884" s="6" t="str">
        <v>Other Peripherals;Mainframes &amp; Super Computers;Monitors/Terminals;Other Software (inq. Games);Disk Drives;Micro-Computers (PCs);Portable Computers;Printers</v>
      </c>
      <c r="AB884" s="6" t="str">
        <v>Micro-Computers (PCs);Portable Computers;Monitors/Terminals;Other Peripherals;Other Software (inq. Games);Printers;Disk Drives;Mainframes &amp; Super Computers</v>
      </c>
      <c r="AH884" s="6" t="str">
        <v>False</v>
      </c>
      <c r="AI884" s="6" t="str">
        <v>2016</v>
      </c>
      <c r="AJ884" s="6" t="str">
        <v>Completed</v>
      </c>
      <c r="AM884" s="6" t="str">
        <v>Not Applicable</v>
      </c>
      <c r="AO884" s="6" t="str">
        <v>US - Apple Inc acquired Emotient Inc, a San Diego-based developer of emotion detection software.</v>
      </c>
    </row>
    <row r="885">
      <c r="A885" s="6" t="str">
        <v>594918</v>
      </c>
      <c r="B885" s="6" t="str">
        <v>United States</v>
      </c>
      <c r="C885" s="6" t="str">
        <v>Microsoft Corp</v>
      </c>
      <c r="D885" s="6" t="str">
        <v>Microsoft Corp</v>
      </c>
      <c r="F885" s="6" t="str">
        <v>Australia</v>
      </c>
      <c r="G885" s="6" t="str">
        <v>Event Zero Pty Ltd-UC Commander</v>
      </c>
      <c r="H885" s="6" t="str">
        <v>Prepackaged Software</v>
      </c>
      <c r="I885" s="6" t="str">
        <v>3E3223</v>
      </c>
      <c r="J885" s="6" t="str">
        <v>Event Zero Pty Ltd</v>
      </c>
      <c r="K885" s="6" t="str">
        <v>Event Zero Pty Ltd</v>
      </c>
      <c r="L885" s="7">
        <f>=DATE(2016,1,13)</f>
        <v>42381.99949074074</v>
      </c>
      <c r="M885" s="7">
        <f>=DATE(2016,1,13)</f>
        <v>42381.99949074074</v>
      </c>
      <c r="W885" s="6" t="str">
        <v>Monitors/Terminals;Computer Consulting Services;Operating Systems;Applications Software(Business;Other Peripherals;Internet Services &amp; Software</v>
      </c>
      <c r="X885" s="6" t="str">
        <v>Applications Software(Business</v>
      </c>
      <c r="Y885" s="6" t="str">
        <v>Applications Software(Business</v>
      </c>
      <c r="Z885" s="6" t="str">
        <v>Applications Software(Business</v>
      </c>
      <c r="AA885" s="6" t="str">
        <v>Operating Systems;Computer Consulting Services;Internet Services &amp; Software;Other Peripherals;Applications Software(Business;Monitors/Terminals</v>
      </c>
      <c r="AB885" s="6" t="str">
        <v>Computer Consulting Services;Monitors/Terminals;Internet Services &amp; Software;Applications Software(Business;Other Peripherals;Operating Systems</v>
      </c>
      <c r="AH885" s="6" t="str">
        <v>False</v>
      </c>
      <c r="AI885" s="6" t="str">
        <v>2016</v>
      </c>
      <c r="AJ885" s="6" t="str">
        <v>Completed</v>
      </c>
      <c r="AM885" s="6" t="str">
        <v>Divestiture</v>
      </c>
      <c r="AO885" s="6" t="str">
        <v>AUSTRALIA - Microsoft Corp of the US acquired UC Commander of Event Zero Pty Ltd, an Underwood, Queensland-based independent software vendor.</v>
      </c>
    </row>
    <row r="886">
      <c r="A886" s="6" t="str">
        <v>037833</v>
      </c>
      <c r="B886" s="6" t="str">
        <v>United States</v>
      </c>
      <c r="C886" s="6" t="str">
        <v>Apple Inc</v>
      </c>
      <c r="D886" s="6" t="str">
        <v>Apple Inc</v>
      </c>
      <c r="F886" s="6" t="str">
        <v>United States</v>
      </c>
      <c r="G886" s="6" t="str">
        <v>LearnSprout Inc</v>
      </c>
      <c r="H886" s="6" t="str">
        <v>Business Services</v>
      </c>
      <c r="I886" s="6" t="str">
        <v>3E2694</v>
      </c>
      <c r="J886" s="6" t="str">
        <v>LearnSprout Inc</v>
      </c>
      <c r="K886" s="6" t="str">
        <v>LearnSprout Inc</v>
      </c>
      <c r="L886" s="7">
        <f>=DATE(2016,1,28)</f>
        <v>42396.99949074074</v>
      </c>
      <c r="M886" s="7">
        <f>=DATE(2016,1,28)</f>
        <v>42396.99949074074</v>
      </c>
      <c r="W886" s="6" t="str">
        <v>Mainframes &amp; Super Computers;Disk Drives;Other Peripherals;Printers;Monitors/Terminals;Other Software (inq. Games);Portable Computers;Micro-Computers (PCs)</v>
      </c>
      <c r="X886" s="6" t="str">
        <v>Data Processing Services;Communication/Network Software</v>
      </c>
      <c r="Y886" s="6" t="str">
        <v>Communication/Network Software;Data Processing Services</v>
      </c>
      <c r="Z886" s="6" t="str">
        <v>Data Processing Services;Communication/Network Software</v>
      </c>
      <c r="AA886" s="6" t="str">
        <v>Other Software (inq. Games);Monitors/Terminals;Mainframes &amp; Super Computers;Printers;Micro-Computers (PCs);Disk Drives;Other Peripherals;Portable Computers</v>
      </c>
      <c r="AB886" s="6" t="str">
        <v>Other Peripherals;Other Software (inq. Games);Portable Computers;Printers;Monitors/Terminals;Mainframes &amp; Super Computers;Disk Drives;Micro-Computers (PCs)</v>
      </c>
      <c r="AH886" s="6" t="str">
        <v>False</v>
      </c>
      <c r="AI886" s="6" t="str">
        <v>2016</v>
      </c>
      <c r="AJ886" s="6" t="str">
        <v>Completed</v>
      </c>
      <c r="AM886" s="6" t="str">
        <v>Not Applicable</v>
      </c>
      <c r="AO886" s="6" t="str">
        <v>US - Apple Inc acquired LearnSprout Inc, a San Francisco-based online data insights service for K-12 educators.  Terms of the transaction were not disclosed.</v>
      </c>
    </row>
    <row r="887">
      <c r="A887" s="6" t="str">
        <v>037833</v>
      </c>
      <c r="B887" s="6" t="str">
        <v>United States</v>
      </c>
      <c r="C887" s="6" t="str">
        <v>Apple Inc</v>
      </c>
      <c r="D887" s="6" t="str">
        <v>Apple Inc</v>
      </c>
      <c r="F887" s="6" t="str">
        <v>United States</v>
      </c>
      <c r="G887" s="6" t="str">
        <v>Flyby Media Inc</v>
      </c>
      <c r="H887" s="6" t="str">
        <v>Prepackaged Software</v>
      </c>
      <c r="I887" s="6" t="str">
        <v>3E2927</v>
      </c>
      <c r="J887" s="6" t="str">
        <v>Flyby Media Inc</v>
      </c>
      <c r="K887" s="6" t="str">
        <v>Flyby Media Inc</v>
      </c>
      <c r="L887" s="7">
        <f>=DATE(2016,1,29)</f>
        <v>42397.99949074074</v>
      </c>
      <c r="M887" s="7">
        <f>=DATE(2016,1,29)</f>
        <v>42397.99949074074</v>
      </c>
      <c r="S887" s="8">
        <v>1</v>
      </c>
      <c r="W887" s="6" t="str">
        <v>Mainframes &amp; Super Computers;Other Peripherals;Printers;Monitors/Terminals;Disk Drives;Portable Computers;Micro-Computers (PCs);Other Software (inq. Games)</v>
      </c>
      <c r="X887" s="6" t="str">
        <v>Applications Software(Business;Applications Software(Home);Communication/Network Software</v>
      </c>
      <c r="Y887" s="6" t="str">
        <v>Applications Software(Home);Applications Software(Business;Communication/Network Software</v>
      </c>
      <c r="Z887" s="6" t="str">
        <v>Applications Software(Home);Applications Software(Business;Communication/Network Software</v>
      </c>
      <c r="AA887" s="6" t="str">
        <v>Portable Computers;Other Peripherals;Mainframes &amp; Super Computers;Monitors/Terminals;Printers;Micro-Computers (PCs);Other Software (inq. Games);Disk Drives</v>
      </c>
      <c r="AB887" s="6" t="str">
        <v>Disk Drives;Mainframes &amp; Super Computers;Portable Computers;Other Peripherals;Printers;Micro-Computers (PCs);Other Software (inq. Games);Monitors/Terminals</v>
      </c>
      <c r="AH887" s="6" t="str">
        <v>True</v>
      </c>
      <c r="AI887" s="6" t="str">
        <v>2016</v>
      </c>
      <c r="AJ887" s="6" t="str">
        <v>Completed</v>
      </c>
      <c r="AM887" s="6" t="str">
        <v>Not Applicable</v>
      </c>
      <c r="AO887" s="6" t="str">
        <v>US - Apple Inc acquired Flyby Media Inc, a New York-based reproducer of software.</v>
      </c>
    </row>
    <row r="888">
      <c r="A888" s="6" t="str">
        <v>037833</v>
      </c>
      <c r="B888" s="6" t="str">
        <v>United States</v>
      </c>
      <c r="C888" s="6" t="str">
        <v>Apple Inc</v>
      </c>
      <c r="D888" s="6" t="str">
        <v>Apple Inc</v>
      </c>
      <c r="F888" s="6" t="str">
        <v>United States</v>
      </c>
      <c r="G888" s="6" t="str">
        <v>Legbacore LLC</v>
      </c>
      <c r="H888" s="6" t="str">
        <v>Prepackaged Software</v>
      </c>
      <c r="I888" s="6" t="str">
        <v>0L2648</v>
      </c>
      <c r="J888" s="6" t="str">
        <v>Legbacore LLC</v>
      </c>
      <c r="K888" s="6" t="str">
        <v>Legbacore LLC</v>
      </c>
      <c r="L888" s="7">
        <f>=DATE(2016,2,3)</f>
        <v>42402.99949074074</v>
      </c>
      <c r="M888" s="7">
        <f>=DATE(2016,2,3)</f>
        <v>42402.99949074074</v>
      </c>
      <c r="W888" s="6" t="str">
        <v>Disk Drives;Micro-Computers (PCs);Mainframes &amp; Super Computers;Monitors/Terminals;Other Software (inq. Games);Portable Computers;Other Peripherals;Printers</v>
      </c>
      <c r="X888" s="6" t="str">
        <v>Desktop Publishing;Communication/Network Software;Applications Software(Business;Other Software (inq. Games);Utilities/File Mgmt Software;Applications Software(Home);Internet Services &amp; Software</v>
      </c>
      <c r="Y888" s="6" t="str">
        <v>Applications Software(Home);Applications Software(Business;Internet Services &amp; Software;Other Software (inq. Games);Communication/Network Software;Desktop Publishing;Utilities/File Mgmt Software</v>
      </c>
      <c r="Z888" s="6" t="str">
        <v>Other Software (inq. Games);Utilities/File Mgmt Software;Internet Services &amp; Software;Applications Software(Home);Applications Software(Business;Communication/Network Software;Desktop Publishing</v>
      </c>
      <c r="AA888" s="6" t="str">
        <v>Disk Drives;Mainframes &amp; Super Computers;Micro-Computers (PCs);Other Software (inq. Games);Portable Computers;Other Peripherals;Printers;Monitors/Terminals</v>
      </c>
      <c r="AB888" s="6" t="str">
        <v>Disk Drives;Monitors/Terminals;Micro-Computers (PCs);Other Software (inq. Games);Other Peripherals;Printers;Portable Computers;Mainframes &amp; Super Computers</v>
      </c>
      <c r="AH888" s="6" t="str">
        <v>True</v>
      </c>
      <c r="AI888" s="6" t="str">
        <v>2016</v>
      </c>
      <c r="AJ888" s="6" t="str">
        <v>Completed</v>
      </c>
      <c r="AM888" s="6" t="str">
        <v>Not Applicable</v>
      </c>
      <c r="AO888" s="6" t="str">
        <v>US - Apple Inc acquired Legbacore LLC, software publisher.</v>
      </c>
    </row>
    <row r="889">
      <c r="A889" s="6" t="str">
        <v>594918</v>
      </c>
      <c r="B889" s="6" t="str">
        <v>United States</v>
      </c>
      <c r="C889" s="6" t="str">
        <v>Microsoft Corp</v>
      </c>
      <c r="D889" s="6" t="str">
        <v>Microsoft Corp</v>
      </c>
      <c r="F889" s="6" t="str">
        <v>United Kingdom</v>
      </c>
      <c r="G889" s="6" t="str">
        <v>TouchType Ltd</v>
      </c>
      <c r="H889" s="6" t="str">
        <v>Prepackaged Software</v>
      </c>
      <c r="I889" s="6" t="str">
        <v>3E3335</v>
      </c>
      <c r="J889" s="6" t="str">
        <v>TouchType Ltd</v>
      </c>
      <c r="K889" s="6" t="str">
        <v>TouchType Ltd</v>
      </c>
      <c r="L889" s="7">
        <f>=DATE(2016,2,3)</f>
        <v>42402.99949074074</v>
      </c>
      <c r="M889" s="7">
        <f>=DATE(2016,2,3)</f>
        <v>42402.99949074074</v>
      </c>
      <c r="R889" s="8">
        <v>-11.1301067028238</v>
      </c>
      <c r="S889" s="8">
        <v>11.6135117608914</v>
      </c>
      <c r="W889" s="6" t="str">
        <v>Computer Consulting Services;Applications Software(Business;Monitors/Terminals;Operating Systems;Other Peripherals;Internet Services &amp; Software</v>
      </c>
      <c r="X889" s="6" t="str">
        <v>Applications Software(Business;Applications Software(Home);Communication/Network Software</v>
      </c>
      <c r="Y889" s="6" t="str">
        <v>Applications Software(Business;Applications Software(Home);Communication/Network Software</v>
      </c>
      <c r="Z889" s="6" t="str">
        <v>Applications Software(Home);Applications Software(Business;Communication/Network Software</v>
      </c>
      <c r="AA889" s="6" t="str">
        <v>Applications Software(Business;Internet Services &amp; Software;Other Peripherals;Operating Systems;Monitors/Terminals;Computer Consulting Services</v>
      </c>
      <c r="AB889" s="6" t="str">
        <v>Computer Consulting Services;Applications Software(Business;Monitors/Terminals;Operating Systems;Internet Services &amp; Software;Other Peripherals</v>
      </c>
      <c r="AD889" s="7">
        <f>=DATE(2016,2,3)</f>
        <v>42402.99949074074</v>
      </c>
      <c r="AH889" s="6" t="str">
        <v>True</v>
      </c>
      <c r="AI889" s="6" t="str">
        <v>2016</v>
      </c>
      <c r="AJ889" s="6" t="str">
        <v>Completed</v>
      </c>
      <c r="AM889" s="6" t="str">
        <v>Not Applicable</v>
      </c>
      <c r="AN889" s="8">
        <v>0.042740081353534</v>
      </c>
      <c r="AO889" s="6" t="str">
        <v>UK - Microsoft Corp of the US acquired TouchType Ltd, a London-based reproducer of software. The terms of the transaction were not disclosed, but according to sources close to the transaction, the value was estimated at GBP 250 mil (USD 360.25 mil).</v>
      </c>
    </row>
    <row r="890">
      <c r="A890" s="6" t="str">
        <v>73959W</v>
      </c>
      <c r="B890" s="6" t="str">
        <v>United States</v>
      </c>
      <c r="C890" s="6" t="str">
        <v>PowerSchool Group LLC</v>
      </c>
      <c r="D890" s="6" t="str">
        <v>PowerSchool Holdings Inc</v>
      </c>
      <c r="F890" s="6" t="str">
        <v>United States</v>
      </c>
      <c r="G890" s="6" t="str">
        <v>Interactive Achievement LLC</v>
      </c>
      <c r="H890" s="6" t="str">
        <v>Prepackaged Software</v>
      </c>
      <c r="I890" s="6" t="str">
        <v>3E4084</v>
      </c>
      <c r="J890" s="6" t="str">
        <v>Interactive Achievement LLC</v>
      </c>
      <c r="K890" s="6" t="str">
        <v>Interactive Achievement LLC</v>
      </c>
      <c r="L890" s="7">
        <f>=DATE(2016,2,3)</f>
        <v>42402.99949074074</v>
      </c>
      <c r="M890" s="7">
        <f>=DATE(2016,2,3)</f>
        <v>42402.99949074074</v>
      </c>
      <c r="W890" s="6" t="str">
        <v>Other Software (inq. Games)</v>
      </c>
      <c r="X890" s="6" t="str">
        <v>Communication/Network Software;Internet Services &amp; Software</v>
      </c>
      <c r="Y890" s="6" t="str">
        <v>Internet Services &amp; Software;Communication/Network Software</v>
      </c>
      <c r="Z890" s="6" t="str">
        <v>Communication/Network Software;Internet Services &amp; Software</v>
      </c>
      <c r="AA890" s="6" t="str">
        <v>Other Software (inq. Games);Internet Services &amp; Software;Desktop Publishing;Communication/Network Software;Utilities/File Mgmt Software;Primary Business not Hi-Tech;Applications Software(Business;Applications Software(Home)</v>
      </c>
      <c r="AB890" s="6" t="str">
        <v>Utilities/File Mgmt Software;Internet Services &amp; Software;Applications Software(Home);Other Software (inq. Games);Applications Software(Business;Primary Business not Hi-Tech;Desktop Publishing;Communication/Network Software</v>
      </c>
      <c r="AH890" s="6" t="str">
        <v>True</v>
      </c>
      <c r="AI890" s="6" t="str">
        <v>2016</v>
      </c>
      <c r="AJ890" s="6" t="str">
        <v>Completed</v>
      </c>
      <c r="AM890" s="6" t="str">
        <v>Asset Swap</v>
      </c>
      <c r="AO890" s="6" t="str">
        <v>US - PowerSchool Group LLC acquired Interactive Achievement LLC, a Virginia-based electronic learning program solution provider.</v>
      </c>
    </row>
    <row r="891">
      <c r="A891" s="6" t="str">
        <v>4C7902</v>
      </c>
      <c r="B891" s="6" t="str">
        <v>United States</v>
      </c>
      <c r="C891" s="6" t="str">
        <v>Amazon Web Services Inc</v>
      </c>
      <c r="D891" s="6" t="str">
        <v>Amazon.com Inc</v>
      </c>
      <c r="F891" s="6" t="str">
        <v>Italy</v>
      </c>
      <c r="G891" s="6" t="str">
        <v>NICE Srl</v>
      </c>
      <c r="H891" s="6" t="str">
        <v>Prepackaged Software</v>
      </c>
      <c r="I891" s="6" t="str">
        <v>2E6545</v>
      </c>
      <c r="J891" s="6" t="str">
        <v>NICE Srl</v>
      </c>
      <c r="K891" s="6" t="str">
        <v>NICE Srl</v>
      </c>
      <c r="L891" s="7">
        <f>=DATE(2016,2,12)</f>
        <v>42411.99949074074</v>
      </c>
      <c r="M891" s="7">
        <f>=DATE(2016,3,31)</f>
        <v>42459.99949074074</v>
      </c>
      <c r="R891" s="8">
        <v>-0.054300018462006</v>
      </c>
      <c r="S891" s="8">
        <v>5.0097197033047</v>
      </c>
      <c r="W891" s="6" t="str">
        <v>Computer Consulting Services;Data Processing Services;Internet Services &amp; Software;Other Computer Related Svcs;Primary Business not Hi-Tech</v>
      </c>
      <c r="X891" s="6" t="str">
        <v>Internet Services &amp; Software;Communication/Network Software</v>
      </c>
      <c r="Y891" s="6" t="str">
        <v>Communication/Network Software;Internet Services &amp; Software</v>
      </c>
      <c r="Z891" s="6" t="str">
        <v>Communication/Network Software;Internet Services &amp; Software</v>
      </c>
      <c r="AA891" s="6" t="str">
        <v>Primary Business not Hi-Tech</v>
      </c>
      <c r="AB891" s="6" t="str">
        <v>Primary Business not Hi-Tech</v>
      </c>
      <c r="AH891" s="6" t="str">
        <v>True</v>
      </c>
      <c r="AI891" s="6" t="str">
        <v>2016</v>
      </c>
      <c r="AJ891" s="6" t="str">
        <v>Completed</v>
      </c>
      <c r="AM891" s="6" t="str">
        <v>Not Applicable</v>
      </c>
      <c r="AN891" s="8">
        <v>0.17701806018614</v>
      </c>
      <c r="AO891" s="6" t="str">
        <v>ITALY - Amazon Web Services Inc of the US, a unit of Amazon.com Inc, agreed to acquire NICE Srl, an Asti-based software publisher.</v>
      </c>
    </row>
    <row r="892">
      <c r="A892" s="6" t="str">
        <v>98787H</v>
      </c>
      <c r="B892" s="6" t="str">
        <v>United States</v>
      </c>
      <c r="C892" s="6" t="str">
        <v>YouTube Inc</v>
      </c>
      <c r="D892" s="6" t="str">
        <v>Alphabet Inc</v>
      </c>
      <c r="F892" s="6" t="str">
        <v>United States</v>
      </c>
      <c r="G892" s="6" t="str">
        <v>BandPage Inc</v>
      </c>
      <c r="H892" s="6" t="str">
        <v>Business Services</v>
      </c>
      <c r="I892" s="6" t="str">
        <v>3E7598</v>
      </c>
      <c r="J892" s="6" t="str">
        <v>BandPage Inc</v>
      </c>
      <c r="K892" s="6" t="str">
        <v>BandPage Inc</v>
      </c>
      <c r="L892" s="7">
        <f>=DATE(2016,2,12)</f>
        <v>42411.99949074074</v>
      </c>
      <c r="M892" s="7">
        <f>=DATE(2016,2,12)</f>
        <v>42411.99949074074</v>
      </c>
      <c r="S892" s="8">
        <v>4.383</v>
      </c>
      <c r="W892" s="6" t="str">
        <v>Internet Services &amp; Software</v>
      </c>
      <c r="X892" s="6" t="str">
        <v>Internet Services &amp; Software</v>
      </c>
      <c r="Y892" s="6" t="str">
        <v>Internet Services &amp; Software</v>
      </c>
      <c r="Z892" s="6" t="str">
        <v>Internet Services &amp; Software</v>
      </c>
      <c r="AA892" s="6" t="str">
        <v>Internet Services &amp; Software;Programming Services</v>
      </c>
      <c r="AB892" s="6" t="str">
        <v>Computer Consulting Services;Telecommunications Equipment;Internet Services &amp; Software;Primary Business not Hi-Tech;Programming Services</v>
      </c>
      <c r="AH892" s="6" t="str">
        <v>True</v>
      </c>
      <c r="AI892" s="6" t="str">
        <v>2016</v>
      </c>
      <c r="AJ892" s="6" t="str">
        <v>Completed</v>
      </c>
      <c r="AM892" s="6" t="str">
        <v>Not Applicable</v>
      </c>
      <c r="AO892" s="6" t="str">
        <v>US - YouTube Inc, a unit of Google Inc, acquired BandPage Inc, a San Francisco-based online social network services.</v>
      </c>
    </row>
    <row r="893">
      <c r="A893" s="6" t="str">
        <v>023135</v>
      </c>
      <c r="B893" s="6" t="str">
        <v>United States</v>
      </c>
      <c r="C893" s="6" t="str">
        <v>Amazon.com Inc</v>
      </c>
      <c r="D893" s="6" t="str">
        <v>Amazon.com Inc</v>
      </c>
      <c r="F893" s="6" t="str">
        <v>India</v>
      </c>
      <c r="G893" s="6" t="str">
        <v>Emvantage Payments Pvt Ltd</v>
      </c>
      <c r="H893" s="6" t="str">
        <v>Business Services</v>
      </c>
      <c r="I893" s="6" t="str">
        <v>3E5887</v>
      </c>
      <c r="J893" s="6" t="str">
        <v>Emvantage Payments Pvt Ltd</v>
      </c>
      <c r="K893" s="6" t="str">
        <v>Emvantage Payments Pvt Ltd</v>
      </c>
      <c r="L893" s="7">
        <f>=DATE(2016,2,16)</f>
        <v>42415.99949074074</v>
      </c>
      <c r="W893" s="6" t="str">
        <v>Primary Business not Hi-Tech</v>
      </c>
      <c r="X893" s="6" t="str">
        <v>Other Software (inq. Games);Data Processing Services;Other Computer Related Svcs</v>
      </c>
      <c r="Y893" s="6" t="str">
        <v>Data Processing Services;Other Computer Related Svcs;Other Software (inq. Games)</v>
      </c>
      <c r="Z893" s="6" t="str">
        <v>Other Software (inq. Games);Other Computer Related Svcs;Data Processing Services</v>
      </c>
      <c r="AA893" s="6" t="str">
        <v>Primary Business not Hi-Tech</v>
      </c>
      <c r="AB893" s="6" t="str">
        <v>Primary Business not Hi-Tech</v>
      </c>
      <c r="AH893" s="6" t="str">
        <v>False</v>
      </c>
      <c r="AJ893" s="6" t="str">
        <v>Pending</v>
      </c>
      <c r="AM893" s="6" t="str">
        <v>Not Applicable</v>
      </c>
      <c r="AO893" s="6" t="str">
        <v>INDIA - Amazon.com Inc of the US planned to acquire Emvantage Payments Pvt Ltd, a Noida-based provider of business support services.</v>
      </c>
    </row>
    <row r="894">
      <c r="A894" s="6" t="str">
        <v>594918</v>
      </c>
      <c r="B894" s="6" t="str">
        <v>United States</v>
      </c>
      <c r="C894" s="6" t="str">
        <v>Microsoft Corp</v>
      </c>
      <c r="D894" s="6" t="str">
        <v>Microsoft Corp</v>
      </c>
      <c r="F894" s="6" t="str">
        <v>United States</v>
      </c>
      <c r="G894" s="6" t="str">
        <v>Xamarin Inc</v>
      </c>
      <c r="H894" s="6" t="str">
        <v>Prepackaged Software</v>
      </c>
      <c r="I894" s="6" t="str">
        <v>0C9882</v>
      </c>
      <c r="J894" s="6" t="str">
        <v>Xamarin Inc</v>
      </c>
      <c r="K894" s="6" t="str">
        <v>Xamarin Inc</v>
      </c>
      <c r="L894" s="7">
        <f>=DATE(2016,2,24)</f>
        <v>42423.99949074074</v>
      </c>
      <c r="W894" s="6" t="str">
        <v>Monitors/Terminals;Operating Systems;Applications Software(Business;Internet Services &amp; Software;Other Peripherals;Computer Consulting Services</v>
      </c>
      <c r="X894" s="6" t="str">
        <v>Applications Software(Business;Communication/Network Software;Applications Software(Home)</v>
      </c>
      <c r="Y894" s="6" t="str">
        <v>Applications Software(Home);Communication/Network Software;Applications Software(Business</v>
      </c>
      <c r="Z894" s="6" t="str">
        <v>Applications Software(Home);Applications Software(Business;Communication/Network Software</v>
      </c>
      <c r="AA894" s="6" t="str">
        <v>Computer Consulting Services;Internet Services &amp; Software;Operating Systems;Other Peripherals;Monitors/Terminals;Applications Software(Business</v>
      </c>
      <c r="AB894" s="6" t="str">
        <v>Applications Software(Business;Operating Systems;Other Peripherals;Monitors/Terminals;Internet Services &amp; Software;Computer Consulting Services</v>
      </c>
      <c r="AH894" s="6" t="str">
        <v>False</v>
      </c>
      <c r="AJ894" s="6" t="str">
        <v>Pending</v>
      </c>
      <c r="AM894" s="6" t="str">
        <v>Not Applicable</v>
      </c>
      <c r="AO894" s="6" t="str">
        <v>US - Microsoft Corp agreed to acquire Xamarin Inc, a San Francisco-based reproducer of software.</v>
      </c>
    </row>
    <row r="895">
      <c r="A895" s="6" t="str">
        <v>30303M</v>
      </c>
      <c r="B895" s="6" t="str">
        <v>United States</v>
      </c>
      <c r="C895" s="6" t="str">
        <v>Facebook Inc</v>
      </c>
      <c r="D895" s="6" t="str">
        <v>Facebook Inc</v>
      </c>
      <c r="F895" s="6" t="str">
        <v>Belarus</v>
      </c>
      <c r="G895" s="6" t="str">
        <v>Masquerade Technologies Inc</v>
      </c>
      <c r="H895" s="6" t="str">
        <v>Prepackaged Software</v>
      </c>
      <c r="I895" s="6" t="str">
        <v>4E3253</v>
      </c>
      <c r="J895" s="6" t="str">
        <v>Masquerade Technologies Inc</v>
      </c>
      <c r="K895" s="6" t="str">
        <v>Masquerade Technologies Inc</v>
      </c>
      <c r="L895" s="7">
        <f>=DATE(2016,3,9)</f>
        <v>42437.99949074074</v>
      </c>
      <c r="M895" s="7">
        <f>=DATE(2016,3,9)</f>
        <v>42437.99949074074</v>
      </c>
      <c r="W895" s="6" t="str">
        <v>Internet Services &amp; Software</v>
      </c>
      <c r="X895" s="6" t="str">
        <v>Communication/Network Software</v>
      </c>
      <c r="Y895" s="6" t="str">
        <v>Communication/Network Software</v>
      </c>
      <c r="Z895" s="6" t="str">
        <v>Communication/Network Software</v>
      </c>
      <c r="AA895" s="6" t="str">
        <v>Internet Services &amp; Software</v>
      </c>
      <c r="AB895" s="6" t="str">
        <v>Internet Services &amp; Software</v>
      </c>
      <c r="AH895" s="6" t="str">
        <v>False</v>
      </c>
      <c r="AI895" s="6" t="str">
        <v>2016</v>
      </c>
      <c r="AJ895" s="6" t="str">
        <v>Completed</v>
      </c>
      <c r="AM895" s="6" t="str">
        <v>Financial Acquiror</v>
      </c>
      <c r="AO895" s="6" t="str">
        <v>BELARUS - Facebook Inc of the US acquired Masquerade Technologies Inc, a provider of video and photo applications software development services. Terms were not disclosed.</v>
      </c>
    </row>
    <row r="896">
      <c r="A896" s="6" t="str">
        <v>023135</v>
      </c>
      <c r="B896" s="6" t="str">
        <v>United States</v>
      </c>
      <c r="C896" s="6" t="str">
        <v>Amazon.com Inc</v>
      </c>
      <c r="D896" s="6" t="str">
        <v>Amazon.com Inc</v>
      </c>
      <c r="F896" s="6" t="str">
        <v>India</v>
      </c>
      <c r="G896" s="6" t="str">
        <v>Flipkart Internet Pvt Ltd</v>
      </c>
      <c r="H896" s="6" t="str">
        <v>Miscellaneous Retail Trade</v>
      </c>
      <c r="I896" s="6" t="str">
        <v>33924N</v>
      </c>
      <c r="J896" s="6" t="str">
        <v>Flipkart Pvt Ltd</v>
      </c>
      <c r="K896" s="6" t="str">
        <v>Flipkart Pvt Ltd</v>
      </c>
      <c r="L896" s="7">
        <f>=DATE(2016,3,17)</f>
        <v>42445.99949074074</v>
      </c>
      <c r="R896" s="8">
        <v>-176.041090985577</v>
      </c>
      <c r="S896" s="8">
        <v>105.88043281049</v>
      </c>
      <c r="T896" s="8">
        <v>883.332601845</v>
      </c>
      <c r="U896" s="8">
        <v>-567.964257591</v>
      </c>
      <c r="V896" s="8">
        <v>-155.719754952</v>
      </c>
      <c r="W896" s="6" t="str">
        <v>Primary Business not Hi-Tech</v>
      </c>
      <c r="X896" s="6" t="str">
        <v>Internet Services &amp; Software</v>
      </c>
      <c r="Y896" s="6" t="str">
        <v>Internet Services &amp; Software</v>
      </c>
      <c r="Z896" s="6" t="str">
        <v>Internet Services &amp; Software</v>
      </c>
      <c r="AA896" s="6" t="str">
        <v>Primary Business not Hi-Tech</v>
      </c>
      <c r="AB896" s="6" t="str">
        <v>Primary Business not Hi-Tech</v>
      </c>
      <c r="AH896" s="6" t="str">
        <v>True</v>
      </c>
      <c r="AJ896" s="6" t="str">
        <v>Dismissed Rumor</v>
      </c>
      <c r="AM896" s="6" t="str">
        <v>Rumored Deal</v>
      </c>
      <c r="AN896" s="8">
        <v>34.6711292153504</v>
      </c>
      <c r="AO896" s="6" t="str">
        <v>INDIA - Amazon.com Inc of the US was rumored to be planning to acquire Flipkart Online Services PvtLtd, a Bangalore-based online retailer. The Current status of this deal is unknown.</v>
      </c>
    </row>
    <row r="897">
      <c r="A897" s="6" t="str">
        <v>38259P</v>
      </c>
      <c r="B897" s="6" t="str">
        <v>United States</v>
      </c>
      <c r="C897" s="6" t="str">
        <v>Google Inc</v>
      </c>
      <c r="D897" s="6" t="str">
        <v>Alphabet Inc</v>
      </c>
      <c r="F897" s="6" t="str">
        <v>United States</v>
      </c>
      <c r="G897" s="6" t="str">
        <v>Callidus Software Inc</v>
      </c>
      <c r="H897" s="6" t="str">
        <v>Prepackaged Software</v>
      </c>
      <c r="I897" s="6" t="str">
        <v>13123E</v>
      </c>
      <c r="J897" s="6" t="str">
        <v>Callidus Software Inc</v>
      </c>
      <c r="K897" s="6" t="str">
        <v>Callidus Software Inc</v>
      </c>
      <c r="L897" s="7">
        <f>=DATE(2016,3,18)</f>
        <v>42446.99949074074</v>
      </c>
      <c r="R897" s="8">
        <v>-13.148</v>
      </c>
      <c r="S897" s="8">
        <v>173.087</v>
      </c>
      <c r="T897" s="8">
        <v>52.593</v>
      </c>
      <c r="U897" s="8">
        <v>-35.68</v>
      </c>
      <c r="V897" s="8">
        <v>26.469</v>
      </c>
      <c r="W897" s="6" t="str">
        <v>Internet Services &amp; Software;Programming Services</v>
      </c>
      <c r="X897" s="6" t="str">
        <v>Internet Services &amp; Software</v>
      </c>
      <c r="Y897" s="6" t="str">
        <v>Internet Services &amp; Software</v>
      </c>
      <c r="Z897" s="6" t="str">
        <v>Internet Services &amp; Software</v>
      </c>
      <c r="AA897" s="6" t="str">
        <v>Primary Business not Hi-Tech;Computer Consulting Services;Telecommunications Equipment;Programming Services;Internet Services &amp; Software</v>
      </c>
      <c r="AB897" s="6" t="str">
        <v>Primary Business not Hi-Tech;Internet Services &amp; Software;Telecommunications Equipment;Computer Consulting Services;Programming Services</v>
      </c>
      <c r="AH897" s="6" t="str">
        <v>True</v>
      </c>
      <c r="AJ897" s="6" t="str">
        <v>Dismissed Rumor</v>
      </c>
      <c r="AL897" s="8">
        <v>56.122337</v>
      </c>
      <c r="AM897" s="6" t="str">
        <v>Rumored Deal</v>
      </c>
      <c r="AN897" s="8">
        <v>65.031</v>
      </c>
      <c r="AO897" s="6" t="str">
        <v>US - Google Inc, a unit of Alphabet Inc, was rumored to be planning to acquire the entire share capital of Callidus Software Inc, a Dublin-based sales performance management software developer. The Current status of this deal is unknown.</v>
      </c>
    </row>
    <row r="898">
      <c r="A898" s="6" t="str">
        <v>38259P</v>
      </c>
      <c r="B898" s="6" t="str">
        <v>United States</v>
      </c>
      <c r="C898" s="6" t="str">
        <v>Google Inc</v>
      </c>
      <c r="D898" s="6" t="str">
        <v>Alphabet Inc</v>
      </c>
      <c r="F898" s="6" t="str">
        <v>United States</v>
      </c>
      <c r="G898" s="6" t="str">
        <v>Namely Inc</v>
      </c>
      <c r="H898" s="6" t="str">
        <v>Prepackaged Software</v>
      </c>
      <c r="I898" s="6" t="str">
        <v>4E3905</v>
      </c>
      <c r="J898" s="6" t="str">
        <v>Namely Inc</v>
      </c>
      <c r="K898" s="6" t="str">
        <v>Namely Inc</v>
      </c>
      <c r="L898" s="7">
        <f>=DATE(2016,3,18)</f>
        <v>42446.99949074074</v>
      </c>
      <c r="W898" s="6" t="str">
        <v>Internet Services &amp; Software;Programming Services</v>
      </c>
      <c r="X898" s="6" t="str">
        <v>Primary Business not Hi-Tech;Communication/Network Software</v>
      </c>
      <c r="Y898" s="6" t="str">
        <v>Primary Business not Hi-Tech;Communication/Network Software</v>
      </c>
      <c r="Z898" s="6" t="str">
        <v>Primary Business not Hi-Tech;Communication/Network Software</v>
      </c>
      <c r="AA898" s="6" t="str">
        <v>Computer Consulting Services;Primary Business not Hi-Tech;Programming Services;Telecommunications Equipment;Internet Services &amp; Software</v>
      </c>
      <c r="AB898" s="6" t="str">
        <v>Internet Services &amp; Software;Programming Services;Primary Business not Hi-Tech;Telecommunications Equipment;Computer Consulting Services</v>
      </c>
      <c r="AH898" s="6" t="str">
        <v>False</v>
      </c>
      <c r="AJ898" s="6" t="str">
        <v>Dismissed Rumor</v>
      </c>
      <c r="AM898" s="6" t="str">
        <v>Rumored Deal</v>
      </c>
      <c r="AO898" s="6" t="str">
        <v>US - Google Inc, a unit of Alphabet Inc, was rumored to be planning to acquire Namely Inc, a New York City-based human resource application software developer. The Current status of this deal is unknown.</v>
      </c>
    </row>
    <row r="899">
      <c r="A899" s="6" t="str">
        <v>38259P</v>
      </c>
      <c r="B899" s="6" t="str">
        <v>United States</v>
      </c>
      <c r="C899" s="6" t="str">
        <v>Google Inc</v>
      </c>
      <c r="D899" s="6" t="str">
        <v>Alphabet Inc</v>
      </c>
      <c r="F899" s="6" t="str">
        <v>Canada</v>
      </c>
      <c r="G899" s="6" t="str">
        <v>Shopify Inc</v>
      </c>
      <c r="H899" s="6" t="str">
        <v>Prepackaged Software</v>
      </c>
      <c r="I899" s="6" t="str">
        <v>82509L</v>
      </c>
      <c r="J899" s="6" t="str">
        <v>Shopify Inc</v>
      </c>
      <c r="K899" s="6" t="str">
        <v>Shopify Inc</v>
      </c>
      <c r="L899" s="7">
        <f>=DATE(2016,3,18)</f>
        <v>42446.99949074074</v>
      </c>
      <c r="R899" s="8">
        <v>-18.8236144230074</v>
      </c>
      <c r="S899" s="8">
        <v>205.603728593106</v>
      </c>
      <c r="T899" s="8">
        <v>137.854960746</v>
      </c>
      <c r="U899" s="8">
        <v>-83.840213148</v>
      </c>
      <c r="V899" s="8">
        <v>15.755924292</v>
      </c>
      <c r="W899" s="6" t="str">
        <v>Programming Services;Internet Services &amp; Software</v>
      </c>
      <c r="X899" s="6" t="str">
        <v>Other Software (inq. Games);Internet Services &amp; Software</v>
      </c>
      <c r="Y899" s="6" t="str">
        <v>Other Software (inq. Games);Internet Services &amp; Software</v>
      </c>
      <c r="Z899" s="6" t="str">
        <v>Internet Services &amp; Software;Other Software (inq. Games)</v>
      </c>
      <c r="AA899" s="6" t="str">
        <v>Internet Services &amp; Software;Computer Consulting Services;Telecommunications Equipment;Primary Business not Hi-Tech;Programming Services</v>
      </c>
      <c r="AB899" s="6" t="str">
        <v>Telecommunications Equipment;Programming Services;Computer Consulting Services;Internet Services &amp; Software;Primary Business not Hi-Tech</v>
      </c>
      <c r="AH899" s="6" t="str">
        <v>True</v>
      </c>
      <c r="AJ899" s="6" t="str">
        <v>Dismissed Rumor</v>
      </c>
      <c r="AL899" s="8">
        <v>59.397984</v>
      </c>
      <c r="AM899" s="6" t="str">
        <v>Rumored Deal</v>
      </c>
      <c r="AN899" s="8">
        <v>8.21374376761327</v>
      </c>
      <c r="AO899" s="6" t="str">
        <v>CANADA - Google Inc of the US, a unit of Alphabet Inc, was rumored to be planning to acquire the entire share capital of Shopify Inc, an Ottawa-based provider of cloud-based ecommerce services. The Current status of this deal is unknown.</v>
      </c>
    </row>
    <row r="900">
      <c r="A900" s="6" t="str">
        <v>38259P</v>
      </c>
      <c r="B900" s="6" t="str">
        <v>United States</v>
      </c>
      <c r="C900" s="6" t="str">
        <v>Google Inc</v>
      </c>
      <c r="D900" s="6" t="str">
        <v>Alphabet Inc</v>
      </c>
      <c r="F900" s="6" t="str">
        <v>United States</v>
      </c>
      <c r="G900" s="6" t="str">
        <v>Xactly Corp</v>
      </c>
      <c r="H900" s="6" t="str">
        <v>Prepackaged Software</v>
      </c>
      <c r="I900" s="6" t="str">
        <v>98386L</v>
      </c>
      <c r="J900" s="6" t="str">
        <v>Xactly Corp</v>
      </c>
      <c r="K900" s="6" t="str">
        <v>Xactly Corp</v>
      </c>
      <c r="L900" s="7">
        <f>=DATE(2016,3,18)</f>
        <v>42446.99949074074</v>
      </c>
      <c r="R900" s="8">
        <v>-24.719</v>
      </c>
      <c r="S900" s="8">
        <v>75.974</v>
      </c>
      <c r="T900" s="8">
        <v>39.418</v>
      </c>
      <c r="U900" s="8">
        <v>-4.298</v>
      </c>
      <c r="V900" s="8">
        <v>-6.364</v>
      </c>
      <c r="W900" s="6" t="str">
        <v>Internet Services &amp; Software;Programming Services</v>
      </c>
      <c r="X900" s="6" t="str">
        <v>Internet Services &amp; Software;Communication/Network Software</v>
      </c>
      <c r="Y900" s="6" t="str">
        <v>Communication/Network Software;Internet Services &amp; Software</v>
      </c>
      <c r="Z900" s="6" t="str">
        <v>Internet Services &amp; Software;Communication/Network Software</v>
      </c>
      <c r="AA900" s="6" t="str">
        <v>Telecommunications Equipment;Primary Business not Hi-Tech;Internet Services &amp; Software;Computer Consulting Services;Programming Services</v>
      </c>
      <c r="AB900" s="6" t="str">
        <v>Primary Business not Hi-Tech;Telecommunications Equipment;Internet Services &amp; Software;Computer Consulting Services;Programming Services</v>
      </c>
      <c r="AH900" s="6" t="str">
        <v>True</v>
      </c>
      <c r="AJ900" s="6" t="str">
        <v>Dismissed Rumor</v>
      </c>
      <c r="AL900" s="8">
        <v>29.184462</v>
      </c>
      <c r="AM900" s="6" t="str">
        <v>Rumored Deal</v>
      </c>
      <c r="AN900" s="8">
        <v>6.384</v>
      </c>
      <c r="AO900" s="6" t="str">
        <v>US - Google Inc, a unit of Alphabet Inc, was rumored to be planning to acquire the entire share capital of Xactly Corp, a San Jose-based sales compensation management software developer. The Current status of this deal is unknown.</v>
      </c>
    </row>
    <row r="901">
      <c r="A901" s="6" t="str">
        <v>9A0409</v>
      </c>
      <c r="B901" s="6" t="str">
        <v>United States</v>
      </c>
      <c r="C901" s="6" t="str">
        <v>Google Capital 2016 LP</v>
      </c>
      <c r="D901" s="6" t="str">
        <v>Alphabet Inc</v>
      </c>
      <c r="F901" s="6" t="str">
        <v>India</v>
      </c>
      <c r="G901" s="6" t="str">
        <v>Girnar Software Pvt Ltd</v>
      </c>
      <c r="H901" s="6" t="str">
        <v>Business Services</v>
      </c>
      <c r="I901" s="6" t="str">
        <v>1C2589</v>
      </c>
      <c r="J901" s="6" t="str">
        <v>Girnar Software Pvt Ltd</v>
      </c>
      <c r="K901" s="6" t="str">
        <v>Girnar Software Pvt Ltd</v>
      </c>
      <c r="L901" s="7">
        <f>=DATE(2016,3,21)</f>
        <v>42449.99949074074</v>
      </c>
      <c r="M901" s="7">
        <f>=DATE(2016,3,21)</f>
        <v>42449.99949074074</v>
      </c>
      <c r="W901" s="6" t="str">
        <v>Primary Business not Hi-Tech</v>
      </c>
      <c r="X901" s="6" t="str">
        <v>Other Software (inq. Games);Data Processing Services;Other Computer Related Svcs;Computer Consulting Services</v>
      </c>
      <c r="Y901" s="6" t="str">
        <v>Data Processing Services;Computer Consulting Services;Other Computer Related Svcs;Other Software (inq. Games)</v>
      </c>
      <c r="Z901" s="6" t="str">
        <v>Other Computer Related Svcs;Data Processing Services;Computer Consulting Services;Other Software (inq. Games)</v>
      </c>
      <c r="AA901" s="6" t="str">
        <v>Programming Services;Internet Services &amp; Software</v>
      </c>
      <c r="AB901" s="6" t="str">
        <v>Computer Consulting Services;Primary Business not Hi-Tech;Programming Services;Internet Services &amp; Software;Telecommunications Equipment</v>
      </c>
      <c r="AH901" s="6" t="str">
        <v>False</v>
      </c>
      <c r="AI901" s="6" t="str">
        <v>2016</v>
      </c>
      <c r="AJ901" s="6" t="str">
        <v>Completed</v>
      </c>
      <c r="AM901" s="6" t="str">
        <v>Financial Acquiror;Privately Negotiated Purchase</v>
      </c>
      <c r="AO901" s="6" t="str">
        <v>INDIA - Google Capital of the US, a unit of Google Inc, acquired an undisclosed minority stake in Girnar Software Pvt Ltd, a Jaipur-based provider of business support services, in a privately negotiated transaction.</v>
      </c>
    </row>
    <row r="902">
      <c r="A902" s="6" t="str">
        <v>023135</v>
      </c>
      <c r="B902" s="6" t="str">
        <v>United States</v>
      </c>
      <c r="C902" s="6" t="str">
        <v>Amazon.com Inc</v>
      </c>
      <c r="D902" s="6" t="str">
        <v>Amazon.com Inc</v>
      </c>
      <c r="F902" s="6" t="str">
        <v>Germany</v>
      </c>
      <c r="G902" s="6" t="str">
        <v>Nokia Oyj-HERE Business</v>
      </c>
      <c r="H902" s="6" t="str">
        <v>Telecommunications</v>
      </c>
      <c r="I902" s="6" t="str">
        <v>7C2163</v>
      </c>
      <c r="J902" s="6" t="str">
        <v>Nokia Oyj</v>
      </c>
      <c r="K902" s="6" t="str">
        <v>Nokia Oyj</v>
      </c>
      <c r="L902" s="7">
        <f>=DATE(2016,3,31)</f>
        <v>42459.99949074074</v>
      </c>
      <c r="W902" s="6" t="str">
        <v>Primary Business not Hi-Tech</v>
      </c>
      <c r="X902" s="6" t="str">
        <v>Satellite Communications;Communication/Network Software</v>
      </c>
      <c r="Y902" s="6" t="str">
        <v>Other Telecommunications Equip;Satellite Communications;Other Software (inq. Games);Internet Services &amp; Software;Communication/Network Software;Telephone Interconnect Equip</v>
      </c>
      <c r="Z902" s="6" t="str">
        <v>Telephone Interconnect Equip;Internet Services &amp; Software;Other Telecommunications Equip;Communication/Network Software;Other Software (inq. Games);Satellite Communications</v>
      </c>
      <c r="AA902" s="6" t="str">
        <v>Primary Business not Hi-Tech</v>
      </c>
      <c r="AB902" s="6" t="str">
        <v>Primary Business not Hi-Tech</v>
      </c>
      <c r="AH902" s="6" t="str">
        <v>False</v>
      </c>
      <c r="AJ902" s="6" t="str">
        <v>Dismissed Rumor</v>
      </c>
      <c r="AM902" s="6" t="str">
        <v>Privately Negotiated Purchase;Rumored Deal</v>
      </c>
      <c r="AO902" s="6" t="str">
        <v>GERMANY - Amazon.com Inc of the US was rumored to be planning to acquire an undisclosed minority ownership interest in here business of Nokia Oyj, an Espoo-based manufacturer of wireless communications equipment, in a privately negotiated transaction. The Current status of this deal is unknown.</v>
      </c>
    </row>
    <row r="903">
      <c r="A903" s="6" t="str">
        <v>5E5574</v>
      </c>
      <c r="B903" s="6" t="str">
        <v>United States</v>
      </c>
      <c r="C903" s="6" t="str">
        <v>Wickr Inc</v>
      </c>
      <c r="D903" s="6" t="str">
        <v>Wickr Inc</v>
      </c>
      <c r="F903" s="6" t="str">
        <v>United States</v>
      </c>
      <c r="G903" s="6" t="str">
        <v>Net Power &amp; Light Inc</v>
      </c>
      <c r="H903" s="6" t="str">
        <v>Prepackaged Software</v>
      </c>
      <c r="I903" s="6" t="str">
        <v>5E5576</v>
      </c>
      <c r="J903" s="6" t="str">
        <v>Net Power &amp; Light Inc</v>
      </c>
      <c r="K903" s="6" t="str">
        <v>Net Power &amp; Light Inc</v>
      </c>
      <c r="L903" s="7">
        <f>=DATE(2016,4,28)</f>
        <v>42487.99949074074</v>
      </c>
      <c r="M903" s="7">
        <f>=DATE(2016,4,28)</f>
        <v>42487.99949074074</v>
      </c>
      <c r="W903" s="6" t="str">
        <v>Applications Software(Business;Communication/Network Software;Applications Software(Home)</v>
      </c>
      <c r="X903" s="6" t="str">
        <v>Communication/Network Software;Applications Software(Business;Applications Software(Home)</v>
      </c>
      <c r="Y903" s="6" t="str">
        <v>Applications Software(Business;Communication/Network Software;Applications Software(Home)</v>
      </c>
      <c r="Z903" s="6" t="str">
        <v>Applications Software(Business;Applications Software(Home);Communication/Network Software</v>
      </c>
      <c r="AA903" s="6" t="str">
        <v>Applications Software(Home);Communication/Network Software;Applications Software(Business</v>
      </c>
      <c r="AB903" s="6" t="str">
        <v>Communication/Network Software;Applications Software(Business;Applications Software(Home)</v>
      </c>
      <c r="AH903" s="6" t="str">
        <v>False</v>
      </c>
      <c r="AI903" s="6" t="str">
        <v>2016</v>
      </c>
      <c r="AJ903" s="6" t="str">
        <v>Completed</v>
      </c>
      <c r="AM903" s="6" t="str">
        <v>Not Applicable</v>
      </c>
      <c r="AO903" s="6" t="str">
        <v>US - Wickr Inc acquired the entire share capital of Net Power &amp; Light Inc, a San Francisco-based reproducer of software, from Sky Plc and other undisclosed sellers.</v>
      </c>
    </row>
    <row r="904">
      <c r="A904" s="6" t="str">
        <v>38259P</v>
      </c>
      <c r="B904" s="6" t="str">
        <v>United States</v>
      </c>
      <c r="C904" s="6" t="str">
        <v>Google Inc</v>
      </c>
      <c r="D904" s="6" t="str">
        <v>Alphabet Inc</v>
      </c>
      <c r="F904" s="6" t="str">
        <v>Canada</v>
      </c>
      <c r="G904" s="6" t="str">
        <v>Synergyse</v>
      </c>
      <c r="H904" s="6" t="str">
        <v>Prepackaged Software</v>
      </c>
      <c r="I904" s="6" t="str">
        <v>5E6518</v>
      </c>
      <c r="J904" s="6" t="str">
        <v>Synergyse</v>
      </c>
      <c r="K904" s="6" t="str">
        <v>Synergyse</v>
      </c>
      <c r="L904" s="7">
        <f>=DATE(2016,5,2)</f>
        <v>42491.99949074074</v>
      </c>
      <c r="M904" s="7">
        <f>=DATE(2016,5,2)</f>
        <v>42491.99949074074</v>
      </c>
      <c r="W904" s="6" t="str">
        <v>Internet Services &amp; Software;Programming Services</v>
      </c>
      <c r="X904" s="6" t="str">
        <v>Communication/Network Software</v>
      </c>
      <c r="Y904" s="6" t="str">
        <v>Communication/Network Software</v>
      </c>
      <c r="Z904" s="6" t="str">
        <v>Communication/Network Software</v>
      </c>
      <c r="AA904" s="6" t="str">
        <v>Telecommunications Equipment;Programming Services;Primary Business not Hi-Tech;Computer Consulting Services;Internet Services &amp; Software</v>
      </c>
      <c r="AB904" s="6" t="str">
        <v>Programming Services;Computer Consulting Services;Primary Business not Hi-Tech;Internet Services &amp; Software;Telecommunications Equipment</v>
      </c>
      <c r="AH904" s="6" t="str">
        <v>False</v>
      </c>
      <c r="AI904" s="6" t="str">
        <v>2016</v>
      </c>
      <c r="AJ904" s="6" t="str">
        <v>Completed</v>
      </c>
      <c r="AM904" s="6" t="str">
        <v>Not Applicable</v>
      </c>
      <c r="AO904" s="6" t="str">
        <v>CANADA - Google Inc of the US, a unit of Alphabet Inc, acquired Synergyse, a Willowdale-based software publisher.</v>
      </c>
    </row>
    <row r="905">
      <c r="A905" s="6" t="str">
        <v>594918</v>
      </c>
      <c r="B905" s="6" t="str">
        <v>United States</v>
      </c>
      <c r="C905" s="6" t="str">
        <v>Microsoft Corp</v>
      </c>
      <c r="D905" s="6" t="str">
        <v>Microsoft Corp</v>
      </c>
      <c r="F905" s="6" t="str">
        <v>Italy</v>
      </c>
      <c r="G905" s="6" t="str">
        <v>Solair Srl</v>
      </c>
      <c r="H905" s="6" t="str">
        <v>Prepackaged Software</v>
      </c>
      <c r="I905" s="6" t="str">
        <v>5E6430</v>
      </c>
      <c r="J905" s="6" t="str">
        <v>Solair Srl</v>
      </c>
      <c r="K905" s="6" t="str">
        <v>Solair Srl</v>
      </c>
      <c r="L905" s="7">
        <f>=DATE(2016,5,3)</f>
        <v>42492.99949074074</v>
      </c>
      <c r="M905" s="7">
        <f>=DATE(2016,5,3)</f>
        <v>42492.99949074074</v>
      </c>
      <c r="R905" s="8">
        <v>-0.577752196435747</v>
      </c>
      <c r="S905" s="8">
        <v>0.977400332316113</v>
      </c>
      <c r="W905" s="6" t="str">
        <v>Operating Systems;Other Peripherals;Applications Software(Business;Computer Consulting Services;Internet Services &amp; Software;Monitors/Terminals</v>
      </c>
      <c r="X905" s="6" t="str">
        <v>Applications Software(Business;Programming Services</v>
      </c>
      <c r="Y905" s="6" t="str">
        <v>Programming Services;Applications Software(Business</v>
      </c>
      <c r="Z905" s="6" t="str">
        <v>Applications Software(Business;Programming Services</v>
      </c>
      <c r="AA905" s="6" t="str">
        <v>Monitors/Terminals;Internet Services &amp; Software;Other Peripherals;Computer Consulting Services;Applications Software(Business;Operating Systems</v>
      </c>
      <c r="AB905" s="6" t="str">
        <v>Internet Services &amp; Software;Computer Consulting Services;Monitors/Terminals;Applications Software(Business;Other Peripherals;Operating Systems</v>
      </c>
      <c r="AH905" s="6" t="str">
        <v>True</v>
      </c>
      <c r="AI905" s="6" t="str">
        <v>2016</v>
      </c>
      <c r="AJ905" s="6" t="str">
        <v>Completed</v>
      </c>
      <c r="AM905" s="6" t="str">
        <v>Not Applicable</v>
      </c>
      <c r="AN905" s="8">
        <v>0.678750230775079</v>
      </c>
      <c r="AO905" s="6" t="str">
        <v>ITALY - Microsoft Corp of the US acquired Solair Srl, a Bologna-based software publisher.</v>
      </c>
    </row>
    <row r="906">
      <c r="A906" s="6" t="str">
        <v>73959W</v>
      </c>
      <c r="B906" s="6" t="str">
        <v>United States</v>
      </c>
      <c r="C906" s="6" t="str">
        <v>PowerSchool Group LLC</v>
      </c>
      <c r="D906" s="6" t="str">
        <v>PowerSchool Holdings Inc</v>
      </c>
      <c r="F906" s="6" t="str">
        <v>United States</v>
      </c>
      <c r="G906" s="6" t="str">
        <v>TIENET LLC</v>
      </c>
      <c r="H906" s="6" t="str">
        <v>Prepackaged Software</v>
      </c>
      <c r="I906" s="6" t="str">
        <v>8E4622</v>
      </c>
      <c r="J906" s="6" t="str">
        <v>TIENET LLC</v>
      </c>
      <c r="K906" s="6" t="str">
        <v>TIENET LLC</v>
      </c>
      <c r="L906" s="7">
        <f>=DATE(2016,5,10)</f>
        <v>42499.99949074074</v>
      </c>
      <c r="M906" s="7">
        <f>=DATE(2016,5,10)</f>
        <v>42499.99949074074</v>
      </c>
      <c r="W906" s="6" t="str">
        <v>Other Software (inq. Games)</v>
      </c>
      <c r="X906" s="6" t="str">
        <v>Applications Software(Business</v>
      </c>
      <c r="Y906" s="6" t="str">
        <v>Applications Software(Business</v>
      </c>
      <c r="Z906" s="6" t="str">
        <v>Applications Software(Business</v>
      </c>
      <c r="AA906" s="6" t="str">
        <v>Applications Software(Business;Desktop Publishing;Utilities/File Mgmt Software;Primary Business not Hi-Tech;Applications Software(Home);Communication/Network Software;Other Software (inq. Games);Internet Services &amp; Software</v>
      </c>
      <c r="AB906" s="6" t="str">
        <v>Applications Software(Home);Internet Services &amp; Software;Other Software (inq. Games);Utilities/File Mgmt Software;Primary Business not Hi-Tech;Desktop Publishing;Applications Software(Business;Communication/Network Software</v>
      </c>
      <c r="AH906" s="6" t="str">
        <v>True</v>
      </c>
      <c r="AI906" s="6" t="str">
        <v>2016</v>
      </c>
      <c r="AJ906" s="6" t="str">
        <v>Completed</v>
      </c>
      <c r="AM906" s="6" t="str">
        <v>Not Applicable</v>
      </c>
      <c r="AO906" s="6" t="str">
        <v>US - PowerSchool Group LLC acquired TIENET LLC, a New York-based  educational software publisher.</v>
      </c>
    </row>
    <row r="907">
      <c r="A907" s="6" t="str">
        <v>30303M</v>
      </c>
      <c r="B907" s="6" t="str">
        <v>United States</v>
      </c>
      <c r="C907" s="6" t="str">
        <v>Facebook Inc</v>
      </c>
      <c r="D907" s="6" t="str">
        <v>Facebook Inc</v>
      </c>
      <c r="F907" s="6" t="str">
        <v>United Kingdom</v>
      </c>
      <c r="G907" s="6" t="str">
        <v>Two Big Ears Ltd</v>
      </c>
      <c r="H907" s="6" t="str">
        <v>Business Services</v>
      </c>
      <c r="I907" s="6" t="str">
        <v>6E3915</v>
      </c>
      <c r="J907" s="6" t="str">
        <v>Two Big Ears Ltd</v>
      </c>
      <c r="K907" s="6" t="str">
        <v>Two Big Ears Ltd</v>
      </c>
      <c r="L907" s="7">
        <f>=DATE(2016,5,23)</f>
        <v>42512.99949074074</v>
      </c>
      <c r="M907" s="7">
        <f>=DATE(2016,5,23)</f>
        <v>42512.99949074074</v>
      </c>
      <c r="W907" s="6" t="str">
        <v>Internet Services &amp; Software</v>
      </c>
      <c r="X907" s="6" t="str">
        <v>Computer Consulting Services;Communication/Network Software</v>
      </c>
      <c r="Y907" s="6" t="str">
        <v>Communication/Network Software;Computer Consulting Services</v>
      </c>
      <c r="Z907" s="6" t="str">
        <v>Computer Consulting Services;Communication/Network Software</v>
      </c>
      <c r="AA907" s="6" t="str">
        <v>Internet Services &amp; Software</v>
      </c>
      <c r="AB907" s="6" t="str">
        <v>Internet Services &amp; Software</v>
      </c>
      <c r="AH907" s="6" t="str">
        <v>True</v>
      </c>
      <c r="AI907" s="6" t="str">
        <v>2016</v>
      </c>
      <c r="AJ907" s="6" t="str">
        <v>Completed</v>
      </c>
      <c r="AM907" s="6" t="str">
        <v>Financial Acquiror</v>
      </c>
      <c r="AO907" s="6" t="str">
        <v>UK - Facebook Inc of the US acquired Two Big Ears Ltd, an Edinburgh-based provider of computer systems design services.</v>
      </c>
    </row>
    <row r="908">
      <c r="A908" s="6" t="str">
        <v>037833</v>
      </c>
      <c r="B908" s="6" t="str">
        <v>United States</v>
      </c>
      <c r="C908" s="6" t="str">
        <v>Apple Inc</v>
      </c>
      <c r="D908" s="6" t="str">
        <v>Apple Inc</v>
      </c>
      <c r="F908" s="6" t="str">
        <v>United States</v>
      </c>
      <c r="G908" s="6" t="str">
        <v>Apple Inc</v>
      </c>
      <c r="H908" s="6" t="str">
        <v>Computer and Office Equipment</v>
      </c>
      <c r="I908" s="6" t="str">
        <v>037833</v>
      </c>
      <c r="J908" s="6" t="str">
        <v>Apple Inc</v>
      </c>
      <c r="K908" s="6" t="str">
        <v>Apple Inc</v>
      </c>
      <c r="L908" s="7">
        <f>=DATE(2016,5,31)</f>
        <v>42520.99949074074</v>
      </c>
      <c r="M908" s="7">
        <f>=DATE(2016,5,31)</f>
        <v>42520.99949074074</v>
      </c>
      <c r="N908" s="8">
        <v>6000</v>
      </c>
      <c r="O908" s="8">
        <v>6000</v>
      </c>
      <c r="P908" s="8" t="str">
        <v>559,404.36</v>
      </c>
      <c r="R908" s="8">
        <v>50678</v>
      </c>
      <c r="S908" s="8">
        <v>227535</v>
      </c>
      <c r="T908" s="8">
        <v>-13614</v>
      </c>
      <c r="U908" s="8">
        <v>-46888</v>
      </c>
      <c r="V908" s="8">
        <v>67527</v>
      </c>
      <c r="W908" s="6" t="str">
        <v>Disk Drives;Portable Computers;Other Peripherals;Mainframes &amp; Super Computers;Monitors/Terminals;Micro-Computers (PCs);Other Software (inq. Games);Printers</v>
      </c>
      <c r="X908" s="6" t="str">
        <v>Micro-Computers (PCs);Portable Computers;Mainframes &amp; Super Computers;Disk Drives;Monitors/Terminals;Other Peripherals;Printers;Other Software (inq. Games)</v>
      </c>
      <c r="Y908" s="6" t="str">
        <v>Portable Computers;Monitors/Terminals;Mainframes &amp; Super Computers;Other Software (inq. Games);Other Peripherals;Micro-Computers (PCs);Disk Drives;Printers</v>
      </c>
      <c r="Z908" s="6" t="str">
        <v>Portable Computers;Disk Drives;Printers;Micro-Computers (PCs);Other Peripherals;Monitors/Terminals;Other Software (inq. Games);Mainframes &amp; Super Computers</v>
      </c>
      <c r="AA908" s="6" t="str">
        <v>Mainframes &amp; Super Computers;Disk Drives;Micro-Computers (PCs);Printers;Monitors/Terminals;Other Software (inq. Games);Portable Computers;Other Peripherals</v>
      </c>
      <c r="AB908" s="6" t="str">
        <v>Disk Drives;Other Software (inq. Games);Other Peripherals;Printers;Monitors/Terminals;Mainframes &amp; Super Computers;Portable Computers;Micro-Computers (PCs)</v>
      </c>
      <c r="AC908" s="8">
        <v>6000</v>
      </c>
      <c r="AD908" s="7">
        <f>=DATE(2016,5,31)</f>
        <v>42520.99949074074</v>
      </c>
      <c r="AF908" s="8" t="str">
        <v>559,404.36</v>
      </c>
      <c r="AG908" s="8" t="str">
        <v>559,404.36</v>
      </c>
      <c r="AH908" s="6" t="str">
        <v>True</v>
      </c>
      <c r="AI908" s="6" t="str">
        <v>2016</v>
      </c>
      <c r="AJ908" s="6" t="str">
        <v>Completed</v>
      </c>
      <c r="AL908" s="8">
        <v>60.452</v>
      </c>
      <c r="AM908" s="6" t="str">
        <v>Open Market Purchase;Repurchase</v>
      </c>
      <c r="AN908" s="8">
        <v>9092</v>
      </c>
      <c r="AO908" s="6" t="str">
        <v>US - On 31 May 2016, the board of Apple Inc, a Cupertino-based manufacturer and wholesaler of mobile communication and computer related products authorized the repurchase of up to USD 6 bil of the company's entire common share capital, in an accelerated transaction.</v>
      </c>
    </row>
    <row r="909">
      <c r="A909" s="6" t="str">
        <v>73959W</v>
      </c>
      <c r="B909" s="6" t="str">
        <v>United States</v>
      </c>
      <c r="C909" s="6" t="str">
        <v>PowerSchool Group LLC</v>
      </c>
      <c r="D909" s="6" t="str">
        <v>PowerSchool Holdings Inc</v>
      </c>
      <c r="F909" s="6" t="str">
        <v>United States</v>
      </c>
      <c r="G909" s="6" t="str">
        <v>Haiku Learning Systems Inc</v>
      </c>
      <c r="H909" s="6" t="str">
        <v>Prepackaged Software</v>
      </c>
      <c r="I909" s="6" t="str">
        <v>6E8421</v>
      </c>
      <c r="J909" s="6" t="str">
        <v>Haiku Learning Systems Inc</v>
      </c>
      <c r="K909" s="6" t="str">
        <v>Haiku Learning Systems Inc</v>
      </c>
      <c r="L909" s="7">
        <f>=DATE(2016,6,6)</f>
        <v>42526.99949074074</v>
      </c>
      <c r="M909" s="7">
        <f>=DATE(2016,6,6)</f>
        <v>42526.99949074074</v>
      </c>
      <c r="W909" s="6" t="str">
        <v>Other Software (inq. Games)</v>
      </c>
      <c r="X909" s="6" t="str">
        <v>Communication/Network Software</v>
      </c>
      <c r="Y909" s="6" t="str">
        <v>Communication/Network Software</v>
      </c>
      <c r="Z909" s="6" t="str">
        <v>Communication/Network Software</v>
      </c>
      <c r="AA909" s="6" t="str">
        <v>Desktop Publishing;Internet Services &amp; Software;Communication/Network Software;Applications Software(Home);Applications Software(Business;Primary Business not Hi-Tech;Other Software (inq. Games);Utilities/File Mgmt Software</v>
      </c>
      <c r="AB909" s="6" t="str">
        <v>Applications Software(Home);Desktop Publishing;Communication/Network Software;Applications Software(Business;Utilities/File Mgmt Software;Primary Business not Hi-Tech;Other Software (inq. Games);Internet Services &amp; Software</v>
      </c>
      <c r="AH909" s="6" t="str">
        <v>True</v>
      </c>
      <c r="AI909" s="6" t="str">
        <v>2016</v>
      </c>
      <c r="AJ909" s="6" t="str">
        <v>Completed</v>
      </c>
      <c r="AM909" s="6" t="str">
        <v>Not Applicable</v>
      </c>
      <c r="AO909" s="6" t="str">
        <v>US - PowerSchool Group LLC acquired Haiku Learning Systems Inc, a Goshen-based provider of learning platform services exclusively for K-12. Terms were not disclosed.</v>
      </c>
    </row>
    <row r="910">
      <c r="A910" s="6" t="str">
        <v>594918</v>
      </c>
      <c r="B910" s="6" t="str">
        <v>United States</v>
      </c>
      <c r="C910" s="6" t="str">
        <v>Microsoft Corp</v>
      </c>
      <c r="D910" s="6" t="str">
        <v>Microsoft Corp</v>
      </c>
      <c r="F910" s="6" t="str">
        <v>United States</v>
      </c>
      <c r="G910" s="6" t="str">
        <v>LinkedIn Corp</v>
      </c>
      <c r="H910" s="6" t="str">
        <v>Business Services</v>
      </c>
      <c r="I910" s="6" t="str">
        <v>53578A</v>
      </c>
      <c r="J910" s="6" t="str">
        <v>LinkedIn Corp</v>
      </c>
      <c r="K910" s="6" t="str">
        <v>LinkedIn Corp</v>
      </c>
      <c r="L910" s="7">
        <f>=DATE(2016,6,13)</f>
        <v>42533.99949074074</v>
      </c>
      <c r="M910" s="7">
        <f>=DATE(2016,12,8)</f>
        <v>42711.99949074074</v>
      </c>
      <c r="N910" s="8">
        <v>26638.847</v>
      </c>
      <c r="O910" s="8">
        <v>26638.847</v>
      </c>
      <c r="P910" s="8" t="str">
        <v>24,420.47</v>
      </c>
      <c r="R910" s="8">
        <v>-167.638</v>
      </c>
      <c r="S910" s="8">
        <v>3213.874</v>
      </c>
      <c r="T910" s="8">
        <v>51.2</v>
      </c>
      <c r="U910" s="8">
        <v>-1204.8</v>
      </c>
      <c r="V910" s="8">
        <v>894.03</v>
      </c>
      <c r="W910" s="6" t="str">
        <v>Computer Consulting Services;Operating Systems;Internet Services &amp; Software;Other Peripherals;Applications Software(Business;Monitors/Terminals</v>
      </c>
      <c r="X910" s="6" t="str">
        <v>Internet Services &amp; Software</v>
      </c>
      <c r="Y910" s="6" t="str">
        <v>Internet Services &amp; Software</v>
      </c>
      <c r="Z910" s="6" t="str">
        <v>Internet Services &amp; Software</v>
      </c>
      <c r="AA910" s="6" t="str">
        <v>Internet Services &amp; Software;Monitors/Terminals;Computer Consulting Services;Applications Software(Business;Other Peripherals;Operating Systems</v>
      </c>
      <c r="AB910" s="6" t="str">
        <v>Operating Systems;Internet Services &amp; Software;Monitors/Terminals;Computer Consulting Services;Applications Software(Business;Other Peripherals</v>
      </c>
      <c r="AC910" s="8">
        <v>26638.847</v>
      </c>
      <c r="AD910" s="7">
        <f>=DATE(2016,6,13)</f>
        <v>42533.99949074074</v>
      </c>
      <c r="AE910" s="8">
        <v>26895.878912</v>
      </c>
      <c r="AF910" s="8" t="str">
        <v>24,617.47</v>
      </c>
      <c r="AG910" s="8" t="str">
        <v>24,393.15</v>
      </c>
      <c r="AH910" s="6" t="str">
        <v>True</v>
      </c>
      <c r="AI910" s="6" t="str">
        <v>2016</v>
      </c>
      <c r="AJ910" s="6" t="str">
        <v>Completed</v>
      </c>
      <c r="AK910" s="8">
        <v>26895.878912</v>
      </c>
      <c r="AL910" s="8">
        <v>137.223872</v>
      </c>
      <c r="AM910" s="6" t="str">
        <v>Rumored Deal</v>
      </c>
      <c r="AN910" s="8">
        <v>1931.316</v>
      </c>
      <c r="AO910" s="6" t="str">
        <v>US - Microsoft Corp (Microsoft) acquired the entire share capital of LinkedIn Corp (LinkedIn), a Mountain View-based provider of online networking services, for USD 196 in cash per share, or a total value of USD 26.639 bil. Originally, in April 2016, Microsoft was rumored to be planning to acquire LinkedIn.</v>
      </c>
    </row>
    <row r="911">
      <c r="A911" s="6" t="str">
        <v>594918</v>
      </c>
      <c r="B911" s="6" t="str">
        <v>United States</v>
      </c>
      <c r="C911" s="6" t="str">
        <v>Microsoft Corp</v>
      </c>
      <c r="D911" s="6" t="str">
        <v>Microsoft Corp</v>
      </c>
      <c r="F911" s="6" t="str">
        <v>United States</v>
      </c>
      <c r="G911" s="6" t="str">
        <v>Wand Labs Inc</v>
      </c>
      <c r="H911" s="6" t="str">
        <v>Business Services</v>
      </c>
      <c r="I911" s="6" t="str">
        <v>6E6694</v>
      </c>
      <c r="J911" s="6" t="str">
        <v>Wand Labs Inc</v>
      </c>
      <c r="K911" s="6" t="str">
        <v>Wand Labs Inc</v>
      </c>
      <c r="L911" s="7">
        <f>=DATE(2016,6,16)</f>
        <v>42536.99949074074</v>
      </c>
      <c r="W911" s="6" t="str">
        <v>Internet Services &amp; Software;Monitors/Terminals;Applications Software(Business;Operating Systems;Computer Consulting Services;Other Peripherals</v>
      </c>
      <c r="X911" s="6" t="str">
        <v>Computer Consulting Services;Programming Services;Other Computer Related Svcs</v>
      </c>
      <c r="Y911" s="6" t="str">
        <v>Programming Services;Computer Consulting Services;Other Computer Related Svcs</v>
      </c>
      <c r="Z911" s="6" t="str">
        <v>Programming Services;Other Computer Related Svcs;Computer Consulting Services</v>
      </c>
      <c r="AA911" s="6" t="str">
        <v>Computer Consulting Services;Operating Systems;Other Peripherals;Monitors/Terminals;Applications Software(Business;Internet Services &amp; Software</v>
      </c>
      <c r="AB911" s="6" t="str">
        <v>Internet Services &amp; Software;Monitors/Terminals;Computer Consulting Services;Other Peripherals;Operating Systems;Applications Software(Business</v>
      </c>
      <c r="AH911" s="6" t="str">
        <v>False</v>
      </c>
      <c r="AJ911" s="6" t="str">
        <v>Pending</v>
      </c>
      <c r="AM911" s="6" t="str">
        <v>Not Applicable</v>
      </c>
      <c r="AO911" s="6" t="str">
        <v>US - Microsoft Corp agreed to acquire Wand Labs Inc, a Redwood-based provider of messaging technology services. Terms were not disclosed.</v>
      </c>
    </row>
    <row r="912">
      <c r="A912" s="6" t="str">
        <v>6E8666</v>
      </c>
      <c r="B912" s="6" t="str">
        <v>United States</v>
      </c>
      <c r="C912" s="6" t="str">
        <v>Google Fiber Inc</v>
      </c>
      <c r="D912" s="6" t="str">
        <v>Alphabet Inc</v>
      </c>
      <c r="F912" s="6" t="str">
        <v>United States</v>
      </c>
      <c r="G912" s="6" t="str">
        <v>Webpass Inc</v>
      </c>
      <c r="H912" s="6" t="str">
        <v>Telecommunications</v>
      </c>
      <c r="I912" s="6" t="str">
        <v>6E8669</v>
      </c>
      <c r="J912" s="6" t="str">
        <v>Webpass Inc</v>
      </c>
      <c r="K912" s="6" t="str">
        <v>Webpass Inc</v>
      </c>
      <c r="L912" s="7">
        <f>=DATE(2016,6,22)</f>
        <v>42542.99949074074</v>
      </c>
      <c r="M912" s="7">
        <f>=DATE(2016,10,3)</f>
        <v>42645.99949074074</v>
      </c>
      <c r="W912" s="6" t="str">
        <v>Telecommunications Equipment</v>
      </c>
      <c r="X912" s="6" t="str">
        <v>Telecommunications Equipment</v>
      </c>
      <c r="Y912" s="6" t="str">
        <v>Telecommunications Equipment</v>
      </c>
      <c r="Z912" s="6" t="str">
        <v>Telecommunications Equipment</v>
      </c>
      <c r="AA912" s="6" t="str">
        <v>Programming Services;Internet Services &amp; Software</v>
      </c>
      <c r="AB912" s="6" t="str">
        <v>Programming Services;Primary Business not Hi-Tech;Computer Consulting Services;Internet Services &amp; Software;Telecommunications Equipment</v>
      </c>
      <c r="AH912" s="6" t="str">
        <v>False</v>
      </c>
      <c r="AI912" s="6" t="str">
        <v>2016</v>
      </c>
      <c r="AJ912" s="6" t="str">
        <v>Completed</v>
      </c>
      <c r="AM912" s="6" t="str">
        <v>Not Applicable</v>
      </c>
      <c r="AO912" s="6" t="str">
        <v>US - Google Fiber Inc, a unit of Google Inc, acquired Webpass Inc, a San Francisco-based wired telecommunications carrier.</v>
      </c>
    </row>
    <row r="913">
      <c r="A913" s="6" t="str">
        <v>037833</v>
      </c>
      <c r="B913" s="6" t="str">
        <v>United States</v>
      </c>
      <c r="C913" s="6" t="str">
        <v>Apple Inc</v>
      </c>
      <c r="D913" s="6" t="str">
        <v>Apple Inc</v>
      </c>
      <c r="F913" s="6" t="str">
        <v>Sweden</v>
      </c>
      <c r="G913" s="6" t="str">
        <v>Aspiro AB</v>
      </c>
      <c r="H913" s="6" t="str">
        <v>Business Services</v>
      </c>
      <c r="I913" s="6" t="str">
        <v>04555R</v>
      </c>
      <c r="J913" s="6" t="str">
        <v>S Carter Enterprises LLC</v>
      </c>
      <c r="K913" s="6" t="str">
        <v>Project Panther Bidco Ltd</v>
      </c>
      <c r="L913" s="7">
        <f>=DATE(2016,6,30)</f>
        <v>42550.99949074074</v>
      </c>
      <c r="R913" s="8">
        <v>-21.2122189829805</v>
      </c>
      <c r="S913" s="8">
        <v>0.691955797794499</v>
      </c>
      <c r="W913" s="6" t="str">
        <v>Other Software (inq. Games);Micro-Computers (PCs);Portable Computers;Printers;Monitors/Terminals;Disk Drives;Mainframes &amp; Super Computers;Other Peripherals</v>
      </c>
      <c r="X913" s="6" t="str">
        <v>Data Processing Services;Internet Services &amp; Software;Other Computer Related Svcs</v>
      </c>
      <c r="Y913" s="6" t="str">
        <v>Primary Business not Hi-Tech</v>
      </c>
      <c r="Z913" s="6" t="str">
        <v>Primary Business not Hi-Tech</v>
      </c>
      <c r="AA913" s="6" t="str">
        <v>Portable Computers;Other Peripherals;Other Software (inq. Games);Mainframes &amp; Super Computers;Monitors/Terminals;Disk Drives;Printers;Micro-Computers (PCs)</v>
      </c>
      <c r="AB913" s="6" t="str">
        <v>Mainframes &amp; Super Computers;Printers;Other Software (inq. Games);Micro-Computers (PCs);Portable Computers;Monitors/Terminals;Disk Drives;Other Peripherals</v>
      </c>
      <c r="AH913" s="6" t="str">
        <v>True</v>
      </c>
      <c r="AJ913" s="6" t="str">
        <v>Dismissed Rumor</v>
      </c>
      <c r="AM913" s="6" t="str">
        <v>Divestiture;Rumored Deal</v>
      </c>
      <c r="AO913" s="6" t="str">
        <v>SWEDEN - Apple Inc of the US discontinued the rumors to be planning to acquire Aspiro AB, a Malmo-based internet portal operator, from Project Panther Bidco Ltd, ultimately owned by S Carter Enterprises LLC.</v>
      </c>
    </row>
    <row r="914">
      <c r="A914" s="6" t="str">
        <v>38259P</v>
      </c>
      <c r="B914" s="6" t="str">
        <v>United States</v>
      </c>
      <c r="C914" s="6" t="str">
        <v>Google Inc</v>
      </c>
      <c r="D914" s="6" t="str">
        <v>Alphabet Inc</v>
      </c>
      <c r="F914" s="6" t="str">
        <v>United States</v>
      </c>
      <c r="G914" s="6" t="str">
        <v>Anvato Inc</v>
      </c>
      <c r="H914" s="6" t="str">
        <v>Prepackaged Software</v>
      </c>
      <c r="I914" s="6" t="str">
        <v>7E3034</v>
      </c>
      <c r="J914" s="6" t="str">
        <v>Anvato Inc</v>
      </c>
      <c r="K914" s="6" t="str">
        <v>Anvato Inc</v>
      </c>
      <c r="L914" s="7">
        <f>=DATE(2016,7,8)</f>
        <v>42558.99949074074</v>
      </c>
      <c r="M914" s="7">
        <f>=DATE(2016,7,8)</f>
        <v>42558.99949074074</v>
      </c>
      <c r="W914" s="6" t="str">
        <v>Internet Services &amp; Software;Programming Services</v>
      </c>
      <c r="X914" s="6" t="str">
        <v>Communication/Network Software;Primary Business not Hi-Tech</v>
      </c>
      <c r="Y914" s="6" t="str">
        <v>Communication/Network Software;Primary Business not Hi-Tech</v>
      </c>
      <c r="Z914" s="6" t="str">
        <v>Communication/Network Software;Primary Business not Hi-Tech</v>
      </c>
      <c r="AA914" s="6" t="str">
        <v>Telecommunications Equipment;Internet Services &amp; Software;Programming Services;Computer Consulting Services;Primary Business not Hi-Tech</v>
      </c>
      <c r="AB914" s="6" t="str">
        <v>Internet Services &amp; Software;Primary Business not Hi-Tech;Programming Services;Computer Consulting Services;Telecommunications Equipment</v>
      </c>
      <c r="AH914" s="6" t="str">
        <v>False</v>
      </c>
      <c r="AI914" s="6" t="str">
        <v>2016</v>
      </c>
      <c r="AJ914" s="6" t="str">
        <v>Completed</v>
      </c>
      <c r="AM914" s="6" t="str">
        <v>Not Applicable</v>
      </c>
      <c r="AO914" s="6" t="str">
        <v>US - Google Inc, a unit of Alphabet Inc, acquired Anvato Inc, a Mountain View-based software publisher.</v>
      </c>
    </row>
    <row r="915">
      <c r="A915" s="6" t="str">
        <v>38259P</v>
      </c>
      <c r="B915" s="6" t="str">
        <v>United States</v>
      </c>
      <c r="C915" s="6" t="str">
        <v>Google Inc</v>
      </c>
      <c r="D915" s="6" t="str">
        <v>Alphabet Inc</v>
      </c>
      <c r="F915" s="6" t="str">
        <v>United States</v>
      </c>
      <c r="G915" s="6" t="str">
        <v>FortyTwo Inc</v>
      </c>
      <c r="H915" s="6" t="str">
        <v>Prepackaged Software</v>
      </c>
      <c r="I915" s="6" t="str">
        <v>9E1083</v>
      </c>
      <c r="J915" s="6" t="str">
        <v>FortyTwo Inc</v>
      </c>
      <c r="K915" s="6" t="str">
        <v>FortyTwo Inc</v>
      </c>
      <c r="L915" s="7">
        <f>=DATE(2016,7,12)</f>
        <v>42562.99949074074</v>
      </c>
      <c r="M915" s="7">
        <f>=DATE(2016,7,12)</f>
        <v>42562.99949074074</v>
      </c>
      <c r="W915" s="6" t="str">
        <v>Internet Services &amp; Software;Programming Services</v>
      </c>
      <c r="X915" s="6" t="str">
        <v>Communication/Network Software;Programming Services</v>
      </c>
      <c r="Y915" s="6" t="str">
        <v>Programming Services;Communication/Network Software</v>
      </c>
      <c r="Z915" s="6" t="str">
        <v>Communication/Network Software;Programming Services</v>
      </c>
      <c r="AA915" s="6" t="str">
        <v>Computer Consulting Services;Telecommunications Equipment;Internet Services &amp; Software;Programming Services;Primary Business not Hi-Tech</v>
      </c>
      <c r="AB915" s="6" t="str">
        <v>Telecommunications Equipment;Computer Consulting Services;Internet Services &amp; Software;Primary Business not Hi-Tech;Programming Services</v>
      </c>
      <c r="AH915" s="6" t="str">
        <v>False</v>
      </c>
      <c r="AI915" s="6" t="str">
        <v>2016</v>
      </c>
      <c r="AJ915" s="6" t="str">
        <v>Completed</v>
      </c>
      <c r="AM915" s="6" t="str">
        <v>Not Applicable</v>
      </c>
      <c r="AO915" s="6" t="str">
        <v>US - Google Inc, a unit of Alphabet Inc, acquired FortyTwo Inc, a Mountain View-based software developer.</v>
      </c>
    </row>
    <row r="916">
      <c r="A916" s="6" t="str">
        <v>023135</v>
      </c>
      <c r="B916" s="6" t="str">
        <v>United States</v>
      </c>
      <c r="C916" s="6" t="str">
        <v>Amazon.com Inc</v>
      </c>
      <c r="D916" s="6" t="str">
        <v>Amazon.com Inc</v>
      </c>
      <c r="F916" s="6" t="str">
        <v>United States</v>
      </c>
      <c r="G916" s="6" t="str">
        <v>Cloud9 IDE Inc</v>
      </c>
      <c r="H916" s="6" t="str">
        <v>Prepackaged Software</v>
      </c>
      <c r="I916" s="6" t="str">
        <v>9E0142</v>
      </c>
      <c r="J916" s="6" t="str">
        <v>Cloud9 IDE Inc</v>
      </c>
      <c r="K916" s="6" t="str">
        <v>Cloud9 IDE Inc</v>
      </c>
      <c r="L916" s="7">
        <f>=DATE(2016,7,14)</f>
        <v>42564.99949074074</v>
      </c>
      <c r="M916" s="7">
        <f>=DATE(2016,7,14)</f>
        <v>42564.99949074074</v>
      </c>
      <c r="W916" s="6" t="str">
        <v>Primary Business not Hi-Tech</v>
      </c>
      <c r="X916" s="6" t="str">
        <v>Programming Services;Communication/Network Software</v>
      </c>
      <c r="Y916" s="6" t="str">
        <v>Programming Services;Communication/Network Software</v>
      </c>
      <c r="Z916" s="6" t="str">
        <v>Programming Services;Communication/Network Software</v>
      </c>
      <c r="AA916" s="6" t="str">
        <v>Primary Business not Hi-Tech</v>
      </c>
      <c r="AB916" s="6" t="str">
        <v>Primary Business not Hi-Tech</v>
      </c>
      <c r="AH916" s="6" t="str">
        <v>False</v>
      </c>
      <c r="AI916" s="6" t="str">
        <v>2016</v>
      </c>
      <c r="AJ916" s="6" t="str">
        <v>Completed</v>
      </c>
      <c r="AM916" s="6" t="str">
        <v>Not Applicable</v>
      </c>
      <c r="AO916" s="6" t="str">
        <v>US - Amazon.com Inc acquired Cloud9 IDE Inc, a San Francisco-based software publisher. Terms of the deal were not disclosed.</v>
      </c>
    </row>
    <row r="917">
      <c r="A917" s="6" t="str">
        <v>67020Y</v>
      </c>
      <c r="B917" s="6" t="str">
        <v>United States</v>
      </c>
      <c r="C917" s="6" t="str">
        <v>Nuance Communications Inc</v>
      </c>
      <c r="D917" s="6" t="str">
        <v>Nuance Communications Inc</v>
      </c>
      <c r="F917" s="6" t="str">
        <v>United States</v>
      </c>
      <c r="G917" s="6" t="str">
        <v>TouchCommerce Inc</v>
      </c>
      <c r="H917" s="6" t="str">
        <v>Prepackaged Software</v>
      </c>
      <c r="I917" s="6" t="str">
        <v>7E5310</v>
      </c>
      <c r="J917" s="6" t="str">
        <v>TouchCommerce Inc</v>
      </c>
      <c r="K917" s="6" t="str">
        <v>TouchCommerce Inc</v>
      </c>
      <c r="L917" s="7">
        <f>=DATE(2016,7,20)</f>
        <v>42570.99949074074</v>
      </c>
      <c r="M917" s="7">
        <f>=DATE(2016,8,16)</f>
        <v>42597.99949074074</v>
      </c>
      <c r="N917" s="8">
        <v>215</v>
      </c>
      <c r="O917" s="8">
        <v>215</v>
      </c>
      <c r="S917" s="8">
        <v>12.138</v>
      </c>
      <c r="W917" s="6" t="str">
        <v>Desktop Publishing;Primary Business not Hi-Tech;Database Software/Programming;Networking Systems (LAN,WAN);Internet Services &amp; Software;Programming Services;Other Computer Related Svcs;Other Software (inq. Games);Computer Consulting Services;Communication/Network Software;Applications Software(Home);Applications Software(Business;Utilities/File Mgmt Software</v>
      </c>
      <c r="X917" s="6" t="str">
        <v>Communication/Network Software;Internet Services &amp; Software</v>
      </c>
      <c r="Y917" s="6" t="str">
        <v>Internet Services &amp; Software;Communication/Network Software</v>
      </c>
      <c r="Z917" s="6" t="str">
        <v>Internet Services &amp; Software;Communication/Network Software</v>
      </c>
      <c r="AA917" s="6" t="str">
        <v>Internet Services &amp; Software;Applications Software(Business;Utilities/File Mgmt Software;Database Software/Programming;Programming Services;Other Software (inq. Games);Other Computer Related Svcs;Communication/Network Software;Desktop Publishing;Computer Consulting Services;Applications Software(Home);Primary Business not Hi-Tech;Networking Systems (LAN,WAN)</v>
      </c>
      <c r="AB917" s="6" t="str">
        <v>Database Software/Programming;Other Software (inq. Games);Networking Systems (LAN,WAN);Applications Software(Home);Utilities/File Mgmt Software;Internet Services &amp; Software;Communication/Network Software;Programming Services;Other Computer Related Svcs;Desktop Publishing;Computer Consulting Services;Primary Business not Hi-Tech;Applications Software(Business</v>
      </c>
      <c r="AC917" s="8">
        <v>215</v>
      </c>
      <c r="AD917" s="7">
        <f>=DATE(2016,7,20)</f>
        <v>42570.99949074074</v>
      </c>
      <c r="AH917" s="6" t="str">
        <v>True</v>
      </c>
      <c r="AI917" s="6" t="str">
        <v>2016</v>
      </c>
      <c r="AJ917" s="6" t="str">
        <v>Completed</v>
      </c>
      <c r="AM917" s="6" t="str">
        <v>Financial Acquiror</v>
      </c>
      <c r="AO917" s="6" t="str">
        <v>US - Nuance Communications Inc (Nuance) acquired TouchCommerce Inc, an Agoura Hills-based provider of software development services, for USD 215 mil. Nuance offered a choice of USD 215 mil in cash or USD 110 mil in cash and USD 105 mil in Nuance common shares.</v>
      </c>
    </row>
    <row r="918">
      <c r="A918" s="6" t="str">
        <v>53578A</v>
      </c>
      <c r="B918" s="6" t="str">
        <v>United States</v>
      </c>
      <c r="C918" s="6" t="str">
        <v>LinkedIn Corp</v>
      </c>
      <c r="D918" s="6" t="str">
        <v>LinkedIn Corp</v>
      </c>
      <c r="F918" s="6" t="str">
        <v>United States</v>
      </c>
      <c r="G918" s="6" t="str">
        <v>PointDrive Holdings LLC</v>
      </c>
      <c r="H918" s="6" t="str">
        <v>Prepackaged Software</v>
      </c>
      <c r="I918" s="6" t="str">
        <v>8E2769</v>
      </c>
      <c r="J918" s="6" t="str">
        <v>PointDrive Holdings LLC</v>
      </c>
      <c r="K918" s="6" t="str">
        <v>PointDrive Holdings LLC</v>
      </c>
      <c r="L918" s="7">
        <f>=DATE(2016,7,22)</f>
        <v>42572.99949074074</v>
      </c>
      <c r="M918" s="7">
        <f>=DATE(2016,7,22)</f>
        <v>42572.99949074074</v>
      </c>
      <c r="W918" s="6" t="str">
        <v>Internet Services &amp; Software</v>
      </c>
      <c r="X918" s="6" t="str">
        <v>Other Software (inq. Games)</v>
      </c>
      <c r="Y918" s="6" t="str">
        <v>Other Software (inq. Games)</v>
      </c>
      <c r="Z918" s="6" t="str">
        <v>Other Software (inq. Games)</v>
      </c>
      <c r="AA918" s="6" t="str">
        <v>Internet Services &amp; Software</v>
      </c>
      <c r="AB918" s="6" t="str">
        <v>Internet Services &amp; Software</v>
      </c>
      <c r="AH918" s="6" t="str">
        <v>False</v>
      </c>
      <c r="AI918" s="6" t="str">
        <v>2016</v>
      </c>
      <c r="AJ918" s="6" t="str">
        <v>Completed</v>
      </c>
      <c r="AM918" s="6" t="str">
        <v>Financial Acquiror</v>
      </c>
      <c r="AO918" s="6" t="str">
        <v>US - LinkedIn Corp acquired PointDrive Holdings LLC, a Chicago-based software publisher.</v>
      </c>
    </row>
    <row r="919">
      <c r="A919" s="6" t="str">
        <v>037833</v>
      </c>
      <c r="B919" s="6" t="str">
        <v>United States</v>
      </c>
      <c r="C919" s="6" t="str">
        <v>Apple Inc</v>
      </c>
      <c r="D919" s="6" t="str">
        <v>Apple Inc</v>
      </c>
      <c r="F919" s="6" t="str">
        <v>United States</v>
      </c>
      <c r="G919" s="6" t="str">
        <v>Booklamp</v>
      </c>
      <c r="H919" s="6" t="str">
        <v>Prepackaged Software</v>
      </c>
      <c r="I919" s="6" t="str">
        <v>0L2663</v>
      </c>
      <c r="J919" s="6" t="str">
        <v>Booklamp</v>
      </c>
      <c r="K919" s="6" t="str">
        <v>Booklamp</v>
      </c>
      <c r="L919" s="7">
        <f>=DATE(2016,7,26)</f>
        <v>42576.99949074074</v>
      </c>
      <c r="M919" s="7">
        <f>=DATE(2016,7,26)</f>
        <v>42576.99949074074</v>
      </c>
      <c r="W919" s="6" t="str">
        <v>Mainframes &amp; Super Computers;Monitors/Terminals;Other Software (inq. Games);Portable Computers;Other Peripherals;Disk Drives;Printers;Micro-Computers (PCs)</v>
      </c>
      <c r="X919" s="6" t="str">
        <v>Other Software (inq. Games);Internet Services &amp; Software;Utilities/File Mgmt Software;Communication/Network Software;Desktop Publishing;Applications Software(Business;Applications Software(Home)</v>
      </c>
      <c r="Y919" s="6" t="str">
        <v>Applications Software(Business;Communication/Network Software;Desktop Publishing;Applications Software(Home);Other Software (inq. Games);Internet Services &amp; Software;Utilities/File Mgmt Software</v>
      </c>
      <c r="Z919" s="6" t="str">
        <v>Applications Software(Business;Applications Software(Home);Desktop Publishing;Utilities/File Mgmt Software;Other Software (inq. Games);Communication/Network Software;Internet Services &amp; Software</v>
      </c>
      <c r="AA919" s="6" t="str">
        <v>Mainframes &amp; Super Computers;Monitors/Terminals;Disk Drives;Other Software (inq. Games);Printers;Other Peripherals;Micro-Computers (PCs);Portable Computers</v>
      </c>
      <c r="AB919" s="6" t="str">
        <v>Mainframes &amp; Super Computers;Portable Computers;Printers;Micro-Computers (PCs);Disk Drives;Other Software (inq. Games);Monitors/Terminals;Other Peripherals</v>
      </c>
      <c r="AH919" s="6" t="str">
        <v>True</v>
      </c>
      <c r="AI919" s="6" t="str">
        <v>2016</v>
      </c>
      <c r="AJ919" s="6" t="str">
        <v>Completed</v>
      </c>
      <c r="AM919" s="6" t="str">
        <v>Not Applicable</v>
      </c>
      <c r="AO919" s="6" t="str">
        <v>US - Apple Inc acquired Booklamp, a Boise-based software publisher.</v>
      </c>
    </row>
    <row r="920">
      <c r="A920" s="6" t="str">
        <v>037833</v>
      </c>
      <c r="B920" s="6" t="str">
        <v>United States</v>
      </c>
      <c r="C920" s="6" t="str">
        <v>Apple Inc</v>
      </c>
      <c r="D920" s="6" t="str">
        <v>Apple Inc</v>
      </c>
      <c r="F920" s="6" t="str">
        <v>United States</v>
      </c>
      <c r="G920" s="6" t="str">
        <v>Apple Inc</v>
      </c>
      <c r="H920" s="6" t="str">
        <v>Computer and Office Equipment</v>
      </c>
      <c r="I920" s="6" t="str">
        <v>037833</v>
      </c>
      <c r="J920" s="6" t="str">
        <v>Apple Inc</v>
      </c>
      <c r="K920" s="6" t="str">
        <v>Apple Inc</v>
      </c>
      <c r="L920" s="7">
        <f>=DATE(2016,8,1)</f>
        <v>42582.99949074074</v>
      </c>
      <c r="M920" s="7">
        <f>=DATE(2016,11,1)</f>
        <v>42674.99949074074</v>
      </c>
      <c r="N920" s="8">
        <v>3000</v>
      </c>
      <c r="O920" s="8">
        <v>3000</v>
      </c>
      <c r="P920" s="8" t="str">
        <v>625,239.67</v>
      </c>
      <c r="R920" s="8">
        <v>47797</v>
      </c>
      <c r="S920" s="8">
        <v>220288</v>
      </c>
      <c r="T920" s="8">
        <v>-20300</v>
      </c>
      <c r="U920" s="8">
        <v>-39955</v>
      </c>
      <c r="V920" s="8">
        <v>63173</v>
      </c>
      <c r="W920" s="6" t="str">
        <v>Monitors/Terminals;Disk Drives;Other Software (inq. Games);Printers;Mainframes &amp; Super Computers;Other Peripherals;Micro-Computers (PCs);Portable Computers</v>
      </c>
      <c r="X920" s="6" t="str">
        <v>Other Software (inq. Games);Monitors/Terminals;Other Peripherals;Printers;Micro-Computers (PCs);Disk Drives;Mainframes &amp; Super Computers;Portable Computers</v>
      </c>
      <c r="Y920" s="6" t="str">
        <v>Other Peripherals;Mainframes &amp; Super Computers;Other Software (inq. Games);Printers;Portable Computers;Micro-Computers (PCs);Monitors/Terminals;Disk Drives</v>
      </c>
      <c r="Z920" s="6" t="str">
        <v>Micro-Computers (PCs);Monitors/Terminals;Portable Computers;Disk Drives;Other Software (inq. Games);Other Peripherals;Mainframes &amp; Super Computers;Printers</v>
      </c>
      <c r="AA920" s="6" t="str">
        <v>Other Peripherals;Micro-Computers (PCs);Mainframes &amp; Super Computers;Disk Drives;Portable Computers;Printers;Other Software (inq. Games);Monitors/Terminals</v>
      </c>
      <c r="AB920" s="6" t="str">
        <v>Mainframes &amp; Super Computers;Monitors/Terminals;Other Peripherals;Other Software (inq. Games);Portable Computers;Printers;Disk Drives;Micro-Computers (PCs)</v>
      </c>
      <c r="AC920" s="8">
        <v>3000</v>
      </c>
      <c r="AD920" s="7">
        <f>=DATE(2016,8,1)</f>
        <v>42582.99949074074</v>
      </c>
      <c r="AF920" s="8" t="str">
        <v>625,239.67</v>
      </c>
      <c r="AG920" s="8" t="str">
        <v>625,239.67</v>
      </c>
      <c r="AH920" s="6" t="str">
        <v>True</v>
      </c>
      <c r="AI920" s="6" t="str">
        <v>2016</v>
      </c>
      <c r="AJ920" s="6" t="str">
        <v>Completed</v>
      </c>
      <c r="AM920" s="6" t="str">
        <v>Repurchase;Open Market Purchase</v>
      </c>
      <c r="AN920" s="8">
        <v>8767</v>
      </c>
      <c r="AO920" s="6" t="str">
        <v>US - On 1 November 2016, the board of Apple Inc, a Cupertino-based manufacturer and wholesaler of mobile communication and computer related products, authorized the repurchase of up to USD 3 bil of the company's entire common share capital, in an accelerated transaction.</v>
      </c>
    </row>
    <row r="921">
      <c r="A921" s="6" t="str">
        <v>67020Y</v>
      </c>
      <c r="B921" s="6" t="str">
        <v>United States</v>
      </c>
      <c r="C921" s="6" t="str">
        <v>Nuance Communications Inc</v>
      </c>
      <c r="D921" s="6" t="str">
        <v>Nuance Communications Inc</v>
      </c>
      <c r="F921" s="6" t="str">
        <v>United States</v>
      </c>
      <c r="G921" s="6" t="str">
        <v>Montage Healthcare Solutions Inc</v>
      </c>
      <c r="H921" s="6" t="str">
        <v>Prepackaged Software</v>
      </c>
      <c r="I921" s="6" t="str">
        <v>60616V</v>
      </c>
      <c r="J921" s="6" t="str">
        <v>Montage Healthcare Solutions Inc</v>
      </c>
      <c r="K921" s="6" t="str">
        <v>Montage Healthcare Solutions Inc</v>
      </c>
      <c r="L921" s="7">
        <f>=DATE(2016,8,3)</f>
        <v>42584.99949074074</v>
      </c>
      <c r="M921" s="7">
        <f>=DATE(2016,8,3)</f>
        <v>42584.99949074074</v>
      </c>
      <c r="W921" s="6" t="str">
        <v>Communication/Network Software;Other Software (inq. Games);Internet Services &amp; Software;Primary Business not Hi-Tech;Networking Systems (LAN,WAN);Database Software/Programming;Programming Services;Applications Software(Business;Desktop Publishing;Other Computer Related Svcs;Computer Consulting Services;Applications Software(Home);Utilities/File Mgmt Software</v>
      </c>
      <c r="X921" s="6" t="str">
        <v>Internet Services &amp; Software</v>
      </c>
      <c r="Y921" s="6" t="str">
        <v>Internet Services &amp; Software</v>
      </c>
      <c r="Z921" s="6" t="str">
        <v>Internet Services &amp; Software</v>
      </c>
      <c r="AA921" s="6" t="str">
        <v>Database Software/Programming;Applications Software(Business;Internet Services &amp; Software;Other Software (inq. Games);Applications Software(Home);Communication/Network Software;Utilities/File Mgmt Software;Computer Consulting Services;Programming Services;Other Computer Related Svcs;Networking Systems (LAN,WAN);Primary Business not Hi-Tech;Desktop Publishing</v>
      </c>
      <c r="AB921" s="6" t="str">
        <v>Communication/Network Software;Internet Services &amp; Software;Utilities/File Mgmt Software;Applications Software(Business;Primary Business not Hi-Tech;Desktop Publishing;Applications Software(Home);Other Software (inq. Games);Other Computer Related Svcs;Networking Systems (LAN,WAN);Programming Services;Computer Consulting Services;Database Software/Programming</v>
      </c>
      <c r="AH921" s="6" t="str">
        <v>False</v>
      </c>
      <c r="AI921" s="6" t="str">
        <v>2016</v>
      </c>
      <c r="AJ921" s="6" t="str">
        <v>Completed</v>
      </c>
      <c r="AM921" s="6" t="str">
        <v>Financial Acquiror</v>
      </c>
      <c r="AO921" s="6" t="str">
        <v>US - Nuance Communications Inc acquired Montage Healthcare Solutions Inc, a Philadelphia-based provider of software services.</v>
      </c>
    </row>
    <row r="922">
      <c r="A922" s="6" t="str">
        <v>037833</v>
      </c>
      <c r="B922" s="6" t="str">
        <v>United States</v>
      </c>
      <c r="C922" s="6" t="str">
        <v>Apple Inc</v>
      </c>
      <c r="D922" s="6" t="str">
        <v>Apple Inc</v>
      </c>
      <c r="F922" s="6" t="str">
        <v>United States</v>
      </c>
      <c r="G922" s="6" t="str">
        <v>Turi</v>
      </c>
      <c r="H922" s="6" t="str">
        <v>Prepackaged Software</v>
      </c>
      <c r="I922" s="6" t="str">
        <v>7E9472</v>
      </c>
      <c r="J922" s="6" t="str">
        <v>Turi</v>
      </c>
      <c r="K922" s="6" t="str">
        <v>Turi</v>
      </c>
      <c r="L922" s="7">
        <f>=DATE(2016,8,8)</f>
        <v>42589.99949074074</v>
      </c>
      <c r="M922" s="7">
        <f>=DATE(2016,8,8)</f>
        <v>42589.99949074074</v>
      </c>
      <c r="W922" s="6" t="str">
        <v>Micro-Computers (PCs);Disk Drives;Portable Computers;Other Software (inq. Games);Monitors/Terminals;Printers;Mainframes &amp; Super Computers;Other Peripherals</v>
      </c>
      <c r="X922" s="6" t="str">
        <v>Other Software (inq. Games)</v>
      </c>
      <c r="Y922" s="6" t="str">
        <v>Other Software (inq. Games)</v>
      </c>
      <c r="Z922" s="6" t="str">
        <v>Other Software (inq. Games)</v>
      </c>
      <c r="AA922" s="6" t="str">
        <v>Micro-Computers (PCs);Disk Drives;Mainframes &amp; Super Computers;Portable Computers;Other Software (inq. Games);Other Peripherals;Monitors/Terminals;Printers</v>
      </c>
      <c r="AB922" s="6" t="str">
        <v>Mainframes &amp; Super Computers;Printers;Portable Computers;Disk Drives;Other Peripherals;Other Software (inq. Games);Micro-Computers (PCs);Monitors/Terminals</v>
      </c>
      <c r="AH922" s="6" t="str">
        <v>False</v>
      </c>
      <c r="AI922" s="6" t="str">
        <v>2016</v>
      </c>
      <c r="AJ922" s="6" t="str">
        <v>Completed</v>
      </c>
      <c r="AM922" s="6" t="str">
        <v>Not Applicable</v>
      </c>
      <c r="AO922" s="6" t="str">
        <v>US - Apple Inc acquired Turi, software publisher.</v>
      </c>
    </row>
    <row r="923">
      <c r="A923" s="6" t="str">
        <v>38259P</v>
      </c>
      <c r="B923" s="6" t="str">
        <v>United States</v>
      </c>
      <c r="C923" s="6" t="str">
        <v>Google Inc</v>
      </c>
      <c r="D923" s="6" t="str">
        <v>Alphabet Inc</v>
      </c>
      <c r="F923" s="6" t="str">
        <v>United States</v>
      </c>
      <c r="G923" s="6" t="str">
        <v>Orbitera Inc</v>
      </c>
      <c r="H923" s="6" t="str">
        <v>Business Services</v>
      </c>
      <c r="I923" s="6" t="str">
        <v>8E2750</v>
      </c>
      <c r="J923" s="6" t="str">
        <v>Orbitera Inc</v>
      </c>
      <c r="K923" s="6" t="str">
        <v>Orbitera Inc</v>
      </c>
      <c r="L923" s="7">
        <f>=DATE(2016,8,8)</f>
        <v>42589.99949074074</v>
      </c>
      <c r="M923" s="7">
        <f>=DATE(2016,8,8)</f>
        <v>42589.99949074074</v>
      </c>
      <c r="W923" s="6" t="str">
        <v>Internet Services &amp; Software;Programming Services</v>
      </c>
      <c r="X923" s="6" t="str">
        <v>Internet Services &amp; Software</v>
      </c>
      <c r="Y923" s="6" t="str">
        <v>Internet Services &amp; Software</v>
      </c>
      <c r="Z923" s="6" t="str">
        <v>Internet Services &amp; Software</v>
      </c>
      <c r="AA923" s="6" t="str">
        <v>Primary Business not Hi-Tech;Internet Services &amp; Software;Programming Services;Telecommunications Equipment;Computer Consulting Services</v>
      </c>
      <c r="AB923" s="6" t="str">
        <v>Primary Business not Hi-Tech;Internet Services &amp; Software;Programming Services;Telecommunications Equipment;Computer Consulting Services</v>
      </c>
      <c r="AH923" s="6" t="str">
        <v>False</v>
      </c>
      <c r="AI923" s="6" t="str">
        <v>2016</v>
      </c>
      <c r="AJ923" s="6" t="str">
        <v>Completed</v>
      </c>
      <c r="AM923" s="6" t="str">
        <v>Not Applicable</v>
      </c>
      <c r="AO923" s="6" t="str">
        <v>US - Google Inc, a unit of Alphabet Inc, acquired Orbitera Inc, a West Hollywood-based provider of cloud channel management services.</v>
      </c>
    </row>
    <row r="924">
      <c r="A924" s="6" t="str">
        <v>73959W</v>
      </c>
      <c r="B924" s="6" t="str">
        <v>United States</v>
      </c>
      <c r="C924" s="6" t="str">
        <v>PowerSchool Group LLC</v>
      </c>
      <c r="D924" s="6" t="str">
        <v>PowerSchool Holdings Inc</v>
      </c>
      <c r="F924" s="6" t="str">
        <v>Canada</v>
      </c>
      <c r="G924" s="6" t="str">
        <v>SRB Education Solutions Inc</v>
      </c>
      <c r="H924" s="6" t="str">
        <v>Prepackaged Software</v>
      </c>
      <c r="I924" s="6" t="str">
        <v>78805Z</v>
      </c>
      <c r="J924" s="6" t="str">
        <v>SRB Education Solutions Inc</v>
      </c>
      <c r="K924" s="6" t="str">
        <v>SRB Education Solutions Inc</v>
      </c>
      <c r="L924" s="7">
        <f>=DATE(2016,8,9)</f>
        <v>42590.99949074074</v>
      </c>
      <c r="M924" s="7">
        <f>=DATE(2016,8,9)</f>
        <v>42590.99949074074</v>
      </c>
      <c r="S924" s="8">
        <v>18.3539273068863</v>
      </c>
      <c r="W924" s="6" t="str">
        <v>Other Software (inq. Games)</v>
      </c>
      <c r="X924" s="6" t="str">
        <v>Other Software (inq. Games);Internet Services &amp; Software;Communication/Network Software</v>
      </c>
      <c r="Y924" s="6" t="str">
        <v>Other Software (inq. Games);Internet Services &amp; Software;Communication/Network Software</v>
      </c>
      <c r="Z924" s="6" t="str">
        <v>Internet Services &amp; Software;Other Software (inq. Games);Communication/Network Software</v>
      </c>
      <c r="AA924" s="6" t="str">
        <v>Desktop Publishing;Applications Software(Home);Applications Software(Business;Communication/Network Software;Other Software (inq. Games);Internet Services &amp; Software;Utilities/File Mgmt Software;Primary Business not Hi-Tech</v>
      </c>
      <c r="AB924" s="6" t="str">
        <v>Utilities/File Mgmt Software;Primary Business not Hi-Tech;Desktop Publishing;Internet Services &amp; Software;Other Software (inq. Games);Communication/Network Software;Applications Software(Home);Applications Software(Business</v>
      </c>
      <c r="AH924" s="6" t="str">
        <v>True</v>
      </c>
      <c r="AI924" s="6" t="str">
        <v>2016</v>
      </c>
      <c r="AJ924" s="6" t="str">
        <v>Completed</v>
      </c>
      <c r="AM924" s="6" t="str">
        <v>Not Applicable</v>
      </c>
      <c r="AO924" s="6" t="str">
        <v>CANADA - PowerSchool Group LLC of the US acquired SRB Education Solutions Inc, a Markham-based software publisher.</v>
      </c>
    </row>
    <row r="925">
      <c r="A925" s="6" t="str">
        <v>594918</v>
      </c>
      <c r="B925" s="6" t="str">
        <v>United States</v>
      </c>
      <c r="C925" s="6" t="str">
        <v>Microsoft Corp</v>
      </c>
      <c r="D925" s="6" t="str">
        <v>Microsoft Corp</v>
      </c>
      <c r="F925" s="6" t="str">
        <v>United States</v>
      </c>
      <c r="G925" s="6" t="str">
        <v>Beam</v>
      </c>
      <c r="H925" s="6" t="str">
        <v>Business Services</v>
      </c>
      <c r="I925" s="6" t="str">
        <v>7E9836</v>
      </c>
      <c r="J925" s="6" t="str">
        <v>Beam</v>
      </c>
      <c r="K925" s="6" t="str">
        <v>Beam</v>
      </c>
      <c r="L925" s="7">
        <f>=DATE(2016,8,12)</f>
        <v>42593.99949074074</v>
      </c>
      <c r="M925" s="7">
        <f>=DATE(2016,8,12)</f>
        <v>42593.99949074074</v>
      </c>
      <c r="W925" s="6" t="str">
        <v>Computer Consulting Services;Applications Software(Business;Monitors/Terminals;Other Peripherals;Internet Services &amp; Software;Operating Systems</v>
      </c>
      <c r="X925" s="6" t="str">
        <v>Programming Services;Applications Software(Home);Applications Software(Business;Internet Services &amp; Software</v>
      </c>
      <c r="Y925" s="6" t="str">
        <v>Programming Services;Applications Software(Home);Internet Services &amp; Software;Applications Software(Business</v>
      </c>
      <c r="Z925" s="6" t="str">
        <v>Internet Services &amp; Software;Programming Services;Applications Software(Home);Applications Software(Business</v>
      </c>
      <c r="AA925" s="6" t="str">
        <v>Computer Consulting Services;Internet Services &amp; Software;Monitors/Terminals;Operating Systems;Other Peripherals;Applications Software(Business</v>
      </c>
      <c r="AB925" s="6" t="str">
        <v>Monitors/Terminals;Internet Services &amp; Software;Computer Consulting Services;Other Peripherals;Operating Systems;Applications Software(Business</v>
      </c>
      <c r="AH925" s="6" t="str">
        <v>False</v>
      </c>
      <c r="AI925" s="6" t="str">
        <v>2016</v>
      </c>
      <c r="AJ925" s="6" t="str">
        <v>Completed</v>
      </c>
      <c r="AM925" s="6" t="str">
        <v>Not Applicable</v>
      </c>
      <c r="AO925" s="6" t="str">
        <v>US - Microsoft Corp acquired Beam, a Seattle-based provider of custom computer programming services.</v>
      </c>
    </row>
    <row r="926">
      <c r="A926" s="6" t="str">
        <v>0C6551</v>
      </c>
      <c r="B926" s="6" t="str">
        <v>United States</v>
      </c>
      <c r="C926" s="6" t="str">
        <v>Twitch Interactive Inc</v>
      </c>
      <c r="D926" s="6" t="str">
        <v>Amazon.com Inc</v>
      </c>
      <c r="F926" s="6" t="str">
        <v>United States</v>
      </c>
      <c r="G926" s="6" t="str">
        <v>Curse Inc</v>
      </c>
      <c r="H926" s="6" t="str">
        <v>Prepackaged Software</v>
      </c>
      <c r="I926" s="6" t="str">
        <v>8E0356</v>
      </c>
      <c r="J926" s="6" t="str">
        <v>Curse Inc</v>
      </c>
      <c r="K926" s="6" t="str">
        <v>Curse Inc</v>
      </c>
      <c r="L926" s="7">
        <f>=DATE(2016,8,16)</f>
        <v>42597.99949074074</v>
      </c>
      <c r="M926" s="7">
        <f>=DATE(2016,8,16)</f>
        <v>42597.99949074074</v>
      </c>
      <c r="S926" s="8">
        <v>19.859</v>
      </c>
      <c r="W926" s="6" t="str">
        <v>Internet Services &amp; Software</v>
      </c>
      <c r="X926" s="6" t="str">
        <v>Primary Business not Hi-Tech;Communication/Network Software</v>
      </c>
      <c r="Y926" s="6" t="str">
        <v>Primary Business not Hi-Tech;Communication/Network Software</v>
      </c>
      <c r="Z926" s="6" t="str">
        <v>Primary Business not Hi-Tech;Communication/Network Software</v>
      </c>
      <c r="AA926" s="6" t="str">
        <v>Primary Business not Hi-Tech</v>
      </c>
      <c r="AB926" s="6" t="str">
        <v>Primary Business not Hi-Tech</v>
      </c>
      <c r="AH926" s="6" t="str">
        <v>True</v>
      </c>
      <c r="AI926" s="6" t="str">
        <v>2016</v>
      </c>
      <c r="AJ926" s="6" t="str">
        <v>Completed</v>
      </c>
      <c r="AM926" s="6" t="str">
        <v>Not Applicable</v>
      </c>
      <c r="AO926" s="6" t="str">
        <v>US - Twitch Interactive Inc, a unit of Amazon.com Inc, agreed to acquire Curse Inc, a Huntsville-based provider of online gaming support services.</v>
      </c>
    </row>
    <row r="927">
      <c r="A927" s="6" t="str">
        <v>037833</v>
      </c>
      <c r="B927" s="6" t="str">
        <v>United States</v>
      </c>
      <c r="C927" s="6" t="str">
        <v>Apple Inc</v>
      </c>
      <c r="D927" s="6" t="str">
        <v>Apple Inc</v>
      </c>
      <c r="F927" s="6" t="str">
        <v>United States</v>
      </c>
      <c r="G927" s="6" t="str">
        <v>Gliimpse</v>
      </c>
      <c r="H927" s="6" t="str">
        <v>Prepackaged Software</v>
      </c>
      <c r="I927" s="6" t="str">
        <v>0L2629</v>
      </c>
      <c r="J927" s="6" t="str">
        <v>Gliimpse</v>
      </c>
      <c r="K927" s="6" t="str">
        <v>Gliimpse</v>
      </c>
      <c r="L927" s="7">
        <f>=DATE(2016,8,22)</f>
        <v>42603.99949074074</v>
      </c>
      <c r="M927" s="7">
        <f>=DATE(2016,8,22)</f>
        <v>42603.99949074074</v>
      </c>
      <c r="W927" s="6" t="str">
        <v>Portable Computers;Other Peripherals;Monitors/Terminals;Disk Drives;Micro-Computers (PCs);Mainframes &amp; Super Computers;Printers;Other Software (inq. Games)</v>
      </c>
      <c r="X927" s="6" t="str">
        <v>Communication/Network Software;Applications Software(Home);Other Software (inq. Games);Applications Software(Business;Desktop Publishing;Utilities/File Mgmt Software;Internet Services &amp; Software</v>
      </c>
      <c r="Y927" s="6" t="str">
        <v>Internet Services &amp; Software;Communication/Network Software;Other Software (inq. Games);Desktop Publishing;Utilities/File Mgmt Software;Applications Software(Home);Applications Software(Business</v>
      </c>
      <c r="Z927" s="6" t="str">
        <v>Applications Software(Home);Internet Services &amp; Software;Communication/Network Software;Applications Software(Business;Other Software (inq. Games);Desktop Publishing;Utilities/File Mgmt Software</v>
      </c>
      <c r="AA927" s="6" t="str">
        <v>Mainframes &amp; Super Computers;Printers;Other Peripherals;Monitors/Terminals;Portable Computers;Other Software (inq. Games);Micro-Computers (PCs);Disk Drives</v>
      </c>
      <c r="AB927" s="6" t="str">
        <v>Mainframes &amp; Super Computers;Disk Drives;Other Software (inq. Games);Printers;Portable Computers;Micro-Computers (PCs);Other Peripherals;Monitors/Terminals</v>
      </c>
      <c r="AH927" s="6" t="str">
        <v>True</v>
      </c>
      <c r="AI927" s="6" t="str">
        <v>2016</v>
      </c>
      <c r="AJ927" s="6" t="str">
        <v>Completed</v>
      </c>
      <c r="AM927" s="6" t="str">
        <v>Not Applicable</v>
      </c>
      <c r="AO927" s="6" t="str">
        <v>US - Apple Inc acquired Gliimpse, software publisher.</v>
      </c>
    </row>
    <row r="928">
      <c r="A928" s="6" t="str">
        <v>594918</v>
      </c>
      <c r="B928" s="6" t="str">
        <v>United States</v>
      </c>
      <c r="C928" s="6" t="str">
        <v>Microsoft Corp</v>
      </c>
      <c r="D928" s="6" t="str">
        <v>Microsoft Corp</v>
      </c>
      <c r="F928" s="6" t="str">
        <v>United States</v>
      </c>
      <c r="G928" s="6" t="str">
        <v>Genee Inc</v>
      </c>
      <c r="H928" s="6" t="str">
        <v>Business Services</v>
      </c>
      <c r="I928" s="6" t="str">
        <v>8E3375</v>
      </c>
      <c r="J928" s="6" t="str">
        <v>Genee Inc</v>
      </c>
      <c r="K928" s="6" t="str">
        <v>Genee Inc</v>
      </c>
      <c r="L928" s="7">
        <f>=DATE(2016,8,22)</f>
        <v>42603.99949074074</v>
      </c>
      <c r="W928" s="6" t="str">
        <v>Internet Services &amp; Software;Applications Software(Business;Operating Systems;Monitors/Terminals;Computer Consulting Services;Other Peripherals</v>
      </c>
      <c r="X928" s="6" t="str">
        <v>Programming Services</v>
      </c>
      <c r="Y928" s="6" t="str">
        <v>Programming Services</v>
      </c>
      <c r="Z928" s="6" t="str">
        <v>Programming Services</v>
      </c>
      <c r="AA928" s="6" t="str">
        <v>Operating Systems;Applications Software(Business;Monitors/Terminals;Computer Consulting Services;Other Peripherals;Internet Services &amp; Software</v>
      </c>
      <c r="AB928" s="6" t="str">
        <v>Monitors/Terminals;Computer Consulting Services;Other Peripherals;Internet Services &amp; Software;Applications Software(Business;Operating Systems</v>
      </c>
      <c r="AH928" s="6" t="str">
        <v>False</v>
      </c>
      <c r="AJ928" s="6" t="str">
        <v>Pending</v>
      </c>
      <c r="AM928" s="6" t="str">
        <v>Not Applicable</v>
      </c>
      <c r="AO928" s="6" t="str">
        <v>US - Microsoft Corp agreed to acquire Genee Inc, provider of custom computer programming services.</v>
      </c>
    </row>
    <row r="929">
      <c r="A929" s="6" t="str">
        <v>38259P</v>
      </c>
      <c r="B929" s="6" t="str">
        <v>United States</v>
      </c>
      <c r="C929" s="6" t="str">
        <v>Google Inc</v>
      </c>
      <c r="D929" s="6" t="str">
        <v>Alphabet Inc</v>
      </c>
      <c r="F929" s="6" t="str">
        <v>United States</v>
      </c>
      <c r="G929" s="6" t="str">
        <v>Apigee Corp</v>
      </c>
      <c r="H929" s="6" t="str">
        <v>Prepackaged Software</v>
      </c>
      <c r="I929" s="6" t="str">
        <v>03765N</v>
      </c>
      <c r="J929" s="6" t="str">
        <v>Apigee Corp</v>
      </c>
      <c r="K929" s="6" t="str">
        <v>Apigee Corp</v>
      </c>
      <c r="L929" s="7">
        <f>=DATE(2016,9,8)</f>
        <v>42620.99949074074</v>
      </c>
      <c r="M929" s="7">
        <f>=DATE(2016,11,10)</f>
        <v>42683.99949074074</v>
      </c>
      <c r="N929" s="8">
        <v>624.326</v>
      </c>
      <c r="O929" s="8">
        <v>624.326</v>
      </c>
      <c r="P929" s="8" t="str">
        <v>513.47</v>
      </c>
      <c r="R929" s="8">
        <v>-41.512</v>
      </c>
      <c r="S929" s="8">
        <v>92.027</v>
      </c>
      <c r="T929" s="8">
        <v>0.677</v>
      </c>
      <c r="U929" s="8">
        <v>-0.241</v>
      </c>
      <c r="V929" s="8">
        <v>-21.695</v>
      </c>
      <c r="W929" s="6" t="str">
        <v>Internet Services &amp; Software;Programming Services</v>
      </c>
      <c r="X929" s="6" t="str">
        <v>Internet Services &amp; Software;Applications Software(Business;Programming Services</v>
      </c>
      <c r="Y929" s="6" t="str">
        <v>Internet Services &amp; Software;Applications Software(Business;Programming Services</v>
      </c>
      <c r="Z929" s="6" t="str">
        <v>Internet Services &amp; Software;Applications Software(Business;Programming Services</v>
      </c>
      <c r="AA929" s="6" t="str">
        <v>Internet Services &amp; Software;Computer Consulting Services;Telecommunications Equipment;Programming Services;Primary Business not Hi-Tech</v>
      </c>
      <c r="AB929" s="6" t="str">
        <v>Computer Consulting Services;Telecommunications Equipment;Programming Services;Internet Services &amp; Software;Primary Business not Hi-Tech</v>
      </c>
      <c r="AC929" s="8">
        <v>624.326</v>
      </c>
      <c r="AD929" s="7">
        <f>=DATE(2016,9,8)</f>
        <v>42620.99949074074</v>
      </c>
      <c r="AE929" s="8">
        <v>653.2884636</v>
      </c>
      <c r="AF929" s="8" t="str">
        <v>513.88</v>
      </c>
      <c r="AG929" s="8" t="str">
        <v>513.47</v>
      </c>
      <c r="AH929" s="6" t="str">
        <v>True</v>
      </c>
      <c r="AI929" s="6" t="str">
        <v>2016</v>
      </c>
      <c r="AJ929" s="6" t="str">
        <v>Completed</v>
      </c>
      <c r="AK929" s="8">
        <v>653.2884636</v>
      </c>
      <c r="AL929" s="8">
        <v>37.545314</v>
      </c>
      <c r="AM929" s="6" t="str">
        <v>Not Applicable</v>
      </c>
      <c r="AN929" s="8">
        <v>16.909</v>
      </c>
      <c r="AO929" s="6" t="str">
        <v>US - Google Inc, a unit of Alphabet Inc, acquired the entire share capital of Apigee Corp, a San Jose-based provider and developer of API (application programming interfaces) products and technology, for USD 17.40 in cash per share, or a total value of USD 624.326 mil.</v>
      </c>
    </row>
    <row r="930">
      <c r="A930" s="6" t="str">
        <v>38259P</v>
      </c>
      <c r="B930" s="6" t="str">
        <v>United States</v>
      </c>
      <c r="C930" s="6" t="str">
        <v>Google Inc</v>
      </c>
      <c r="D930" s="6" t="str">
        <v>Alphabet Inc</v>
      </c>
      <c r="F930" s="6" t="str">
        <v>United States</v>
      </c>
      <c r="G930" s="6" t="str">
        <v>Urban Engines Inc</v>
      </c>
      <c r="H930" s="6" t="str">
        <v>Prepackaged Software</v>
      </c>
      <c r="I930" s="6" t="str">
        <v>9E1906</v>
      </c>
      <c r="J930" s="6" t="str">
        <v>Urban Engines Inc</v>
      </c>
      <c r="K930" s="6" t="str">
        <v>Urban Engines Inc</v>
      </c>
      <c r="L930" s="7">
        <f>=DATE(2016,9,16)</f>
        <v>42628.99949074074</v>
      </c>
      <c r="M930" s="7">
        <f>=DATE(2016,9,16)</f>
        <v>42628.99949074074</v>
      </c>
      <c r="W930" s="6" t="str">
        <v>Internet Services &amp; Software;Programming Services</v>
      </c>
      <c r="X930" s="6" t="str">
        <v>Applications Software(Business</v>
      </c>
      <c r="Y930" s="6" t="str">
        <v>Applications Software(Business</v>
      </c>
      <c r="Z930" s="6" t="str">
        <v>Applications Software(Business</v>
      </c>
      <c r="AA930" s="6" t="str">
        <v>Programming Services;Primary Business not Hi-Tech;Computer Consulting Services;Telecommunications Equipment;Internet Services &amp; Software</v>
      </c>
      <c r="AB930" s="6" t="str">
        <v>Computer Consulting Services;Internet Services &amp; Software;Primary Business not Hi-Tech;Telecommunications Equipment;Programming Services</v>
      </c>
      <c r="AH930" s="6" t="str">
        <v>False</v>
      </c>
      <c r="AI930" s="6" t="str">
        <v>2016</v>
      </c>
      <c r="AJ930" s="6" t="str">
        <v>Completed</v>
      </c>
      <c r="AM930" s="6" t="str">
        <v>Not Applicable</v>
      </c>
      <c r="AO930" s="6" t="str">
        <v>US - Google Inc, a unit of Alphabet Inc, acquired Urban Engines Inc, a Los Altos-based software publisher.</v>
      </c>
    </row>
    <row r="931">
      <c r="A931" s="6" t="str">
        <v>30303M</v>
      </c>
      <c r="B931" s="6" t="str">
        <v>United States</v>
      </c>
      <c r="C931" s="6" t="str">
        <v>Facebook Inc</v>
      </c>
      <c r="D931" s="6" t="str">
        <v>Facebook Inc</v>
      </c>
      <c r="F931" s="6" t="str">
        <v>United States</v>
      </c>
      <c r="G931" s="6" t="str">
        <v>Nascent Objects Inc</v>
      </c>
      <c r="H931" s="6" t="str">
        <v>Electronic and Electrical Equipment</v>
      </c>
      <c r="I931" s="6" t="str">
        <v>9E2028</v>
      </c>
      <c r="J931" s="6" t="str">
        <v>Nascent Objects Inc</v>
      </c>
      <c r="K931" s="6" t="str">
        <v>Nascent Objects Inc</v>
      </c>
      <c r="L931" s="7">
        <f>=DATE(2016,9,19)</f>
        <v>42631.99949074074</v>
      </c>
      <c r="M931" s="7">
        <f>=DATE(2016,9,20)</f>
        <v>42632.99949074074</v>
      </c>
      <c r="W931" s="6" t="str">
        <v>Internet Services &amp; Software</v>
      </c>
      <c r="X931" s="6" t="str">
        <v>Lasers(Excluding Medical);Robotics;Primary Business not Hi-Tech</v>
      </c>
      <c r="Y931" s="6" t="str">
        <v>Primary Business not Hi-Tech;Lasers(Excluding Medical);Robotics</v>
      </c>
      <c r="Z931" s="6" t="str">
        <v>Lasers(Excluding Medical);Primary Business not Hi-Tech;Robotics</v>
      </c>
      <c r="AA931" s="6" t="str">
        <v>Internet Services &amp; Software</v>
      </c>
      <c r="AB931" s="6" t="str">
        <v>Internet Services &amp; Software</v>
      </c>
      <c r="AH931" s="6" t="str">
        <v>False</v>
      </c>
      <c r="AI931" s="6" t="str">
        <v>2016</v>
      </c>
      <c r="AJ931" s="6" t="str">
        <v>Completed</v>
      </c>
      <c r="AM931" s="6" t="str">
        <v>Financial Acquiror</v>
      </c>
      <c r="AO931" s="6" t="str">
        <v>US - Facebook Inc acquired Nascent Objects Inc, a Palo Alto-based manufacturer of semiconductors and related device.</v>
      </c>
    </row>
    <row r="932">
      <c r="A932" s="6" t="str">
        <v>594918</v>
      </c>
      <c r="B932" s="6" t="str">
        <v>United States</v>
      </c>
      <c r="C932" s="6" t="str">
        <v>Microsoft Corp</v>
      </c>
      <c r="D932" s="6" t="str">
        <v>Microsoft Corp</v>
      </c>
      <c r="F932" s="6" t="str">
        <v>United States</v>
      </c>
      <c r="G932" s="6" t="str">
        <v>Microsoft Corp</v>
      </c>
      <c r="H932" s="6" t="str">
        <v>Prepackaged Software</v>
      </c>
      <c r="I932" s="6" t="str">
        <v>594918</v>
      </c>
      <c r="J932" s="6" t="str">
        <v>Microsoft Corp</v>
      </c>
      <c r="K932" s="6" t="str">
        <v>Microsoft Corp</v>
      </c>
      <c r="L932" s="7">
        <f>=DATE(2016,9,20)</f>
        <v>42632.99949074074</v>
      </c>
      <c r="M932" s="7">
        <f>=DATE(2020,2,1)</f>
        <v>43861.99949074074</v>
      </c>
      <c r="N932" s="8">
        <v>40000</v>
      </c>
      <c r="O932" s="8">
        <v>40000</v>
      </c>
      <c r="P932" s="8" t="str">
        <v>770,532.98</v>
      </c>
      <c r="R932" s="8">
        <v>16798</v>
      </c>
      <c r="S932" s="8">
        <v>85320</v>
      </c>
      <c r="T932" s="8">
        <v>-8393</v>
      </c>
      <c r="U932" s="8">
        <v>-23950</v>
      </c>
      <c r="V932" s="8">
        <v>33325</v>
      </c>
      <c r="W932" s="6" t="str">
        <v>Applications Software(Business;Operating Systems;Internet Services &amp; Software;Other Peripherals;Computer Consulting Services;Monitors/Terminals</v>
      </c>
      <c r="X932" s="6" t="str">
        <v>Applications Software(Business;Operating Systems;Internet Services &amp; Software;Computer Consulting Services;Monitors/Terminals;Other Peripherals</v>
      </c>
      <c r="Y932" s="6" t="str">
        <v>Internet Services &amp; Software;Other Peripherals;Operating Systems;Monitors/Terminals;Applications Software(Business;Computer Consulting Services</v>
      </c>
      <c r="Z932" s="6" t="str">
        <v>Computer Consulting Services;Internet Services &amp; Software;Operating Systems;Other Peripherals;Monitors/Terminals;Applications Software(Business</v>
      </c>
      <c r="AA932" s="6" t="str">
        <v>Other Peripherals;Operating Systems;Applications Software(Business;Internet Services &amp; Software;Computer Consulting Services;Monitors/Terminals</v>
      </c>
      <c r="AB932" s="6" t="str">
        <v>Applications Software(Business;Other Peripherals;Monitors/Terminals;Operating Systems;Computer Consulting Services;Internet Services &amp; Software</v>
      </c>
      <c r="AC932" s="8">
        <v>40000</v>
      </c>
      <c r="AD932" s="7">
        <f>=DATE(2016,9,20)</f>
        <v>42632.99949074074</v>
      </c>
      <c r="AF932" s="8" t="str">
        <v>770,532.98</v>
      </c>
      <c r="AG932" s="8" t="str">
        <v>770,532.98</v>
      </c>
      <c r="AH932" s="6" t="str">
        <v>True</v>
      </c>
      <c r="AI932" s="6" t="str">
        <v>2020</v>
      </c>
      <c r="AJ932" s="6" t="str">
        <v>Completed</v>
      </c>
      <c r="AL932" s="8">
        <v>367.965781</v>
      </c>
      <c r="AM932" s="6" t="str">
        <v>Open Market Purchase;Repurchase</v>
      </c>
      <c r="AN932" s="8">
        <v>21605</v>
      </c>
      <c r="AO932" s="6" t="str">
        <v>US - On 20 September 2016, the board of Microsoft Corp, a Redmond-based provider of computer software products development services, completed the repurchase of up to USD 40 bil of the company's entire share capital, in open market transaction. As of 31 January 2019, the company had purchased 367.966 mil common shares for USD 38.719 bil.</v>
      </c>
    </row>
    <row r="933">
      <c r="A933" s="6" t="str">
        <v>037833</v>
      </c>
      <c r="B933" s="6" t="str">
        <v>United States</v>
      </c>
      <c r="C933" s="6" t="str">
        <v>Apple Inc</v>
      </c>
      <c r="D933" s="6" t="str">
        <v>Apple Inc</v>
      </c>
      <c r="F933" s="6" t="str">
        <v>India</v>
      </c>
      <c r="G933" s="6" t="str">
        <v>Tuplejump Software Pvt Ltd</v>
      </c>
      <c r="H933" s="6" t="str">
        <v>Prepackaged Software</v>
      </c>
      <c r="I933" s="6" t="str">
        <v>9E0466</v>
      </c>
      <c r="J933" s="6" t="str">
        <v>Tuplejump Software Pvt Ltd</v>
      </c>
      <c r="K933" s="6" t="str">
        <v>Tuplejump Software Pvt Ltd</v>
      </c>
      <c r="L933" s="7">
        <f>=DATE(2016,9,22)</f>
        <v>42634.99949074074</v>
      </c>
      <c r="M933" s="7">
        <f>=DATE(2016,9,22)</f>
        <v>42634.99949074074</v>
      </c>
      <c r="W933" s="6" t="str">
        <v>Other Peripherals;Mainframes &amp; Super Computers;Micro-Computers (PCs);Disk Drives;Portable Computers;Printers;Monitors/Terminals;Other Software (inq. Games)</v>
      </c>
      <c r="X933" s="6" t="str">
        <v>Other Software (inq. Games)</v>
      </c>
      <c r="Y933" s="6" t="str">
        <v>Other Software (inq. Games)</v>
      </c>
      <c r="Z933" s="6" t="str">
        <v>Other Software (inq. Games)</v>
      </c>
      <c r="AA933" s="6" t="str">
        <v>Other Software (inq. Games);Monitors/Terminals;Printers;Mainframes &amp; Super Computers;Micro-Computers (PCs);Disk Drives;Other Peripherals;Portable Computers</v>
      </c>
      <c r="AB933" s="6" t="str">
        <v>Mainframes &amp; Super Computers;Monitors/Terminals;Other Peripherals;Other Software (inq. Games);Disk Drives;Portable Computers;Micro-Computers (PCs);Printers</v>
      </c>
      <c r="AH933" s="6" t="str">
        <v>False</v>
      </c>
      <c r="AI933" s="6" t="str">
        <v>2016</v>
      </c>
      <c r="AJ933" s="6" t="str">
        <v>Completed</v>
      </c>
      <c r="AM933" s="6" t="str">
        <v>Not Applicable</v>
      </c>
      <c r="AO933" s="6" t="str">
        <v>INDIA - Apple Inc of the US acquired Tuplejump Software Pvt Ltd, a Hyderabad-based software publisher. Terms were not disclosed.</v>
      </c>
    </row>
    <row r="934">
      <c r="A934" s="6" t="str">
        <v>6E8666</v>
      </c>
      <c r="B934" s="6" t="str">
        <v>United States</v>
      </c>
      <c r="C934" s="6" t="str">
        <v>Google Fiber Inc</v>
      </c>
      <c r="D934" s="6" t="str">
        <v>Alphabet Inc</v>
      </c>
      <c r="F934" s="6" t="str">
        <v>United States</v>
      </c>
      <c r="G934" s="6" t="str">
        <v>Webpass Telecommunications LLC</v>
      </c>
      <c r="H934" s="6" t="str">
        <v>Telecommunications</v>
      </c>
      <c r="I934" s="6" t="str">
        <v>3F8406</v>
      </c>
      <c r="J934" s="6" t="str">
        <v>Webpass Telecommunications LLC</v>
      </c>
      <c r="K934" s="6" t="str">
        <v>Webpass Telecommunications LLC</v>
      </c>
      <c r="L934" s="7">
        <f>=DATE(2016,10,3)</f>
        <v>42645.99949074074</v>
      </c>
      <c r="M934" s="7">
        <f>=DATE(2017,3,23)</f>
        <v>42816.99949074074</v>
      </c>
      <c r="W934" s="6" t="str">
        <v>Telecommunications Equipment</v>
      </c>
      <c r="X934" s="6" t="str">
        <v>Satellite Communications;Telecommunications Equipment</v>
      </c>
      <c r="Y934" s="6" t="str">
        <v>Telecommunications Equipment;Satellite Communications</v>
      </c>
      <c r="Z934" s="6" t="str">
        <v>Telecommunications Equipment;Satellite Communications</v>
      </c>
      <c r="AA934" s="6" t="str">
        <v>Internet Services &amp; Software;Programming Services</v>
      </c>
      <c r="AB934" s="6" t="str">
        <v>Computer Consulting Services;Telecommunications Equipment;Internet Services &amp; Software;Primary Business not Hi-Tech;Programming Services</v>
      </c>
      <c r="AH934" s="6" t="str">
        <v>False</v>
      </c>
      <c r="AI934" s="6" t="str">
        <v>2017</v>
      </c>
      <c r="AJ934" s="6" t="str">
        <v>Completed</v>
      </c>
      <c r="AM934" s="6" t="str">
        <v>Not Applicable</v>
      </c>
      <c r="AO934" s="6" t="str">
        <v>US - Google Fiber Inc, a unit of Google Inc, agreed to acquire the entire share capital of Webpass Telecommunications LLC, a San Francisco-based wireless telecommunications carrier.</v>
      </c>
    </row>
    <row r="935">
      <c r="A935" s="6" t="str">
        <v>38259P</v>
      </c>
      <c r="B935" s="6" t="str">
        <v>United States</v>
      </c>
      <c r="C935" s="6" t="str">
        <v>Google Inc</v>
      </c>
      <c r="D935" s="6" t="str">
        <v>Alphabet Inc</v>
      </c>
      <c r="F935" s="6" t="str">
        <v>Canada</v>
      </c>
      <c r="G935" s="6" t="str">
        <v>FameBit Inc</v>
      </c>
      <c r="H935" s="6" t="str">
        <v>Business Services</v>
      </c>
      <c r="I935" s="6" t="str">
        <v>6C8750</v>
      </c>
      <c r="J935" s="6" t="str">
        <v>FameBit Inc</v>
      </c>
      <c r="K935" s="6" t="str">
        <v>FameBit Inc</v>
      </c>
      <c r="L935" s="7">
        <f>=DATE(2016,10,11)</f>
        <v>42653.99949074074</v>
      </c>
      <c r="M935" s="7">
        <f>=DATE(2016,10,11)</f>
        <v>42653.99949074074</v>
      </c>
      <c r="W935" s="6" t="str">
        <v>Internet Services &amp; Software;Programming Services</v>
      </c>
      <c r="X935" s="6" t="str">
        <v>Internet Services &amp; Software</v>
      </c>
      <c r="Y935" s="6" t="str">
        <v>Internet Services &amp; Software</v>
      </c>
      <c r="Z935" s="6" t="str">
        <v>Internet Services &amp; Software</v>
      </c>
      <c r="AA935" s="6" t="str">
        <v>Internet Services &amp; Software;Primary Business not Hi-Tech;Computer Consulting Services;Telecommunications Equipment;Programming Services</v>
      </c>
      <c r="AB935" s="6" t="str">
        <v>Programming Services;Telecommunications Equipment;Internet Services &amp; Software;Computer Consulting Services;Primary Business not Hi-Tech</v>
      </c>
      <c r="AH935" s="6" t="str">
        <v>False</v>
      </c>
      <c r="AI935" s="6" t="str">
        <v>2016</v>
      </c>
      <c r="AJ935" s="6" t="str">
        <v>Completed</v>
      </c>
      <c r="AM935" s="6" t="str">
        <v>Divestiture</v>
      </c>
      <c r="AO935" s="6" t="str">
        <v>CANADA - Google Inc of the US, a unit of Alphabet Inc, acquired FameBit Inc, a Brampton-based provider of online services, from Science Inc. Terms were not disclosed.</v>
      </c>
    </row>
    <row r="936">
      <c r="A936" s="6" t="str">
        <v>73959W</v>
      </c>
      <c r="B936" s="6" t="str">
        <v>United States</v>
      </c>
      <c r="C936" s="6" t="str">
        <v>PowerSchool Group LLC</v>
      </c>
      <c r="D936" s="6" t="str">
        <v>PowerSchool Holdings Inc</v>
      </c>
      <c r="F936" s="6" t="str">
        <v>United States</v>
      </c>
      <c r="G936" s="6" t="str">
        <v>Chalkable Inc</v>
      </c>
      <c r="H936" s="6" t="str">
        <v>Prepackaged Software</v>
      </c>
      <c r="I936" s="6" t="str">
        <v>7A6736</v>
      </c>
      <c r="J936" s="6" t="str">
        <v>STI</v>
      </c>
      <c r="K936" s="6" t="str">
        <v>STI</v>
      </c>
      <c r="L936" s="7">
        <f>=DATE(2016,10,12)</f>
        <v>42654.99949074074</v>
      </c>
      <c r="M936" s="7">
        <f>=DATE(2016,10,12)</f>
        <v>42654.99949074074</v>
      </c>
      <c r="W936" s="6" t="str">
        <v>Other Software (inq. Games)</v>
      </c>
      <c r="X936" s="6" t="str">
        <v>Communication/Network Software;Primary Business not Hi-Tech;Other Software (inq. Games)</v>
      </c>
      <c r="Y936" s="6" t="str">
        <v>Other Software (inq. Games)</v>
      </c>
      <c r="Z936" s="6" t="str">
        <v>Other Software (inq. Games)</v>
      </c>
      <c r="AA936" s="6" t="str">
        <v>Other Software (inq. Games);Communication/Network Software;Utilities/File Mgmt Software;Desktop Publishing;Internet Services &amp; Software;Applications Software(Home);Applications Software(Business;Primary Business not Hi-Tech</v>
      </c>
      <c r="AB936" s="6" t="str">
        <v>Primary Business not Hi-Tech;Communication/Network Software;Internet Services &amp; Software;Applications Software(Home);Desktop Publishing;Utilities/File Mgmt Software;Applications Software(Business;Other Software (inq. Games)</v>
      </c>
      <c r="AH936" s="6" t="str">
        <v>True</v>
      </c>
      <c r="AI936" s="6" t="str">
        <v>2016</v>
      </c>
      <c r="AJ936" s="6" t="str">
        <v>Completed</v>
      </c>
      <c r="AM936" s="6" t="str">
        <v>Divestiture</v>
      </c>
      <c r="AO936" s="6" t="str">
        <v>US - PowerSchool Group LLC acquired Chalkable Inc, a Mobile-based software publisher, from STI.</v>
      </c>
    </row>
    <row r="937">
      <c r="A937" s="6" t="str">
        <v>9A6770</v>
      </c>
      <c r="B937" s="6" t="str">
        <v>United States</v>
      </c>
      <c r="C937" s="6" t="str">
        <v>Oculus VR LLC(NOW 8J8006)</v>
      </c>
      <c r="D937" s="6" t="str">
        <v>Facebook Inc</v>
      </c>
      <c r="F937" s="6" t="str">
        <v>Ireland</v>
      </c>
      <c r="G937" s="6" t="str">
        <v>InfiniLED Ltd</v>
      </c>
      <c r="H937" s="6" t="str">
        <v>Electronic and Electrical Equipment</v>
      </c>
      <c r="I937" s="6" t="str">
        <v>9E7078</v>
      </c>
      <c r="J937" s="6" t="str">
        <v>InfiniLED Ltd</v>
      </c>
      <c r="K937" s="6" t="str">
        <v>InfiniLED Ltd</v>
      </c>
      <c r="L937" s="7">
        <f>=DATE(2016,10,13)</f>
        <v>42655.99949074074</v>
      </c>
      <c r="M937" s="7">
        <f>=DATE(2016,10,13)</f>
        <v>42655.99949074074</v>
      </c>
      <c r="W937" s="6" t="str">
        <v>Communication/Network Software;Applications Software(Business;Applications Software(Home);Programming Services</v>
      </c>
      <c r="X937" s="6" t="str">
        <v>Disk Drives;Lasers(Excluding Medical)</v>
      </c>
      <c r="Y937" s="6" t="str">
        <v>Lasers(Excluding Medical);Disk Drives</v>
      </c>
      <c r="Z937" s="6" t="str">
        <v>Disk Drives;Lasers(Excluding Medical)</v>
      </c>
      <c r="AA937" s="6" t="str">
        <v>Internet Services &amp; Software</v>
      </c>
      <c r="AB937" s="6" t="str">
        <v>Internet Services &amp; Software</v>
      </c>
      <c r="AH937" s="6" t="str">
        <v>False</v>
      </c>
      <c r="AI937" s="6" t="str">
        <v>2016</v>
      </c>
      <c r="AJ937" s="6" t="str">
        <v>Completed</v>
      </c>
      <c r="AM937" s="6" t="str">
        <v>Financial Acquiror</v>
      </c>
      <c r="AO937" s="6" t="str">
        <v>IRELAND - Oculus VR LLC of the US, a unit of Facebook Inc, acquired InfiniLED Ltd, a Cork-based manufacturer of low power LED displays.</v>
      </c>
    </row>
    <row r="938">
      <c r="A938" s="6" t="str">
        <v>67020Y</v>
      </c>
      <c r="B938" s="6" t="str">
        <v>United States</v>
      </c>
      <c r="C938" s="6" t="str">
        <v>Nuance Communications Inc</v>
      </c>
      <c r="D938" s="6" t="str">
        <v>Nuance Communications Inc</v>
      </c>
      <c r="F938" s="6" t="str">
        <v>Spain</v>
      </c>
      <c r="G938" s="6" t="str">
        <v>Agnitio SL</v>
      </c>
      <c r="H938" s="6" t="str">
        <v>Telecommunications</v>
      </c>
      <c r="I938" s="6" t="str">
        <v>00186P</v>
      </c>
      <c r="J938" s="6" t="str">
        <v>Agnitio SL</v>
      </c>
      <c r="K938" s="6" t="str">
        <v>Agnitio SL</v>
      </c>
      <c r="L938" s="7">
        <f>=DATE(2016,10,19)</f>
        <v>42661.99949074074</v>
      </c>
      <c r="M938" s="7">
        <f>=DATE(2016,10,19)</f>
        <v>42661.99949074074</v>
      </c>
      <c r="R938" s="8">
        <v>-0.514699271779196</v>
      </c>
      <c r="S938" s="8">
        <v>3.53321945518295</v>
      </c>
      <c r="W938" s="6" t="str">
        <v>Internet Services &amp; Software;Utilities/File Mgmt Software;Communication/Network Software;Computer Consulting Services;Database Software/Programming;Desktop Publishing;Applications Software(Business;Applications Software(Home);Other Computer Related Svcs;Other Software (inq. Games);Programming Services;Networking Systems (LAN,WAN);Primary Business not Hi-Tech</v>
      </c>
      <c r="X938" s="6" t="str">
        <v>Primary Business not Hi-Tech;Internet Services &amp; Software</v>
      </c>
      <c r="Y938" s="6" t="str">
        <v>Primary Business not Hi-Tech;Internet Services &amp; Software</v>
      </c>
      <c r="Z938" s="6" t="str">
        <v>Primary Business not Hi-Tech;Internet Services &amp; Software</v>
      </c>
      <c r="AA938" s="6" t="str">
        <v>Computer Consulting Services;Communication/Network Software;Database Software/Programming;Other Software (inq. Games);Programming Services;Applications Software(Business;Primary Business not Hi-Tech;Desktop Publishing;Networking Systems (LAN,WAN);Utilities/File Mgmt Software;Other Computer Related Svcs;Applications Software(Home);Internet Services &amp; Software</v>
      </c>
      <c r="AB938" s="6" t="str">
        <v>Applications Software(Business;Other Software (inq. Games);Computer Consulting Services;Internet Services &amp; Software;Applications Software(Home);Desktop Publishing;Communication/Network Software;Networking Systems (LAN,WAN);Utilities/File Mgmt Software;Database Software/Programming;Other Computer Related Svcs;Primary Business not Hi-Tech;Programming Services</v>
      </c>
      <c r="AH938" s="6" t="str">
        <v>True</v>
      </c>
      <c r="AI938" s="6" t="str">
        <v>2016</v>
      </c>
      <c r="AJ938" s="6" t="str">
        <v>Completed</v>
      </c>
      <c r="AM938" s="6" t="str">
        <v>Financial Acquiror</v>
      </c>
      <c r="AN938" s="8">
        <v>1.28225298930145</v>
      </c>
      <c r="AO938" s="6" t="str">
        <v>SPAIN - Nuance Communications Inc of the US acquired Agnitio SL, a Madrid-based provider of voice recognition services.</v>
      </c>
    </row>
    <row r="939">
      <c r="A939" s="6" t="str">
        <v>38259P</v>
      </c>
      <c r="B939" s="6" t="str">
        <v>United States</v>
      </c>
      <c r="C939" s="6" t="str">
        <v>Google Inc</v>
      </c>
      <c r="D939" s="6" t="str">
        <v>Alphabet Inc</v>
      </c>
      <c r="F939" s="6" t="str">
        <v>United States</v>
      </c>
      <c r="G939" s="6" t="str">
        <v>Eyefluence Inc</v>
      </c>
      <c r="H939" s="6" t="str">
        <v>Retail Trade-Home Furnishings</v>
      </c>
      <c r="I939" s="6" t="str">
        <v>9E7746</v>
      </c>
      <c r="J939" s="6" t="str">
        <v>Eyefluence Inc</v>
      </c>
      <c r="K939" s="6" t="str">
        <v>Eyefluence Inc</v>
      </c>
      <c r="L939" s="7">
        <f>=DATE(2016,10,24)</f>
        <v>42666.99949074074</v>
      </c>
      <c r="M939" s="7">
        <f>=DATE(2016,10,24)</f>
        <v>42666.99949074074</v>
      </c>
      <c r="W939" s="6" t="str">
        <v>Internet Services &amp; Software;Programming Services</v>
      </c>
      <c r="X939" s="6" t="str">
        <v>Programming Services;Communication/Network Software;Primary Business not Hi-Tech</v>
      </c>
      <c r="Y939" s="6" t="str">
        <v>Primary Business not Hi-Tech;Communication/Network Software;Programming Services</v>
      </c>
      <c r="Z939" s="6" t="str">
        <v>Primary Business not Hi-Tech;Programming Services;Communication/Network Software</v>
      </c>
      <c r="AA939" s="6" t="str">
        <v>Computer Consulting Services;Internet Services &amp; Software;Primary Business not Hi-Tech;Telecommunications Equipment;Programming Services</v>
      </c>
      <c r="AB939" s="6" t="str">
        <v>Telecommunications Equipment;Primary Business not Hi-Tech;Programming Services;Computer Consulting Services;Internet Services &amp; Software</v>
      </c>
      <c r="AH939" s="6" t="str">
        <v>False</v>
      </c>
      <c r="AI939" s="6" t="str">
        <v>2016</v>
      </c>
      <c r="AJ939" s="6" t="str">
        <v>Completed</v>
      </c>
      <c r="AM939" s="6" t="str">
        <v>Not Applicable</v>
      </c>
      <c r="AO939" s="6" t="str">
        <v>US - Google Inc, a unit of Alphabet Inc, acquired Eyefluence Inc, a Milpitas-based manufacturer of consumer electronics.</v>
      </c>
    </row>
    <row r="940">
      <c r="A940" s="6" t="str">
        <v>037833</v>
      </c>
      <c r="B940" s="6" t="str">
        <v>United States</v>
      </c>
      <c r="C940" s="6" t="str">
        <v>Apple Inc</v>
      </c>
      <c r="D940" s="6" t="str">
        <v>Apple Inc</v>
      </c>
      <c r="F940" s="6" t="str">
        <v>United States</v>
      </c>
      <c r="G940" s="6" t="str">
        <v>Apple Inc</v>
      </c>
      <c r="H940" s="6" t="str">
        <v>Computer and Office Equipment</v>
      </c>
      <c r="I940" s="6" t="str">
        <v>037833</v>
      </c>
      <c r="J940" s="6" t="str">
        <v>Apple Inc</v>
      </c>
      <c r="K940" s="6" t="str">
        <v>Apple Inc</v>
      </c>
      <c r="L940" s="7">
        <f>=DATE(2016,11,1)</f>
        <v>42674.99949074074</v>
      </c>
      <c r="M940" s="7">
        <f>=DATE(2017,2,28)</f>
        <v>42793.99949074074</v>
      </c>
      <c r="N940" s="8">
        <v>6000</v>
      </c>
      <c r="O940" s="8">
        <v>6000</v>
      </c>
      <c r="P940" s="8" t="str">
        <v>645,282.67</v>
      </c>
      <c r="R940" s="8">
        <v>45687</v>
      </c>
      <c r="S940" s="8">
        <v>215639</v>
      </c>
      <c r="T940" s="8">
        <v>-20483</v>
      </c>
      <c r="U940" s="8">
        <v>-45977</v>
      </c>
      <c r="V940" s="8">
        <v>65824</v>
      </c>
      <c r="W940" s="6" t="str">
        <v>Portable Computers;Monitors/Terminals;Other Software (inq. Games);Other Peripherals;Micro-Computers (PCs);Printers;Mainframes &amp; Super Computers;Disk Drives</v>
      </c>
      <c r="X940" s="6" t="str">
        <v>Micro-Computers (PCs);Disk Drives;Printers;Other Software (inq. Games);Monitors/Terminals;Other Peripherals;Mainframes &amp; Super Computers;Portable Computers</v>
      </c>
      <c r="Y940" s="6" t="str">
        <v>Other Software (inq. Games);Micro-Computers (PCs);Monitors/Terminals;Printers;Disk Drives;Portable Computers;Other Peripherals;Mainframes &amp; Super Computers</v>
      </c>
      <c r="Z940" s="6" t="str">
        <v>Portable Computers;Mainframes &amp; Super Computers;Disk Drives;Monitors/Terminals;Other Peripherals;Printers;Micro-Computers (PCs);Other Software (inq. Games)</v>
      </c>
      <c r="AA940" s="6" t="str">
        <v>Printers;Micro-Computers (PCs);Other Software (inq. Games);Monitors/Terminals;Other Peripherals;Disk Drives;Mainframes &amp; Super Computers;Portable Computers</v>
      </c>
      <c r="AB940" s="6" t="str">
        <v>Other Software (inq. Games);Disk Drives;Micro-Computers (PCs);Printers;Mainframes &amp; Super Computers;Monitors/Terminals;Other Peripherals;Portable Computers</v>
      </c>
      <c r="AC940" s="8">
        <v>6000</v>
      </c>
      <c r="AD940" s="7">
        <f>=DATE(2016,11,1)</f>
        <v>42674.99949074074</v>
      </c>
      <c r="AF940" s="8" t="str">
        <v>645,282.67</v>
      </c>
      <c r="AG940" s="8" t="str">
        <v>645,282.67</v>
      </c>
      <c r="AH940" s="6" t="str">
        <v>True</v>
      </c>
      <c r="AI940" s="6" t="str">
        <v>2017</v>
      </c>
      <c r="AJ940" s="6" t="str">
        <v>Completed</v>
      </c>
      <c r="AL940" s="8">
        <v>51.157</v>
      </c>
      <c r="AM940" s="6" t="str">
        <v>Privately Negotiated Purchase;Repurchase</v>
      </c>
      <c r="AN940" s="8">
        <v>8620</v>
      </c>
      <c r="AO940" s="6" t="str">
        <v>US- On 1 November 2016, the board of Apple Inc, a Cupertino-based electronic computer manufacturer, authorized the repurchase of up to USD 6 bil of the Company's entire share capital, in an accelerated buyback transaction.</v>
      </c>
    </row>
    <row r="941">
      <c r="A941" s="6" t="str">
        <v>30303M</v>
      </c>
      <c r="B941" s="6" t="str">
        <v>United States</v>
      </c>
      <c r="C941" s="6" t="str">
        <v>Facebook Inc</v>
      </c>
      <c r="D941" s="6" t="str">
        <v>Facebook Inc</v>
      </c>
      <c r="F941" s="6" t="str">
        <v>United States</v>
      </c>
      <c r="G941" s="6" t="str">
        <v>CrowdTangle Inc</v>
      </c>
      <c r="H941" s="6" t="str">
        <v>Business Services</v>
      </c>
      <c r="I941" s="6" t="str">
        <v>0F3675</v>
      </c>
      <c r="J941" s="6" t="str">
        <v>CrowdTangle Inc</v>
      </c>
      <c r="K941" s="6" t="str">
        <v>CrowdTangle Inc</v>
      </c>
      <c r="L941" s="7">
        <f>=DATE(2016,11,11)</f>
        <v>42684.99949074074</v>
      </c>
      <c r="M941" s="7">
        <f>=DATE(2016,11,11)</f>
        <v>42684.99949074074</v>
      </c>
      <c r="W941" s="6" t="str">
        <v>Internet Services &amp; Software</v>
      </c>
      <c r="X941" s="6" t="str">
        <v>Data Processing Services;Networking Systems (LAN,WAN)</v>
      </c>
      <c r="Y941" s="6" t="str">
        <v>Networking Systems (LAN,WAN);Data Processing Services</v>
      </c>
      <c r="Z941" s="6" t="str">
        <v>Networking Systems (LAN,WAN);Data Processing Services</v>
      </c>
      <c r="AA941" s="6" t="str">
        <v>Internet Services &amp; Software</v>
      </c>
      <c r="AB941" s="6" t="str">
        <v>Internet Services &amp; Software</v>
      </c>
      <c r="AH941" s="6" t="str">
        <v>False</v>
      </c>
      <c r="AI941" s="6" t="str">
        <v>2016</v>
      </c>
      <c r="AJ941" s="6" t="str">
        <v>Completed</v>
      </c>
      <c r="AM941" s="6" t="str">
        <v>Financial Acquiror</v>
      </c>
      <c r="AO941" s="6" t="str">
        <v>US - Facebook Inc acquired CrowdTangle Inc, a Baltimore-based provider of data processing and hosting services.</v>
      </c>
    </row>
    <row r="942">
      <c r="A942" s="6" t="str">
        <v>38259P</v>
      </c>
      <c r="B942" s="6" t="str">
        <v>United States</v>
      </c>
      <c r="C942" s="6" t="str">
        <v>Google Inc</v>
      </c>
      <c r="D942" s="6" t="str">
        <v>Alphabet Inc</v>
      </c>
      <c r="F942" s="6" t="str">
        <v>United States</v>
      </c>
      <c r="G942" s="6" t="str">
        <v>Undecidable Labs Inc</v>
      </c>
      <c r="H942" s="6" t="str">
        <v>Prepackaged Software</v>
      </c>
      <c r="I942" s="6" t="str">
        <v>0F5999</v>
      </c>
      <c r="J942" s="6" t="str">
        <v>Undecidable Labs Inc</v>
      </c>
      <c r="K942" s="6" t="str">
        <v>Undecidable Labs Inc</v>
      </c>
      <c r="L942" s="7">
        <f>=DATE(2016,11,14)</f>
        <v>42687.99949074074</v>
      </c>
      <c r="W942" s="6" t="str">
        <v>Programming Services;Internet Services &amp; Software</v>
      </c>
      <c r="X942" s="6" t="str">
        <v>Applications Software(Business</v>
      </c>
      <c r="Y942" s="6" t="str">
        <v>Applications Software(Business</v>
      </c>
      <c r="Z942" s="6" t="str">
        <v>Applications Software(Business</v>
      </c>
      <c r="AA942" s="6" t="str">
        <v>Internet Services &amp; Software;Telecommunications Equipment;Computer Consulting Services;Programming Services;Primary Business not Hi-Tech</v>
      </c>
      <c r="AB942" s="6" t="str">
        <v>Programming Services;Primary Business not Hi-Tech;Telecommunications Equipment;Internet Services &amp; Software;Computer Consulting Services</v>
      </c>
      <c r="AH942" s="6" t="str">
        <v>False</v>
      </c>
      <c r="AJ942" s="6" t="str">
        <v>Dismissed Rumor</v>
      </c>
      <c r="AM942" s="6" t="str">
        <v>Rumored Deal</v>
      </c>
      <c r="AO942" s="6" t="str">
        <v>US - Google Inc, a unit of Alphabet Inc, was rumored to be planning to acquire Undecidable Labs Inc, a San Francisco-based developer of online search software.  The Current status of this deal is unknown.</v>
      </c>
    </row>
    <row r="943">
      <c r="A943" s="6" t="str">
        <v>30303M</v>
      </c>
      <c r="B943" s="6" t="str">
        <v>United States</v>
      </c>
      <c r="C943" s="6" t="str">
        <v>Facebook Inc</v>
      </c>
      <c r="D943" s="6" t="str">
        <v>Facebook Inc</v>
      </c>
      <c r="F943" s="6" t="str">
        <v>United States</v>
      </c>
      <c r="G943" s="6" t="str">
        <v>FacioMetrics LLC</v>
      </c>
      <c r="H943" s="6" t="str">
        <v>Prepackaged Software</v>
      </c>
      <c r="I943" s="6" t="str">
        <v>0F7072</v>
      </c>
      <c r="J943" s="6" t="str">
        <v>FacioMetrics LLC</v>
      </c>
      <c r="K943" s="6" t="str">
        <v>FacioMetrics LLC</v>
      </c>
      <c r="L943" s="7">
        <f>=DATE(2016,11,16)</f>
        <v>42689.99949074074</v>
      </c>
      <c r="M943" s="7">
        <f>=DATE(2016,11,16)</f>
        <v>42689.99949074074</v>
      </c>
      <c r="W943" s="6" t="str">
        <v>Internet Services &amp; Software</v>
      </c>
      <c r="X943" s="6" t="str">
        <v>Communication/Network Software</v>
      </c>
      <c r="Y943" s="6" t="str">
        <v>Communication/Network Software</v>
      </c>
      <c r="Z943" s="6" t="str">
        <v>Communication/Network Software</v>
      </c>
      <c r="AA943" s="6" t="str">
        <v>Internet Services &amp; Software</v>
      </c>
      <c r="AB943" s="6" t="str">
        <v>Internet Services &amp; Software</v>
      </c>
      <c r="AH943" s="6" t="str">
        <v>False</v>
      </c>
      <c r="AI943" s="6" t="str">
        <v>2016</v>
      </c>
      <c r="AJ943" s="6" t="str">
        <v>Completed</v>
      </c>
      <c r="AM943" s="6" t="str">
        <v>Financial Acquiror</v>
      </c>
      <c r="AO943" s="6" t="str">
        <v>US - Facebook Inc acquired FacioMetrics LLC, a Pittsburgh-based developer of facial image analysis software. Terms were not disclosed.</v>
      </c>
    </row>
    <row r="944">
      <c r="A944" s="6" t="str">
        <v>30303M</v>
      </c>
      <c r="B944" s="6" t="str">
        <v>United States</v>
      </c>
      <c r="C944" s="6" t="str">
        <v>Facebook Inc</v>
      </c>
      <c r="D944" s="6" t="str">
        <v>Facebook Inc</v>
      </c>
      <c r="F944" s="6" t="str">
        <v>United States</v>
      </c>
      <c r="G944" s="6" t="str">
        <v>Facebook Inc</v>
      </c>
      <c r="H944" s="6" t="str">
        <v>Business Services</v>
      </c>
      <c r="I944" s="6" t="str">
        <v>30303M</v>
      </c>
      <c r="J944" s="6" t="str">
        <v>Facebook Inc</v>
      </c>
      <c r="K944" s="6" t="str">
        <v>Facebook Inc</v>
      </c>
      <c r="L944" s="7">
        <f>=DATE(2016,11,18)</f>
        <v>42691.99949074074</v>
      </c>
      <c r="N944" s="8">
        <v>149000</v>
      </c>
      <c r="O944" s="8">
        <v>149000</v>
      </c>
      <c r="R944" s="8">
        <v>23561</v>
      </c>
      <c r="S944" s="8">
        <v>116609</v>
      </c>
      <c r="T944" s="8">
        <v>-22136</v>
      </c>
      <c r="U944" s="8">
        <v>-28970</v>
      </c>
      <c r="V944" s="8">
        <v>50475</v>
      </c>
      <c r="W944" s="6" t="str">
        <v>Internet Services &amp; Software</v>
      </c>
      <c r="X944" s="6" t="str">
        <v>Internet Services &amp; Software</v>
      </c>
      <c r="Y944" s="6" t="str">
        <v>Internet Services &amp; Software</v>
      </c>
      <c r="Z944" s="6" t="str">
        <v>Internet Services &amp; Software</v>
      </c>
      <c r="AA944" s="6" t="str">
        <v>Internet Services &amp; Software</v>
      </c>
      <c r="AB944" s="6" t="str">
        <v>Internet Services &amp; Software</v>
      </c>
      <c r="AC944" s="8">
        <v>149000</v>
      </c>
      <c r="AD944" s="7">
        <f>=DATE(2023,2,1)</f>
        <v>44957.99949074074</v>
      </c>
      <c r="AH944" s="6" t="str">
        <v>True</v>
      </c>
      <c r="AJ944" s="6" t="str">
        <v>Pending</v>
      </c>
      <c r="AM944" s="6" t="str">
        <v>Open Market Purchase;Financial Acquiror;Repurchase;Privately Negotiated Purchase</v>
      </c>
      <c r="AN944" s="8">
        <v>21203</v>
      </c>
      <c r="AO944" s="6" t="str">
        <v>US - On 18 November 2016, the board of Meta Platform Inc, formerly Facebook Inc, a Menlo Park-based provider of online social networking services, authorized the repurchase of up to USD 6 bil of the company's entire share capital, in open market or through privately negotiated transaction. On April 2018, the board authorized an additional USD 9 bil worth of shares in the program. As of 30 September 2018, the company had repurchased 66.57 mil common shares for a total cost of USD 11.706 bil. On December 2018, the board authorized an additional USD 9 bil worth of shares in the program. On January 2020, the board authorized an additional USD 10 bil worth of shares in the program. As of 31 December 2020, the company had repurchased 141.069 mil common shares for a total cost of USD 25.648 bil. On 27 January 2021, the board authorized an additional USD 25 bil worth of shares in the program. As of 30 September 2021, the company had repurchased 218.594 mil common shares for a total cost of USD 51.181 bil. On 25 October 2021, the board authorized an additional USD 50 bil worth of shares in the program. As of 31 December 2022, the company had repurchased 437.409 mil common shares for a total cost of USD 95.164 bil. On 1 February 2023, the board authorized an additional USD 40 bil worth of shares in the program.</v>
      </c>
    </row>
    <row r="945">
      <c r="A945" s="6" t="str">
        <v>38259P</v>
      </c>
      <c r="B945" s="6" t="str">
        <v>United States</v>
      </c>
      <c r="C945" s="6" t="str">
        <v>Google Inc</v>
      </c>
      <c r="D945" s="6" t="str">
        <v>Alphabet Inc</v>
      </c>
      <c r="F945" s="6" t="str">
        <v>United States</v>
      </c>
      <c r="G945" s="6" t="str">
        <v>Qwiklabs Inc</v>
      </c>
      <c r="H945" s="6" t="str">
        <v>Business Services</v>
      </c>
      <c r="I945" s="6" t="str">
        <v>0F6708</v>
      </c>
      <c r="J945" s="6" t="str">
        <v>Qwiklabs Inc</v>
      </c>
      <c r="K945" s="6" t="str">
        <v>Qwiklabs Inc</v>
      </c>
      <c r="L945" s="7">
        <f>=DATE(2016,11,21)</f>
        <v>42694.99949074074</v>
      </c>
      <c r="M945" s="7">
        <f>=DATE(2016,11,21)</f>
        <v>42694.99949074074</v>
      </c>
      <c r="W945" s="6" t="str">
        <v>Programming Services;Internet Services &amp; Software</v>
      </c>
      <c r="X945" s="6" t="str">
        <v>Other Computer Related Svcs;Computer Consulting Services;Data Processing Services;Other Software (inq. Games)</v>
      </c>
      <c r="Y945" s="6" t="str">
        <v>Other Computer Related Svcs;Data Processing Services;Other Software (inq. Games);Computer Consulting Services</v>
      </c>
      <c r="Z945" s="6" t="str">
        <v>Data Processing Services;Other Software (inq. Games);Other Computer Related Svcs;Computer Consulting Services</v>
      </c>
      <c r="AA945" s="6" t="str">
        <v>Internet Services &amp; Software;Telecommunications Equipment;Programming Services;Primary Business not Hi-Tech;Computer Consulting Services</v>
      </c>
      <c r="AB945" s="6" t="str">
        <v>Primary Business not Hi-Tech;Computer Consulting Services;Programming Services;Internet Services &amp; Software;Telecommunications Equipment</v>
      </c>
      <c r="AH945" s="6" t="str">
        <v>False</v>
      </c>
      <c r="AI945" s="6" t="str">
        <v>2016</v>
      </c>
      <c r="AJ945" s="6" t="str">
        <v>Completed</v>
      </c>
      <c r="AM945" s="6" t="str">
        <v>Not Applicable</v>
      </c>
      <c r="AO945" s="6" t="str">
        <v>US - Google Inc, a unit of Alphabet Inc, acquired Qwiklabs Inc, a Carlisle-based provider of hands-on software training lab creation, management and consumption.</v>
      </c>
    </row>
    <row r="946">
      <c r="A946" s="6" t="str">
        <v>037833</v>
      </c>
      <c r="B946" s="6" t="str">
        <v>United States</v>
      </c>
      <c r="C946" s="6" t="str">
        <v>Apple Inc</v>
      </c>
      <c r="D946" s="6" t="str">
        <v>Apple Inc</v>
      </c>
      <c r="F946" s="6" t="str">
        <v>Finland</v>
      </c>
      <c r="G946" s="6" t="str">
        <v>Indoor.io</v>
      </c>
      <c r="H946" s="6" t="str">
        <v>Prepackaged Software</v>
      </c>
      <c r="I946" s="6" t="str">
        <v>0L1763</v>
      </c>
      <c r="J946" s="6" t="str">
        <v>Indoor.io</v>
      </c>
      <c r="K946" s="6" t="str">
        <v>Indoor.io</v>
      </c>
      <c r="L946" s="7">
        <f>=DATE(2016,12,1)</f>
        <v>42704.99949074074</v>
      </c>
      <c r="M946" s="7">
        <f>=DATE(2016,12,1)</f>
        <v>42704.99949074074</v>
      </c>
      <c r="W946" s="6" t="str">
        <v>Micro-Computers (PCs);Monitors/Terminals;Other Software (inq. Games);Other Peripherals;Portable Computers;Mainframes &amp; Super Computers;Printers;Disk Drives</v>
      </c>
      <c r="X946" s="6" t="str">
        <v>Applications Software(Business;Communication/Network Software;Desktop Publishing;Utilities/File Mgmt Software;Other Software (inq. Games);Internet Services &amp; Software;Applications Software(Home)</v>
      </c>
      <c r="Y946" s="6" t="str">
        <v>Applications Software(Business;Applications Software(Home);Communication/Network Software;Internet Services &amp; Software;Other Software (inq. Games);Utilities/File Mgmt Software;Desktop Publishing</v>
      </c>
      <c r="Z946" s="6" t="str">
        <v>Applications Software(Business;Applications Software(Home);Internet Services &amp; Software;Desktop Publishing;Other Software (inq. Games);Utilities/File Mgmt Software;Communication/Network Software</v>
      </c>
      <c r="AA946" s="6" t="str">
        <v>Other Software (inq. Games);Other Peripherals;Portable Computers;Micro-Computers (PCs);Mainframes &amp; Super Computers;Printers;Disk Drives;Monitors/Terminals</v>
      </c>
      <c r="AB946" s="6" t="str">
        <v>Other Peripherals;Portable Computers;Disk Drives;Mainframes &amp; Super Computers;Micro-Computers (PCs);Other Software (inq. Games);Monitors/Terminals;Printers</v>
      </c>
      <c r="AH946" s="6" t="str">
        <v>True</v>
      </c>
      <c r="AI946" s="6" t="str">
        <v>2016</v>
      </c>
      <c r="AJ946" s="6" t="str">
        <v>Completed</v>
      </c>
      <c r="AM946" s="6" t="str">
        <v>Not Applicable</v>
      </c>
      <c r="AO946" s="6" t="str">
        <v>FINLAND - Apple Inc of the US acquired Indoor.io, an Espoo-based software publisher. Terms were not disclosed.</v>
      </c>
    </row>
    <row r="947">
      <c r="A947" s="6" t="str">
        <v>9A6770</v>
      </c>
      <c r="B947" s="6" t="str">
        <v>United States</v>
      </c>
      <c r="C947" s="6" t="str">
        <v>Oculus VR LLC(NOW 8J8006)</v>
      </c>
      <c r="D947" s="6" t="str">
        <v>Facebook Inc</v>
      </c>
      <c r="F947" s="6" t="str">
        <v>Denmark</v>
      </c>
      <c r="G947" s="6" t="str">
        <v>The Eye Tribe ApS</v>
      </c>
      <c r="H947" s="6" t="str">
        <v>Prepackaged Software</v>
      </c>
      <c r="I947" s="6" t="str">
        <v>1F6886</v>
      </c>
      <c r="J947" s="6" t="str">
        <v>The Eye Tribe ApS</v>
      </c>
      <c r="K947" s="6" t="str">
        <v>The Eye Tribe ApS</v>
      </c>
      <c r="L947" s="7">
        <f>=DATE(2016,12,29)</f>
        <v>42732.99949074074</v>
      </c>
      <c r="M947" s="7">
        <f>=DATE(2016,12,29)</f>
        <v>42732.99949074074</v>
      </c>
      <c r="W947" s="6" t="str">
        <v>Applications Software(Home);Communication/Network Software;Applications Software(Business;Programming Services</v>
      </c>
      <c r="X947" s="6" t="str">
        <v>Communication/Network Software;Process Control Systems</v>
      </c>
      <c r="Y947" s="6" t="str">
        <v>Process Control Systems;Communication/Network Software</v>
      </c>
      <c r="Z947" s="6" t="str">
        <v>Communication/Network Software;Process Control Systems</v>
      </c>
      <c r="AA947" s="6" t="str">
        <v>Internet Services &amp; Software</v>
      </c>
      <c r="AB947" s="6" t="str">
        <v>Internet Services &amp; Software</v>
      </c>
      <c r="AH947" s="6" t="str">
        <v>True</v>
      </c>
      <c r="AI947" s="6" t="str">
        <v>2016</v>
      </c>
      <c r="AJ947" s="6" t="str">
        <v>Completed</v>
      </c>
      <c r="AM947" s="6" t="str">
        <v>Rumored Deal;Financial Acquiror</v>
      </c>
      <c r="AO947" s="6" t="str">
        <v>DENMARK - Oculus VR LLC of the US, a unit of Facebook Inc, acquired The Eye Tribe ApS, a Kobenhavn-based software publisher. Originally, in December 2016, Oculus VR LLC was rumored to be planning to acquire The Eye Tribe ApS.</v>
      </c>
    </row>
    <row r="948">
      <c r="A948" s="6" t="str">
        <v>38259P</v>
      </c>
      <c r="B948" s="6" t="str">
        <v>United States</v>
      </c>
      <c r="C948" s="6" t="str">
        <v>Google Inc</v>
      </c>
      <c r="D948" s="6" t="str">
        <v>Alphabet Inc</v>
      </c>
      <c r="F948" s="6" t="str">
        <v>Germany</v>
      </c>
      <c r="G948" s="6" t="str">
        <v>SoundCloud Global Ltd &amp; Co KG</v>
      </c>
      <c r="H948" s="6" t="str">
        <v>Business Services</v>
      </c>
      <c r="I948" s="6" t="str">
        <v>0C6873</v>
      </c>
      <c r="J948" s="6" t="str">
        <v>SoundCloud Global Ltd &amp; Co KG</v>
      </c>
      <c r="K948" s="6" t="str">
        <v>SoundCloud Global Ltd &amp; Co KG</v>
      </c>
      <c r="L948" s="7">
        <f>=DATE(2017,1,3)</f>
        <v>42737.99949074074</v>
      </c>
      <c r="R948" s="8">
        <v>-51.9010463920644</v>
      </c>
      <c r="S948" s="8">
        <v>23.00852839775</v>
      </c>
      <c r="W948" s="6" t="str">
        <v>Programming Services;Internet Services &amp; Software</v>
      </c>
      <c r="X948" s="6" t="str">
        <v>Internet Services &amp; Software;Communication/Network Software</v>
      </c>
      <c r="Y948" s="6" t="str">
        <v>Internet Services &amp; Software;Communication/Network Software</v>
      </c>
      <c r="Z948" s="6" t="str">
        <v>Internet Services &amp; Software;Communication/Network Software</v>
      </c>
      <c r="AA948" s="6" t="str">
        <v>Internet Services &amp; Software;Programming Services;Primary Business not Hi-Tech;Computer Consulting Services;Telecommunications Equipment</v>
      </c>
      <c r="AB948" s="6" t="str">
        <v>Telecommunications Equipment;Programming Services;Computer Consulting Services;Primary Business not Hi-Tech;Internet Services &amp; Software</v>
      </c>
      <c r="AD948" s="7">
        <f>=DATE(2017,1,3)</f>
        <v>42737.99949074074</v>
      </c>
      <c r="AH948" s="6" t="str">
        <v>True</v>
      </c>
      <c r="AJ948" s="6" t="str">
        <v>Dismissed Rumor</v>
      </c>
      <c r="AM948" s="6" t="str">
        <v>Rumored Deal</v>
      </c>
      <c r="AN948" s="8">
        <v>0.032661948829614</v>
      </c>
      <c r="AO948" s="6" t="str">
        <v>GERMANY - Google Inc of the US, a unit of Alphabet Inc, was rumored to be planning to acquire Soundcloud Ltd, a Berlin-based internet service provider. The terms of the transaction were not disclosed, but according to sources close to the transaction, the value was estimated at EUR 477 mil (USD 499.529 mil). The Current status of this deal is unknown.</v>
      </c>
    </row>
    <row r="949">
      <c r="A949" s="6" t="str">
        <v>38259P</v>
      </c>
      <c r="B949" s="6" t="str">
        <v>United States</v>
      </c>
      <c r="C949" s="6" t="str">
        <v>Google Inc</v>
      </c>
      <c r="D949" s="6" t="str">
        <v>Alphabet Inc</v>
      </c>
      <c r="F949" s="6" t="str">
        <v>Sweden</v>
      </c>
      <c r="G949" s="6" t="str">
        <v>Limes Audio AB</v>
      </c>
      <c r="H949" s="6" t="str">
        <v>Prepackaged Software</v>
      </c>
      <c r="I949" s="6" t="str">
        <v>2F0355</v>
      </c>
      <c r="J949" s="6" t="str">
        <v>Limes Audio AB</v>
      </c>
      <c r="K949" s="6" t="str">
        <v>Limes Audio AB</v>
      </c>
      <c r="L949" s="7">
        <f>=DATE(2017,1,5)</f>
        <v>42739.99949074074</v>
      </c>
      <c r="M949" s="7">
        <f>=DATE(2017,1,5)</f>
        <v>42739.99949074074</v>
      </c>
      <c r="W949" s="6" t="str">
        <v>Programming Services;Internet Services &amp; Software</v>
      </c>
      <c r="X949" s="6" t="str">
        <v>Internet Services &amp; Software;Communication/Network Software</v>
      </c>
      <c r="Y949" s="6" t="str">
        <v>Internet Services &amp; Software;Communication/Network Software</v>
      </c>
      <c r="Z949" s="6" t="str">
        <v>Communication/Network Software;Internet Services &amp; Software</v>
      </c>
      <c r="AA949" s="6" t="str">
        <v>Computer Consulting Services;Programming Services;Telecommunications Equipment;Internet Services &amp; Software;Primary Business not Hi-Tech</v>
      </c>
      <c r="AB949" s="6" t="str">
        <v>Primary Business not Hi-Tech;Programming Services;Internet Services &amp; Software;Telecommunications Equipment;Computer Consulting Services</v>
      </c>
      <c r="AH949" s="6" t="str">
        <v>False</v>
      </c>
      <c r="AI949" s="6" t="str">
        <v>2017</v>
      </c>
      <c r="AJ949" s="6" t="str">
        <v>Completed</v>
      </c>
      <c r="AM949" s="6" t="str">
        <v>Not Applicable</v>
      </c>
      <c r="AO949" s="6" t="str">
        <v>SWEDEN - Google Inc of the US, a unit of Alphabet Inc, acquired Limes Audio AB, an Umea-based software publisher.</v>
      </c>
    </row>
    <row r="950">
      <c r="A950" s="6" t="str">
        <v>594918</v>
      </c>
      <c r="B950" s="6" t="str">
        <v>United States</v>
      </c>
      <c r="C950" s="6" t="str">
        <v>Microsoft Corp</v>
      </c>
      <c r="D950" s="6" t="str">
        <v>Microsoft Corp</v>
      </c>
      <c r="F950" s="6" t="str">
        <v>Canada</v>
      </c>
      <c r="G950" s="6" t="str">
        <v>Maluuba Inc</v>
      </c>
      <c r="H950" s="6" t="str">
        <v>Prepackaged Software</v>
      </c>
      <c r="I950" s="6" t="str">
        <v>2F1503</v>
      </c>
      <c r="J950" s="6" t="str">
        <v>Maluuba Inc</v>
      </c>
      <c r="K950" s="6" t="str">
        <v>Maluuba Inc</v>
      </c>
      <c r="L950" s="7">
        <f>=DATE(2017,1,13)</f>
        <v>42747.99949074074</v>
      </c>
      <c r="W950" s="6" t="str">
        <v>Monitors/Terminals;Computer Consulting Services;Operating Systems;Applications Software(Business;Internet Services &amp; Software;Other Peripherals</v>
      </c>
      <c r="X950" s="6" t="str">
        <v>Other Software (inq. Games)</v>
      </c>
      <c r="Y950" s="6" t="str">
        <v>Other Software (inq. Games)</v>
      </c>
      <c r="Z950" s="6" t="str">
        <v>Other Software (inq. Games)</v>
      </c>
      <c r="AA950" s="6" t="str">
        <v>Applications Software(Business;Computer Consulting Services;Other Peripherals;Internet Services &amp; Software;Operating Systems;Monitors/Terminals</v>
      </c>
      <c r="AB950" s="6" t="str">
        <v>Internet Services &amp; Software;Monitors/Terminals;Other Peripherals;Applications Software(Business;Computer Consulting Services;Operating Systems</v>
      </c>
      <c r="AH950" s="6" t="str">
        <v>False</v>
      </c>
      <c r="AJ950" s="6" t="str">
        <v>Pending</v>
      </c>
      <c r="AM950" s="6" t="str">
        <v>Not Applicable</v>
      </c>
      <c r="AO950" s="6" t="str">
        <v>CANADA - Microsoft Corp of the US agreed to acquire Maluuba Inc, a Montreal-based provider of language technology.</v>
      </c>
    </row>
    <row r="951">
      <c r="A951" s="6" t="str">
        <v>594918</v>
      </c>
      <c r="B951" s="6" t="str">
        <v>United States</v>
      </c>
      <c r="C951" s="6" t="str">
        <v>Microsoft Corp</v>
      </c>
      <c r="D951" s="6" t="str">
        <v>Microsoft Corp</v>
      </c>
      <c r="F951" s="6" t="str">
        <v>Sweden</v>
      </c>
      <c r="G951" s="6" t="str">
        <v>Donya Labs AB</v>
      </c>
      <c r="H951" s="6" t="str">
        <v>Prepackaged Software</v>
      </c>
      <c r="I951" s="6" t="str">
        <v>5A1030</v>
      </c>
      <c r="J951" s="6" t="str">
        <v>Donya Labs AB</v>
      </c>
      <c r="K951" s="6" t="str">
        <v>Donya Labs AB</v>
      </c>
      <c r="L951" s="7">
        <f>=DATE(2017,1,17)</f>
        <v>42751.99949074074</v>
      </c>
      <c r="M951" s="7">
        <f>=DATE(2017,1,17)</f>
        <v>42751.99949074074</v>
      </c>
      <c r="W951" s="6" t="str">
        <v>Applications Software(Business;Computer Consulting Services;Internet Services &amp; Software;Other Peripherals;Operating Systems;Monitors/Terminals</v>
      </c>
      <c r="X951" s="6" t="str">
        <v>Other Software (inq. Games)</v>
      </c>
      <c r="Y951" s="6" t="str">
        <v>Other Software (inq. Games)</v>
      </c>
      <c r="Z951" s="6" t="str">
        <v>Other Software (inq. Games)</v>
      </c>
      <c r="AA951" s="6" t="str">
        <v>Internet Services &amp; Software;Operating Systems;Computer Consulting Services;Monitors/Terminals;Applications Software(Business;Other Peripherals</v>
      </c>
      <c r="AB951" s="6" t="str">
        <v>Applications Software(Business;Computer Consulting Services;Other Peripherals;Internet Services &amp; Software;Monitors/Terminals;Operating Systems</v>
      </c>
      <c r="AH951" s="6" t="str">
        <v>True</v>
      </c>
      <c r="AI951" s="6" t="str">
        <v>2017</v>
      </c>
      <c r="AJ951" s="6" t="str">
        <v>Completed</v>
      </c>
      <c r="AM951" s="6" t="str">
        <v>Not Applicable</v>
      </c>
      <c r="AO951" s="6" t="str">
        <v>SWEDEN - Microsoft Corp of the US acquired Donya Labs AB, a Linkoping-based software publisher.</v>
      </c>
    </row>
    <row r="952">
      <c r="A952" s="6" t="str">
        <v>38259P</v>
      </c>
      <c r="B952" s="6" t="str">
        <v>United States</v>
      </c>
      <c r="C952" s="6" t="str">
        <v>Google Inc</v>
      </c>
      <c r="D952" s="6" t="str">
        <v>Alphabet Inc</v>
      </c>
      <c r="F952" s="6" t="str">
        <v>United States</v>
      </c>
      <c r="G952" s="6" t="str">
        <v>Twitter Inc-Fabric Software</v>
      </c>
      <c r="H952" s="6" t="str">
        <v>Prepackaged Software</v>
      </c>
      <c r="I952" s="6" t="str">
        <v>2F2495</v>
      </c>
      <c r="J952" s="6" t="str">
        <v>Twitter Inc</v>
      </c>
      <c r="K952" s="6" t="str">
        <v>Twitter Inc</v>
      </c>
      <c r="L952" s="7">
        <f>=DATE(2017,1,18)</f>
        <v>42752.99949074074</v>
      </c>
      <c r="M952" s="7">
        <f>=DATE(2017,1,18)</f>
        <v>42752.99949074074</v>
      </c>
      <c r="W952" s="6" t="str">
        <v>Internet Services &amp; Software;Programming Services</v>
      </c>
      <c r="X952" s="6" t="str">
        <v>Communication/Network Software</v>
      </c>
      <c r="Y952" s="6" t="str">
        <v>Internet Services &amp; Software</v>
      </c>
      <c r="Z952" s="6" t="str">
        <v>Internet Services &amp; Software</v>
      </c>
      <c r="AA952" s="6" t="str">
        <v>Telecommunications Equipment;Computer Consulting Services;Internet Services &amp; Software;Programming Services;Primary Business not Hi-Tech</v>
      </c>
      <c r="AB952" s="6" t="str">
        <v>Telecommunications Equipment;Computer Consulting Services;Primary Business not Hi-Tech;Programming Services;Internet Services &amp; Software</v>
      </c>
      <c r="AH952" s="6" t="str">
        <v>False</v>
      </c>
      <c r="AI952" s="6" t="str">
        <v>2017</v>
      </c>
      <c r="AJ952" s="6" t="str">
        <v>Completed</v>
      </c>
      <c r="AM952" s="6" t="str">
        <v>Divestiture</v>
      </c>
      <c r="AO952" s="6" t="str">
        <v>US - Google Inc, a unit of Alphabet Inc, acquired fabric software of Twitter Inc, a San Francisco-based internet service provider. Terms were not disclosed.</v>
      </c>
    </row>
    <row r="953">
      <c r="A953" s="6" t="str">
        <v>00507V</v>
      </c>
      <c r="B953" s="6" t="str">
        <v>United States</v>
      </c>
      <c r="C953" s="6" t="str">
        <v>Activision Blizzard Inc</v>
      </c>
      <c r="D953" s="6" t="str">
        <v>Activision Blizzard Inc</v>
      </c>
      <c r="F953" s="6" t="str">
        <v>United States</v>
      </c>
      <c r="G953" s="6" t="str">
        <v>Omniata Inc</v>
      </c>
      <c r="H953" s="6" t="str">
        <v>Business Services</v>
      </c>
      <c r="I953" s="6" t="str">
        <v>6N6336</v>
      </c>
      <c r="J953" s="6" t="str">
        <v>Omniata Inc</v>
      </c>
      <c r="K953" s="6" t="str">
        <v>Omniata Inc</v>
      </c>
      <c r="L953" s="7">
        <f>=DATE(2017,1,25)</f>
        <v>42759.99949074074</v>
      </c>
      <c r="M953" s="7">
        <f>=DATE(2017,1,25)</f>
        <v>42759.99949074074</v>
      </c>
      <c r="W953" s="6" t="str">
        <v>Other Computer Systems;Other Software (inq. Games);Operating Systems</v>
      </c>
      <c r="X953" s="6" t="str">
        <v>Applications Software(Home);Desktop Publishing;Communication/Network Software;Utilities/File Mgmt Software;Internet Services &amp; Software;Other Computer Related Svcs;Other Software (inq. Games);Networking Systems (LAN,WAN);Computer Consulting Services;Data Processing Services;Primary Business not Hi-Tech;Applications Software(Business</v>
      </c>
      <c r="Y953" s="6" t="str">
        <v>Internet Services &amp; Software;Other Computer Related Svcs;Desktop Publishing;Applications Software(Business;Networking Systems (LAN,WAN);Communication/Network Software;Other Software (inq. Games);Data Processing Services;Computer Consulting Services;Primary Business not Hi-Tech;Applications Software(Home);Utilities/File Mgmt Software</v>
      </c>
      <c r="Z953" s="6" t="str">
        <v>Primary Business not Hi-Tech;Networking Systems (LAN,WAN);Computer Consulting Services;Communication/Network Software;Other Software (inq. Games);Applications Software(Business;Other Computer Related Svcs;Internet Services &amp; Software;Data Processing Services;Desktop Publishing;Utilities/File Mgmt Software;Applications Software(Home)</v>
      </c>
      <c r="AA953" s="6" t="str">
        <v>Operating Systems;Other Software (inq. Games);Other Computer Systems</v>
      </c>
      <c r="AB953" s="6" t="str">
        <v>Other Computer Systems;Operating Systems;Other Software (inq. Games)</v>
      </c>
      <c r="AH953" s="6" t="str">
        <v>True</v>
      </c>
      <c r="AI953" s="6" t="str">
        <v>2017</v>
      </c>
      <c r="AJ953" s="6" t="str">
        <v>Completed</v>
      </c>
      <c r="AM953" s="6" t="str">
        <v>Not Applicable</v>
      </c>
      <c r="AO953" s="6" t="str">
        <v>US - Activision Blizzard Inc acquired Omniata Inc, a San Francisco-based provider of data processing and hosting services.</v>
      </c>
    </row>
    <row r="954">
      <c r="A954" s="6" t="str">
        <v>98967F</v>
      </c>
      <c r="B954" s="6" t="str">
        <v>United States</v>
      </c>
      <c r="C954" s="6" t="str">
        <v>ZeniMax Media Inc</v>
      </c>
      <c r="D954" s="6" t="str">
        <v>ZeniMax Media Inc</v>
      </c>
      <c r="F954" s="6" t="str">
        <v>United States</v>
      </c>
      <c r="G954" s="6" t="str">
        <v>Escalation Studios</v>
      </c>
      <c r="H954" s="6" t="str">
        <v>Prepackaged Software</v>
      </c>
      <c r="I954" s="6" t="str">
        <v>30680R</v>
      </c>
      <c r="J954" s="6" t="str">
        <v>6Waves Lolapps Inc</v>
      </c>
      <c r="K954" s="6" t="str">
        <v>6Waves Lolapps Inc</v>
      </c>
      <c r="L954" s="7">
        <f>=DATE(2017,2,1)</f>
        <v>42766.99949074074</v>
      </c>
      <c r="M954" s="7">
        <f>=DATE(2017,2,1)</f>
        <v>42766.99949074074</v>
      </c>
      <c r="S954" s="8">
        <v>3.047</v>
      </c>
      <c r="W954" s="6" t="str">
        <v>Other Software (inq. Games)</v>
      </c>
      <c r="X954" s="6" t="str">
        <v>Other Software (inq. Games);Primary Business not Hi-Tech;Applications Software(Business;Communication/Network Software</v>
      </c>
      <c r="Y954" s="6" t="str">
        <v>Other Software (inq. Games)</v>
      </c>
      <c r="Z954" s="6" t="str">
        <v>Other Software (inq. Games)</v>
      </c>
      <c r="AA954" s="6" t="str">
        <v>Other Software (inq. Games)</v>
      </c>
      <c r="AB954" s="6" t="str">
        <v>Other Software (inq. Games)</v>
      </c>
      <c r="AH954" s="6" t="str">
        <v>True</v>
      </c>
      <c r="AI954" s="6" t="str">
        <v>2017</v>
      </c>
      <c r="AJ954" s="6" t="str">
        <v>Completed</v>
      </c>
      <c r="AM954" s="6" t="str">
        <v>Divestiture</v>
      </c>
      <c r="AO954" s="6" t="str">
        <v>US - ZeniMax Media Inc acquired Escalation Studios, a Dallas-based developer of games applications, from 6Waves Lolapps Inc.</v>
      </c>
    </row>
    <row r="955">
      <c r="A955" s="6" t="str">
        <v>00507V</v>
      </c>
      <c r="B955" s="6" t="str">
        <v>United States</v>
      </c>
      <c r="C955" s="6" t="str">
        <v>Activision Blizzard Inc</v>
      </c>
      <c r="D955" s="6" t="str">
        <v>Activision Blizzard Inc</v>
      </c>
      <c r="F955" s="6" t="str">
        <v>United States</v>
      </c>
      <c r="G955" s="6" t="str">
        <v>Activision Blizzard Inc</v>
      </c>
      <c r="H955" s="6" t="str">
        <v>Prepackaged Software</v>
      </c>
      <c r="I955" s="6" t="str">
        <v>00507V</v>
      </c>
      <c r="J955" s="6" t="str">
        <v>Activision Blizzard Inc</v>
      </c>
      <c r="K955" s="6" t="str">
        <v>Activision Blizzard Inc</v>
      </c>
      <c r="L955" s="7">
        <f>=DATE(2017,2,9)</f>
        <v>42774.99949074074</v>
      </c>
      <c r="N955" s="8">
        <v>1000</v>
      </c>
      <c r="O955" s="8">
        <v>1000</v>
      </c>
      <c r="R955" s="8">
        <v>966</v>
      </c>
      <c r="S955" s="8">
        <v>6608</v>
      </c>
      <c r="T955" s="8">
        <v>500</v>
      </c>
      <c r="U955" s="8">
        <v>-1177</v>
      </c>
      <c r="V955" s="8">
        <v>2155</v>
      </c>
      <c r="W955" s="6" t="str">
        <v>Other Computer Systems;Other Software (inq. Games);Operating Systems</v>
      </c>
      <c r="X955" s="6" t="str">
        <v>Operating Systems;Other Software (inq. Games);Other Computer Systems</v>
      </c>
      <c r="Y955" s="6" t="str">
        <v>Operating Systems;Other Software (inq. Games);Other Computer Systems</v>
      </c>
      <c r="Z955" s="6" t="str">
        <v>Other Software (inq. Games);Operating Systems;Other Computer Systems</v>
      </c>
      <c r="AA955" s="6" t="str">
        <v>Other Software (inq. Games);Other Computer Systems;Operating Systems</v>
      </c>
      <c r="AB955" s="6" t="str">
        <v>Operating Systems;Other Software (inq. Games);Other Computer Systems</v>
      </c>
      <c r="AC955" s="8">
        <v>1000</v>
      </c>
      <c r="AD955" s="7">
        <f>=DATE(2017,2,9)</f>
        <v>42774.99949074074</v>
      </c>
      <c r="AH955" s="6" t="str">
        <v>True</v>
      </c>
      <c r="AJ955" s="6" t="str">
        <v>Pending</v>
      </c>
      <c r="AM955" s="6" t="str">
        <v>Open Market Purchase;Repurchase</v>
      </c>
      <c r="AN955" s="8">
        <v>11680</v>
      </c>
      <c r="AO955" s="6" t="str">
        <v>US - On 9 February 2017, the board of Activision Blizzard Inc, a Santa Monica-based developer and wholesaler of interactive entertainment software for a variety of platforms, including personal computer compact disc read-only-memory desktop systems for the operating systems and videogame set-top hardware systems for the Sony play station, Xbox, authorized the repurchase of up to USD 1 bil of the company's entire share capital, in open market transaction.</v>
      </c>
    </row>
    <row r="956">
      <c r="A956" s="6" t="str">
        <v>037833</v>
      </c>
      <c r="B956" s="6" t="str">
        <v>United States</v>
      </c>
      <c r="C956" s="6" t="str">
        <v>Apple Inc</v>
      </c>
      <c r="D956" s="6" t="str">
        <v>Apple Inc</v>
      </c>
      <c r="F956" s="6" t="str">
        <v>Israel</v>
      </c>
      <c r="G956" s="6" t="str">
        <v>RealFace</v>
      </c>
      <c r="H956" s="6" t="str">
        <v>Business Services</v>
      </c>
      <c r="I956" s="6" t="str">
        <v>3F0770</v>
      </c>
      <c r="J956" s="6" t="str">
        <v>RealFace</v>
      </c>
      <c r="K956" s="6" t="str">
        <v>RealFace</v>
      </c>
      <c r="L956" s="7">
        <f>=DATE(2017,2,19)</f>
        <v>42784.99949074074</v>
      </c>
      <c r="W956" s="6" t="str">
        <v>Mainframes &amp; Super Computers;Other Software (inq. Games);Disk Drives;Other Peripherals;Portable Computers;Micro-Computers (PCs);Monitors/Terminals;Printers</v>
      </c>
      <c r="X956" s="6" t="str">
        <v>Programming Services;Communication/Network Software</v>
      </c>
      <c r="Y956" s="6" t="str">
        <v>Communication/Network Software;Programming Services</v>
      </c>
      <c r="Z956" s="6" t="str">
        <v>Programming Services;Communication/Network Software</v>
      </c>
      <c r="AA956" s="6" t="str">
        <v>Micro-Computers (PCs);Other Peripherals;Disk Drives;Other Software (inq. Games);Mainframes &amp; Super Computers;Printers;Portable Computers;Monitors/Terminals</v>
      </c>
      <c r="AB956" s="6" t="str">
        <v>Printers;Micro-Computers (PCs);Monitors/Terminals;Disk Drives;Portable Computers;Mainframes &amp; Super Computers;Other Peripherals;Other Software (inq. Games)</v>
      </c>
      <c r="AD956" s="7">
        <f>=DATE(2017,2,19)</f>
        <v>42784.99949074074</v>
      </c>
      <c r="AH956" s="6" t="str">
        <v>False</v>
      </c>
      <c r="AJ956" s="6" t="str">
        <v>Dismissed Rumor</v>
      </c>
      <c r="AM956" s="6" t="str">
        <v>Rumored Deal</v>
      </c>
      <c r="AO956" s="6" t="str">
        <v>ISRAEL - Apple Inc of the US was rumored to be planning to acquire RealFace, provider of custom computer programming services. The terms of the transaction were not disclosed, but according to sources close to the transaction, the value was estimated at ILS 7.404 mil (USD 2 mil). The Current status of this deal is unknown.</v>
      </c>
    </row>
    <row r="957">
      <c r="A957" s="6" t="str">
        <v>037833</v>
      </c>
      <c r="B957" s="6" t="str">
        <v>United States</v>
      </c>
      <c r="C957" s="6" t="str">
        <v>Apple Inc</v>
      </c>
      <c r="D957" s="6" t="str">
        <v>Apple Inc</v>
      </c>
      <c r="F957" s="6" t="str">
        <v>United States</v>
      </c>
      <c r="G957" s="6" t="str">
        <v>Icloud.Net</v>
      </c>
      <c r="H957" s="6" t="str">
        <v>Prepackaged Software</v>
      </c>
      <c r="I957" s="6" t="str">
        <v>0L2641</v>
      </c>
      <c r="J957" s="6" t="str">
        <v>Icloud.Net</v>
      </c>
      <c r="K957" s="6" t="str">
        <v>Icloud.Net</v>
      </c>
      <c r="L957" s="7">
        <f>=DATE(2017,2,22)</f>
        <v>42787.99949074074</v>
      </c>
      <c r="M957" s="7">
        <f>=DATE(2017,2,22)</f>
        <v>42787.99949074074</v>
      </c>
      <c r="W957" s="6" t="str">
        <v>Monitors/Terminals;Other Peripherals;Mainframes &amp; Super Computers;Printers;Micro-Computers (PCs);Other Software (inq. Games);Portable Computers;Disk Drives</v>
      </c>
      <c r="X957" s="6" t="str">
        <v>Other Software (inq. Games);Internet Services &amp; Software;Applications Software(Home);Desktop Publishing;Utilities/File Mgmt Software;Communication/Network Software;Applications Software(Business</v>
      </c>
      <c r="Y957" s="6" t="str">
        <v>Communication/Network Software;Internet Services &amp; Software;Other Software (inq. Games);Applications Software(Business;Desktop Publishing;Applications Software(Home);Utilities/File Mgmt Software</v>
      </c>
      <c r="Z957" s="6" t="str">
        <v>Applications Software(Home);Desktop Publishing;Internet Services &amp; Software;Other Software (inq. Games);Communication/Network Software;Applications Software(Business;Utilities/File Mgmt Software</v>
      </c>
      <c r="AA957" s="6" t="str">
        <v>Portable Computers;Monitors/Terminals;Disk Drives;Mainframes &amp; Super Computers;Other Software (inq. Games);Micro-Computers (PCs);Printers;Other Peripherals</v>
      </c>
      <c r="AB957" s="6" t="str">
        <v>Other Software (inq. Games);Other Peripherals;Mainframes &amp; Super Computers;Micro-Computers (PCs);Monitors/Terminals;Portable Computers;Disk Drives;Printers</v>
      </c>
      <c r="AH957" s="6" t="str">
        <v>True</v>
      </c>
      <c r="AI957" s="6" t="str">
        <v>2017</v>
      </c>
      <c r="AJ957" s="6" t="str">
        <v>Completed</v>
      </c>
      <c r="AM957" s="6" t="str">
        <v>Not Applicable</v>
      </c>
      <c r="AO957" s="6" t="str">
        <v>US - Apple Inc acquired Icloud.Net, software publisher.</v>
      </c>
    </row>
    <row r="958">
      <c r="A958" s="6" t="str">
        <v>037833</v>
      </c>
      <c r="B958" s="6" t="str">
        <v>United States</v>
      </c>
      <c r="C958" s="6" t="str">
        <v>Apple Inc</v>
      </c>
      <c r="D958" s="6" t="str">
        <v>Apple Inc</v>
      </c>
      <c r="F958" s="6" t="str">
        <v>United States</v>
      </c>
      <c r="G958" s="6" t="str">
        <v>Apple Inc</v>
      </c>
      <c r="H958" s="6" t="str">
        <v>Computer and Office Equipment</v>
      </c>
      <c r="I958" s="6" t="str">
        <v>037833</v>
      </c>
      <c r="J958" s="6" t="str">
        <v>Apple Inc</v>
      </c>
      <c r="K958" s="6" t="str">
        <v>Apple Inc</v>
      </c>
      <c r="L958" s="7">
        <f>=DATE(2017,2,28)</f>
        <v>42793.99949074074</v>
      </c>
      <c r="M958" s="7">
        <f>=DATE(2017,5,31)</f>
        <v>42885.99949074074</v>
      </c>
      <c r="N958" s="8">
        <v>3000</v>
      </c>
      <c r="O958" s="8">
        <v>3000</v>
      </c>
      <c r="W958" s="6" t="str">
        <v>Monitors/Terminals;Other Peripherals;Other Software (inq. Games);Micro-Computers (PCs);Printers;Mainframes &amp; Super Computers;Portable Computers;Disk Drives</v>
      </c>
      <c r="X958" s="6" t="str">
        <v>Disk Drives;Other Peripherals;Monitors/Terminals;Portable Computers;Micro-Computers (PCs);Other Software (inq. Games);Mainframes &amp; Super Computers;Printers</v>
      </c>
      <c r="Y958" s="6" t="str">
        <v>Disk Drives;Mainframes &amp; Super Computers;Other Software (inq. Games);Portable Computers;Micro-Computers (PCs);Monitors/Terminals;Printers;Other Peripherals</v>
      </c>
      <c r="Z958" s="6" t="str">
        <v>Disk Drives;Other Peripherals;Monitors/Terminals;Mainframes &amp; Super Computers;Printers;Micro-Computers (PCs);Other Software (inq. Games);Portable Computers</v>
      </c>
      <c r="AA958" s="6" t="str">
        <v>Other Software (inq. Games);Disk Drives;Monitors/Terminals;Mainframes &amp; Super Computers;Portable Computers;Micro-Computers (PCs);Other Peripherals;Printers</v>
      </c>
      <c r="AB958" s="6" t="str">
        <v>Disk Drives;Mainframes &amp; Super Computers;Other Software (inq. Games);Printers;Monitors/Terminals;Portable Computers;Other Peripherals;Micro-Computers (PCs)</v>
      </c>
      <c r="AC958" s="8">
        <v>3000</v>
      </c>
      <c r="AD958" s="7">
        <f>=DATE(2017,2,28)</f>
        <v>42793.99949074074</v>
      </c>
      <c r="AF958" s="8" t="str">
        <v>746,647.57</v>
      </c>
      <c r="AG958" s="8" t="str">
        <v>746,647.57</v>
      </c>
      <c r="AH958" s="6" t="str">
        <v>True</v>
      </c>
      <c r="AI958" s="6" t="str">
        <v>2017</v>
      </c>
      <c r="AJ958" s="6" t="str">
        <v>Completed</v>
      </c>
      <c r="AL958" s="8">
        <v>20.949</v>
      </c>
      <c r="AM958" s="6" t="str">
        <v>Open Market Purchase;Repurchase</v>
      </c>
      <c r="AO958" s="6" t="str">
        <v>US - On February 2017, the board of Apple Inc, a Cupertino-based manufacturer and wholesaler of mobile communication and media devices, completed the repurchase of USD 3 bil of the company's entire share capital, in an accelerated buyback transaction.</v>
      </c>
    </row>
    <row r="959">
      <c r="A959" s="6" t="str">
        <v>01864J</v>
      </c>
      <c r="B959" s="6" t="str">
        <v>United States</v>
      </c>
      <c r="C959" s="6" t="str">
        <v>Avanade Inc</v>
      </c>
      <c r="D959" s="6" t="str">
        <v>Accenture PLC</v>
      </c>
      <c r="F959" s="6" t="str">
        <v>United States</v>
      </c>
      <c r="G959" s="6" t="str">
        <v>Infusion Inc</v>
      </c>
      <c r="H959" s="6" t="str">
        <v>Prepackaged Software</v>
      </c>
      <c r="I959" s="6" t="str">
        <v>3F1802</v>
      </c>
      <c r="J959" s="6" t="str">
        <v>Infusion Inc</v>
      </c>
      <c r="K959" s="6" t="str">
        <v>Infusion Inc</v>
      </c>
      <c r="L959" s="7">
        <f>=DATE(2017,2,28)</f>
        <v>42793.99949074074</v>
      </c>
      <c r="M959" s="7">
        <f>=DATE(2017,2,28)</f>
        <v>42793.99949074074</v>
      </c>
      <c r="W959" s="6" t="str">
        <v>Other Software (inq. Games);Computer Consulting Services;Other Computer Related Svcs</v>
      </c>
      <c r="X959" s="6" t="str">
        <v>Other Software (inq. Games);Computer Consulting Services;CAD/CAM/CAE/Graphics Systems</v>
      </c>
      <c r="Y959" s="6" t="str">
        <v>Other Software (inq. Games);Computer Consulting Services;CAD/CAM/CAE/Graphics Systems</v>
      </c>
      <c r="Z959" s="6" t="str">
        <v>Other Software (inq. Games);Computer Consulting Services;CAD/CAM/CAE/Graphics Systems</v>
      </c>
      <c r="AA959" s="6" t="str">
        <v>Utilities/File Mgmt Software;Desktop Publishing;Communication/Network Software;Data Processing Services;Networking Systems (LAN,WAN);Workstations;Other Computer Systems;Data Commun(Exclude networking;Primary Business not Hi-Tech;Other Computer Related Svcs;Computer Consulting Services;CAD/CAM/CAE/Graphics Systems;Internet Services &amp; Software;Turnkey Systems;Other Software (inq. Games);Applications Software(Home);Applications Software(Business;Operating Systems</v>
      </c>
      <c r="AB959" s="6" t="str">
        <v>Desktop Publishing;CAD/CAM/CAE/Graphics Systems;Computer Consulting Services;Data Processing Services;Applications Software(Home);Turnkey Systems;Utilities/File Mgmt Software;Other Computer Related Svcs;Networking Systems (LAN,WAN);Applications Software(Business;Operating Systems;Workstations;Internet Services &amp; Software;Communication/Network Software;Other Computer Systems;Data Commun(Exclude networking;Other Software (inq. Games);Primary Business not Hi-Tech</v>
      </c>
      <c r="AH959" s="6" t="str">
        <v>False</v>
      </c>
      <c r="AI959" s="6" t="str">
        <v>2017</v>
      </c>
      <c r="AJ959" s="6" t="str">
        <v>Completed</v>
      </c>
      <c r="AM959" s="6" t="str">
        <v>Not Applicable</v>
      </c>
      <c r="AO959" s="6" t="str">
        <v>US - Avanade Inc, jointly owned by Accenture PLC and Microsoft Corp, acquired Infusion Inc, a New York-based software publisher.</v>
      </c>
    </row>
    <row r="960">
      <c r="A960" s="6" t="str">
        <v>3F2082</v>
      </c>
      <c r="B960" s="6" t="str">
        <v>United States</v>
      </c>
      <c r="C960" s="6" t="str">
        <v>Microsoft Ventures Inc</v>
      </c>
      <c r="D960" s="6" t="str">
        <v>Microsoft Corp</v>
      </c>
      <c r="F960" s="6" t="str">
        <v>Sweden</v>
      </c>
      <c r="G960" s="6" t="str">
        <v>Pickit</v>
      </c>
      <c r="H960" s="6" t="str">
        <v>Business Services</v>
      </c>
      <c r="I960" s="6" t="str">
        <v>3F2084</v>
      </c>
      <c r="J960" s="6" t="str">
        <v>Pickit</v>
      </c>
      <c r="K960" s="6" t="str">
        <v>Pickit</v>
      </c>
      <c r="L960" s="7">
        <f>=DATE(2017,3,1)</f>
        <v>42794.99949074074</v>
      </c>
      <c r="W960" s="6" t="str">
        <v>Primary Business not Hi-Tech</v>
      </c>
      <c r="X960" s="6" t="str">
        <v>Internet Services &amp; Software;Communication/Network Software</v>
      </c>
      <c r="Y960" s="6" t="str">
        <v>Communication/Network Software;Internet Services &amp; Software</v>
      </c>
      <c r="Z960" s="6" t="str">
        <v>Communication/Network Software;Internet Services &amp; Software</v>
      </c>
      <c r="AA960" s="6" t="str">
        <v>Computer Consulting Services;Other Peripherals;Monitors/Terminals;Applications Software(Business;Internet Services &amp; Software;Operating Systems</v>
      </c>
      <c r="AB960" s="6" t="str">
        <v>Internet Services &amp; Software;Monitors/Terminals;Applications Software(Business;Computer Consulting Services;Other Peripherals;Operating Systems</v>
      </c>
      <c r="AH960" s="6" t="str">
        <v>True</v>
      </c>
      <c r="AJ960" s="6" t="str">
        <v>Dismissed Rumor</v>
      </c>
      <c r="AM960" s="6" t="str">
        <v>Rumored Deal;Financial Acquiror;Privately Negotiated Purchase</v>
      </c>
      <c r="AO960" s="6" t="str">
        <v>SWEDEN - Microsoft Ventures Inc of the US, a unit of Microsoft Corp, was rumored to be planning to acquire a 40% stake in Pickit, a Visby-based internet service provider, in a privately negotiated transaction. The Current status of this deal is unknown.</v>
      </c>
    </row>
    <row r="961">
      <c r="A961" s="6" t="str">
        <v>4C7902</v>
      </c>
      <c r="B961" s="6" t="str">
        <v>United States</v>
      </c>
      <c r="C961" s="6" t="str">
        <v>Amazon Web Services Inc</v>
      </c>
      <c r="D961" s="6" t="str">
        <v>Amazon.com Inc</v>
      </c>
      <c r="F961" s="6" t="str">
        <v>Canada</v>
      </c>
      <c r="G961" s="6" t="str">
        <v>Thinkbox Software Inc</v>
      </c>
      <c r="H961" s="6" t="str">
        <v>Prepackaged Software</v>
      </c>
      <c r="I961" s="6" t="str">
        <v>3F3843</v>
      </c>
      <c r="J961" s="6" t="str">
        <v>Thinkbox Software Inc</v>
      </c>
      <c r="K961" s="6" t="str">
        <v>Thinkbox Software Inc</v>
      </c>
      <c r="L961" s="7">
        <f>=DATE(2017,3,7)</f>
        <v>42800.99949074074</v>
      </c>
      <c r="M961" s="7">
        <f>=DATE(2017,3,7)</f>
        <v>42800.99949074074</v>
      </c>
      <c r="W961" s="6" t="str">
        <v>Internet Services &amp; Software;Other Computer Related Svcs;Primary Business not Hi-Tech;Data Processing Services;Computer Consulting Services</v>
      </c>
      <c r="X961" s="6" t="str">
        <v>Communication/Network Software</v>
      </c>
      <c r="Y961" s="6" t="str">
        <v>Communication/Network Software</v>
      </c>
      <c r="Z961" s="6" t="str">
        <v>Communication/Network Software</v>
      </c>
      <c r="AA961" s="6" t="str">
        <v>Primary Business not Hi-Tech</v>
      </c>
      <c r="AB961" s="6" t="str">
        <v>Primary Business not Hi-Tech</v>
      </c>
      <c r="AH961" s="6" t="str">
        <v>False</v>
      </c>
      <c r="AI961" s="6" t="str">
        <v>2017</v>
      </c>
      <c r="AJ961" s="6" t="str">
        <v>Completed</v>
      </c>
      <c r="AM961" s="6" t="str">
        <v>Not Applicable</v>
      </c>
      <c r="AO961" s="6" t="str">
        <v>CANADA - Amazon Web Services Inc of the US, a unit of Amazon.com Inc, acquired Thinkbox Software Inc, a Winnipeg-based software publisher.</v>
      </c>
    </row>
    <row r="962">
      <c r="A962" s="6" t="str">
        <v>38259P</v>
      </c>
      <c r="B962" s="6" t="str">
        <v>United States</v>
      </c>
      <c r="C962" s="6" t="str">
        <v>Google Inc</v>
      </c>
      <c r="D962" s="6" t="str">
        <v>Alphabet Inc</v>
      </c>
      <c r="F962" s="6" t="str">
        <v>United States</v>
      </c>
      <c r="G962" s="6" t="str">
        <v>Kaggle Inc</v>
      </c>
      <c r="H962" s="6" t="str">
        <v>Business Services</v>
      </c>
      <c r="I962" s="6" t="str">
        <v>3F4095</v>
      </c>
      <c r="J962" s="6" t="str">
        <v>Alphabet Inc</v>
      </c>
      <c r="K962" s="6" t="str">
        <v>Google Inc</v>
      </c>
      <c r="L962" s="7">
        <f>=DATE(2017,3,8)</f>
        <v>42801.99949074074</v>
      </c>
      <c r="M962" s="7">
        <f>=DATE(2017,3,8)</f>
        <v>42801.99949074074</v>
      </c>
      <c r="W962" s="6" t="str">
        <v>Programming Services;Internet Services &amp; Software</v>
      </c>
      <c r="X962" s="6" t="str">
        <v>Data Processing Services</v>
      </c>
      <c r="Y962" s="6" t="str">
        <v>Programming Services;Internet Services &amp; Software</v>
      </c>
      <c r="Z962" s="6" t="str">
        <v>Programming Services;Computer Consulting Services;Internet Services &amp; Software;Primary Business not Hi-Tech;Telecommunications Equipment</v>
      </c>
      <c r="AA962" s="6" t="str">
        <v>Computer Consulting Services;Telecommunications Equipment;Programming Services;Internet Services &amp; Software;Primary Business not Hi-Tech</v>
      </c>
      <c r="AB962" s="6" t="str">
        <v>Programming Services;Computer Consulting Services;Telecommunications Equipment;Internet Services &amp; Software;Primary Business not Hi-Tech</v>
      </c>
      <c r="AH962" s="6" t="str">
        <v>False</v>
      </c>
      <c r="AI962" s="6" t="str">
        <v>2017</v>
      </c>
      <c r="AJ962" s="6" t="str">
        <v>Completed</v>
      </c>
      <c r="AM962" s="6" t="str">
        <v>Rumored Deal</v>
      </c>
      <c r="AO962" s="6" t="str">
        <v>US - Google Inc, a unit of Alphabet Inc, acquired Kaggle Inc, a San Francisco-based provider of data processing and hosting services. Originally, in March 2017, Google Inc, a unit of Alphabet Inc, was rumored to be planning to acquire Kaggle Inc.</v>
      </c>
    </row>
    <row r="963">
      <c r="A963" s="6" t="str">
        <v>3F8100</v>
      </c>
      <c r="B963" s="6" t="str">
        <v>United States</v>
      </c>
      <c r="C963" s="6" t="str">
        <v>GV Management Co LLC</v>
      </c>
      <c r="D963" s="6" t="str">
        <v>Alphabet Inc</v>
      </c>
      <c r="F963" s="6" t="str">
        <v>United Kingdom</v>
      </c>
      <c r="G963" s="6" t="str">
        <v>The Currency Cloud Ltd</v>
      </c>
      <c r="H963" s="6" t="str">
        <v>Prepackaged Software</v>
      </c>
      <c r="I963" s="6" t="str">
        <v>6J6727</v>
      </c>
      <c r="J963" s="6" t="str">
        <v>The Currency Cloud Ltd</v>
      </c>
      <c r="K963" s="6" t="str">
        <v>The Currency Cloud Ltd</v>
      </c>
      <c r="L963" s="7">
        <f>=DATE(2017,3,9)</f>
        <v>42802.99949074074</v>
      </c>
      <c r="M963" s="7">
        <f>=DATE(2017,3,9)</f>
        <v>42802.99949074074</v>
      </c>
      <c r="N963" s="8">
        <v>24.3359332221992</v>
      </c>
      <c r="O963" s="8">
        <v>24.3359332221992</v>
      </c>
      <c r="R963" s="8">
        <v>-12.2569821375703</v>
      </c>
      <c r="S963" s="8">
        <v>9.25441626369289</v>
      </c>
      <c r="W963" s="6" t="str">
        <v>Primary Business not Hi-Tech</v>
      </c>
      <c r="X963" s="6" t="str">
        <v>Primary Business not Hi-Tech;Networking Systems (LAN,WAN);Applications Software(Business;Utilities/File Mgmt Software;Communication/Network Software;Desktop Publishing;Internet Services &amp; Software;Applications Software(Home);Other Software (inq. Games)</v>
      </c>
      <c r="Y963" s="6" t="str">
        <v>Networking Systems (LAN,WAN);Internet Services &amp; Software;Applications Software(Business;Desktop Publishing;Utilities/File Mgmt Software;Communication/Network Software;Other Software (inq. Games);Primary Business not Hi-Tech;Applications Software(Home)</v>
      </c>
      <c r="Z963" s="6" t="str">
        <v>Desktop Publishing;Internet Services &amp; Software;Networking Systems (LAN,WAN);Utilities/File Mgmt Software;Applications Software(Home);Primary Business not Hi-Tech;Applications Software(Business;Other Software (inq. Games);Communication/Network Software</v>
      </c>
      <c r="AA963" s="6" t="str">
        <v>Programming Services;Internet Services &amp; Software</v>
      </c>
      <c r="AB963" s="6" t="str">
        <v>Internet Services &amp; Software;Programming Services;Telecommunications Equipment;Computer Consulting Services;Primary Business not Hi-Tech</v>
      </c>
      <c r="AC963" s="8">
        <v>24.3359332221992</v>
      </c>
      <c r="AD963" s="7">
        <f>=DATE(2017,3,9)</f>
        <v>42802.99949074074</v>
      </c>
      <c r="AH963" s="6" t="str">
        <v>True</v>
      </c>
      <c r="AI963" s="6" t="str">
        <v>2017</v>
      </c>
      <c r="AJ963" s="6" t="str">
        <v>Completed</v>
      </c>
      <c r="AM963" s="6" t="str">
        <v>Financial Acquiror;Leveraged Buyout;Privately Negotiated Purchase;Institutional Buyout</v>
      </c>
      <c r="AO963" s="6" t="str">
        <v>UK - Google Ventures of the US, a unit of Google Inc, acquired an undisclosed minority stake in The Currency Cloud Ltd, a London-based provider of financial transactions services, for a total GBP 20 mil (USD 24.336 mil), in a leveraged buyout transaction.</v>
      </c>
    </row>
    <row r="964">
      <c r="A964" s="6" t="str">
        <v>38259P</v>
      </c>
      <c r="B964" s="6" t="str">
        <v>United States</v>
      </c>
      <c r="C964" s="6" t="str">
        <v>Google Inc</v>
      </c>
      <c r="D964" s="6" t="str">
        <v>Alphabet Inc</v>
      </c>
      <c r="F964" s="6" t="str">
        <v>Canada</v>
      </c>
      <c r="G964" s="6" t="str">
        <v>AppBridge Software Inc</v>
      </c>
      <c r="H964" s="6" t="str">
        <v>Business Services</v>
      </c>
      <c r="I964" s="6" t="str">
        <v>3F5419</v>
      </c>
      <c r="J964" s="6" t="str">
        <v>AppBridge Software Inc</v>
      </c>
      <c r="K964" s="6" t="str">
        <v>AppBridge Software Inc</v>
      </c>
      <c r="L964" s="7">
        <f>=DATE(2017,3,10)</f>
        <v>42803.99949074074</v>
      </c>
      <c r="M964" s="7">
        <f>=DATE(2017,3,10)</f>
        <v>42803.99949074074</v>
      </c>
      <c r="W964" s="6" t="str">
        <v>Internet Services &amp; Software;Programming Services</v>
      </c>
      <c r="X964" s="6" t="str">
        <v>Communication/Network Software;Programming Services;Primary Business not Hi-Tech</v>
      </c>
      <c r="Y964" s="6" t="str">
        <v>Primary Business not Hi-Tech;Communication/Network Software;Programming Services</v>
      </c>
      <c r="Z964" s="6" t="str">
        <v>Communication/Network Software;Programming Services;Primary Business not Hi-Tech</v>
      </c>
      <c r="AA964" s="6" t="str">
        <v>Telecommunications Equipment;Internet Services &amp; Software;Programming Services;Computer Consulting Services;Primary Business not Hi-Tech</v>
      </c>
      <c r="AB964" s="6" t="str">
        <v>Computer Consulting Services;Programming Services;Internet Services &amp; Software;Telecommunications Equipment;Primary Business not Hi-Tech</v>
      </c>
      <c r="AH964" s="6" t="str">
        <v>False</v>
      </c>
      <c r="AI964" s="6" t="str">
        <v>2017</v>
      </c>
      <c r="AJ964" s="6" t="str">
        <v>Completed</v>
      </c>
      <c r="AM964" s="6" t="str">
        <v>Not Applicable</v>
      </c>
      <c r="AO964" s="6" t="str">
        <v>CANADA - Google Inc of the US, a unit of Alphabet Inc, acquired AppBridge Software Inc, a Vancouver-based provider of data processing and hosting services. Terms were not disclosed.</v>
      </c>
    </row>
    <row r="965">
      <c r="A965" s="6" t="str">
        <v>3F2082</v>
      </c>
      <c r="B965" s="6" t="str">
        <v>United States</v>
      </c>
      <c r="C965" s="6" t="str">
        <v>Microsoft Ventures Inc</v>
      </c>
      <c r="D965" s="6" t="str">
        <v>Microsoft Corp</v>
      </c>
      <c r="F965" s="6" t="str">
        <v>United States</v>
      </c>
      <c r="G965" s="6" t="str">
        <v>CNEX Labs Inc</v>
      </c>
      <c r="H965" s="6" t="str">
        <v>Electronic and Electrical Equipment</v>
      </c>
      <c r="I965" s="6" t="str">
        <v>3F8098</v>
      </c>
      <c r="J965" s="6" t="str">
        <v>CNEX Labs Inc</v>
      </c>
      <c r="K965" s="6" t="str">
        <v>CNEX Labs Inc</v>
      </c>
      <c r="L965" s="7">
        <f>=DATE(2017,3,15)</f>
        <v>42808.99949074074</v>
      </c>
      <c r="M965" s="7">
        <f>=DATE(2017,3,15)</f>
        <v>42808.99949074074</v>
      </c>
      <c r="N965" s="8">
        <v>60</v>
      </c>
      <c r="O965" s="8">
        <v>60</v>
      </c>
      <c r="W965" s="6" t="str">
        <v>Primary Business not Hi-Tech</v>
      </c>
      <c r="X965" s="6" t="str">
        <v>Lasers(Excluding Medical);Programming Services</v>
      </c>
      <c r="Y965" s="6" t="str">
        <v>Programming Services;Lasers(Excluding Medical)</v>
      </c>
      <c r="Z965" s="6" t="str">
        <v>Lasers(Excluding Medical);Programming Services</v>
      </c>
      <c r="AA965" s="6" t="str">
        <v>Monitors/Terminals;Other Peripherals;Computer Consulting Services;Internet Services &amp; Software;Operating Systems;Applications Software(Business</v>
      </c>
      <c r="AB965" s="6" t="str">
        <v>Monitors/Terminals;Other Peripherals;Operating Systems;Computer Consulting Services;Applications Software(Business;Internet Services &amp; Software</v>
      </c>
      <c r="AC965" s="8">
        <v>60</v>
      </c>
      <c r="AD965" s="7">
        <f>=DATE(2017,3,15)</f>
        <v>42808.99949074074</v>
      </c>
      <c r="AH965" s="6" t="str">
        <v>True</v>
      </c>
      <c r="AI965" s="6" t="str">
        <v>2017</v>
      </c>
      <c r="AJ965" s="6" t="str">
        <v>Completed</v>
      </c>
      <c r="AM965" s="6" t="str">
        <v>Privately Negotiated Purchase;Financial Acquiror</v>
      </c>
      <c r="AO965" s="6" t="str">
        <v>US - Microsoft Ventures Inc, a unit of Microsoft Corp together with undisclsoed acquirors, acquired an undisclosed minority stake in CNEX Labs Inc, a San Jose-based manufacturer of semiconductors and related device, for a total USD 60 mil, in a privately negotiated transaction.</v>
      </c>
    </row>
    <row r="966">
      <c r="A966" s="6" t="str">
        <v>037833</v>
      </c>
      <c r="B966" s="6" t="str">
        <v>United States</v>
      </c>
      <c r="C966" s="6" t="str">
        <v>Apple Inc</v>
      </c>
      <c r="D966" s="6" t="str">
        <v>Apple Inc</v>
      </c>
      <c r="F966" s="6" t="str">
        <v>United States</v>
      </c>
      <c r="G966" s="6" t="str">
        <v>DeskConnect LLC</v>
      </c>
      <c r="H966" s="6" t="str">
        <v>Prepackaged Software</v>
      </c>
      <c r="I966" s="6" t="str">
        <v>2H2569</v>
      </c>
      <c r="J966" s="6" t="str">
        <v>DeskConnect LLC</v>
      </c>
      <c r="K966" s="6" t="str">
        <v>DeskConnect LLC</v>
      </c>
      <c r="L966" s="7">
        <f>=DATE(2017,3,22)</f>
        <v>42815.99949074074</v>
      </c>
      <c r="M966" s="7">
        <f>=DATE(2017,3,22)</f>
        <v>42815.99949074074</v>
      </c>
      <c r="W966" s="6" t="str">
        <v>Portable Computers;Monitors/Terminals;Printers;Other Peripherals;Disk Drives;Mainframes &amp; Super Computers;Micro-Computers (PCs);Other Software (inq. Games)</v>
      </c>
      <c r="X966" s="6" t="str">
        <v>Applications Software(Home);Communication/Network Software;Internet Services &amp; Software;Applications Software(Business;Desktop Publishing;Utilities/File Mgmt Software;Other Software (inq. Games)</v>
      </c>
      <c r="Y966" s="6" t="str">
        <v>Other Software (inq. Games);Applications Software(Business;Communication/Network Software;Applications Software(Home);Desktop Publishing;Internet Services &amp; Software;Utilities/File Mgmt Software</v>
      </c>
      <c r="Z966" s="6" t="str">
        <v>Internet Services &amp; Software;Utilities/File Mgmt Software;Desktop Publishing;Applications Software(Business;Applications Software(Home);Other Software (inq. Games);Communication/Network Software</v>
      </c>
      <c r="AA966" s="6" t="str">
        <v>Mainframes &amp; Super Computers;Disk Drives;Printers;Other Peripherals;Other Software (inq. Games);Portable Computers;Micro-Computers (PCs);Monitors/Terminals</v>
      </c>
      <c r="AB966" s="6" t="str">
        <v>Disk Drives;Printers;Mainframes &amp; Super Computers;Other Peripherals;Other Software (inq. Games);Monitors/Terminals;Portable Computers;Micro-Computers (PCs)</v>
      </c>
      <c r="AH966" s="6" t="str">
        <v>False</v>
      </c>
      <c r="AI966" s="6" t="str">
        <v>2017</v>
      </c>
      <c r="AJ966" s="6" t="str">
        <v>Completed</v>
      </c>
      <c r="AM966" s="6" t="str">
        <v>Not Applicable</v>
      </c>
      <c r="AO966" s="6" t="str">
        <v>US - Apple Inc acquired DeskConnect LLC, a San Francisco-based software publisher.</v>
      </c>
    </row>
    <row r="967">
      <c r="A967" s="6" t="str">
        <v>023135</v>
      </c>
      <c r="B967" s="6" t="str">
        <v>United States</v>
      </c>
      <c r="C967" s="6" t="str">
        <v>Amazon.com Inc</v>
      </c>
      <c r="D967" s="6" t="str">
        <v>Amazon.com Inc</v>
      </c>
      <c r="F967" s="6" t="str">
        <v>United Arab Emirates</v>
      </c>
      <c r="G967" s="6" t="str">
        <v>Souq.com</v>
      </c>
      <c r="H967" s="6" t="str">
        <v>Miscellaneous Retail Trade</v>
      </c>
      <c r="I967" s="6" t="str">
        <v>84233N</v>
      </c>
      <c r="J967" s="6" t="str">
        <v>Yahoo! Inc</v>
      </c>
      <c r="K967" s="6" t="str">
        <v>Jabbar Internet Group</v>
      </c>
      <c r="L967" s="7">
        <f>=DATE(2017,3,28)</f>
        <v>42821.99949074074</v>
      </c>
      <c r="M967" s="7">
        <f>=DATE(2017,7,3)</f>
        <v>42918.99949074074</v>
      </c>
      <c r="N967" s="8">
        <v>580.093954248366</v>
      </c>
      <c r="O967" s="8">
        <v>580.093954248366</v>
      </c>
      <c r="W967" s="6" t="str">
        <v>Primary Business not Hi-Tech</v>
      </c>
      <c r="X967" s="6" t="str">
        <v>Internet Services &amp; Software</v>
      </c>
      <c r="Y967" s="6" t="str">
        <v>Internet Services &amp; Software</v>
      </c>
      <c r="Z967" s="6" t="str">
        <v>Internet Services &amp; Software</v>
      </c>
      <c r="AA967" s="6" t="str">
        <v>Primary Business not Hi-Tech</v>
      </c>
      <c r="AB967" s="6" t="str">
        <v>Primary Business not Hi-Tech</v>
      </c>
      <c r="AC967" s="8">
        <v>580.093954248366</v>
      </c>
      <c r="AD967" s="7">
        <f>=DATE(2017,7,3)</f>
        <v>42918.99949074074</v>
      </c>
      <c r="AF967" s="8" t="str">
        <v>580.03</v>
      </c>
      <c r="AG967" s="8" t="str">
        <v>580.00</v>
      </c>
      <c r="AH967" s="6" t="str">
        <v>False</v>
      </c>
      <c r="AI967" s="6" t="str">
        <v>2017</v>
      </c>
      <c r="AJ967" s="6" t="str">
        <v>Completed</v>
      </c>
      <c r="AM967" s="6" t="str">
        <v>Divestiture;Rumored Deal</v>
      </c>
      <c r="AO967" s="6" t="str">
        <v>UNITED ARAB EMIRATES - Amazon.com Inc (Amazon) of the US acquired the entire share capital of Souq.com FZ LLC (Souq), a Dubai-based online retailer, from Jabbar Internet Group, owned by Yahoo! Inc, for AED 2.13 bil (USD 580 mil) in cash. Originally, Amazon was rumored to be planning to acquire the entire share capital of Souq. Concurrently, in September 2016, Jabbar Internet Group, ultimately owned by Yahoo! Inc, was rumoured to be seeking a buyer for a 30% stake in its Souq.</v>
      </c>
    </row>
    <row r="968">
      <c r="A968" s="6" t="str">
        <v>023135</v>
      </c>
      <c r="B968" s="6" t="str">
        <v>United States</v>
      </c>
      <c r="C968" s="6" t="str">
        <v>Amazon.com Inc</v>
      </c>
      <c r="D968" s="6" t="str">
        <v>Amazon.com Inc</v>
      </c>
      <c r="F968" s="6" t="str">
        <v>United States</v>
      </c>
      <c r="G968" s="6" t="str">
        <v>Plug Power Inc</v>
      </c>
      <c r="H968" s="6" t="str">
        <v>Electronic and Electrical Equipment</v>
      </c>
      <c r="I968" s="6" t="str">
        <v>72919P</v>
      </c>
      <c r="J968" s="6" t="str">
        <v>Plug Power Inc</v>
      </c>
      <c r="K968" s="6" t="str">
        <v>Plug Power Inc</v>
      </c>
      <c r="L968" s="7">
        <f>=DATE(2017,4,6)</f>
        <v>42830.99949074074</v>
      </c>
      <c r="R968" s="8">
        <v>-69.772</v>
      </c>
      <c r="S968" s="8">
        <v>85.831</v>
      </c>
      <c r="T968" s="8">
        <v>45.703</v>
      </c>
      <c r="U968" s="8">
        <v>-54.078</v>
      </c>
      <c r="V968" s="8">
        <v>-46.579</v>
      </c>
      <c r="W968" s="6" t="str">
        <v>Primary Business not Hi-Tech</v>
      </c>
      <c r="X968" s="6" t="str">
        <v>Primary Business not Hi-Tech;Other Software (inq. Games);Other Electronics;Other High Technology Industry</v>
      </c>
      <c r="Y968" s="6" t="str">
        <v>Other Software (inq. Games);Other Electronics;Other High Technology Industry;Primary Business not Hi-Tech</v>
      </c>
      <c r="Z968" s="6" t="str">
        <v>Other Electronics;Other High Technology Industry;Primary Business not Hi-Tech;Other Software (inq. Games)</v>
      </c>
      <c r="AA968" s="6" t="str">
        <v>Primary Business not Hi-Tech</v>
      </c>
      <c r="AB968" s="6" t="str">
        <v>Primary Business not Hi-Tech</v>
      </c>
      <c r="AH968" s="6" t="str">
        <v>True</v>
      </c>
      <c r="AJ968" s="6" t="str">
        <v>Pending</v>
      </c>
      <c r="AM968" s="6" t="str">
        <v>Privately Negotiated Purchase</v>
      </c>
      <c r="AN968" s="8">
        <v>12.266</v>
      </c>
      <c r="AO968" s="6" t="str">
        <v>US - Amazon.com Inc agreed to acquire an undisclosed minority stake in Plug Power Inc, a Latham-based manufacturer of power, distribution and specialty transformers, in a privately negotiated transaction.</v>
      </c>
    </row>
    <row r="969">
      <c r="A969" s="6" t="str">
        <v>594918</v>
      </c>
      <c r="B969" s="6" t="str">
        <v>United States</v>
      </c>
      <c r="C969" s="6" t="str">
        <v>Microsoft Corp</v>
      </c>
      <c r="D969" s="6" t="str">
        <v>Microsoft Corp</v>
      </c>
      <c r="F969" s="6" t="str">
        <v>United States</v>
      </c>
      <c r="G969" s="6" t="str">
        <v>Intentional Software Corp</v>
      </c>
      <c r="H969" s="6" t="str">
        <v>Prepackaged Software</v>
      </c>
      <c r="I969" s="6" t="str">
        <v>4F5671</v>
      </c>
      <c r="J969" s="6" t="str">
        <v>Intentional Software Corp</v>
      </c>
      <c r="K969" s="6" t="str">
        <v>Intentional Software Corp</v>
      </c>
      <c r="L969" s="7">
        <f>=DATE(2017,4,18)</f>
        <v>42842.99949074074</v>
      </c>
      <c r="M969" s="7">
        <f>=DATE(2017,5,5)</f>
        <v>42859.99949074074</v>
      </c>
      <c r="S969" s="8">
        <v>6.722</v>
      </c>
      <c r="W969" s="6" t="str">
        <v>Operating Systems;Applications Software(Business;Other Peripherals;Internet Services &amp; Software;Computer Consulting Services;Monitors/Terminals</v>
      </c>
      <c r="X969" s="6" t="str">
        <v>Other Software (inq. Games)</v>
      </c>
      <c r="Y969" s="6" t="str">
        <v>Other Software (inq. Games)</v>
      </c>
      <c r="Z969" s="6" t="str">
        <v>Other Software (inq. Games)</v>
      </c>
      <c r="AA969" s="6" t="str">
        <v>Computer Consulting Services;Applications Software(Business;Operating Systems;Internet Services &amp; Software;Other Peripherals;Monitors/Terminals</v>
      </c>
      <c r="AB969" s="6" t="str">
        <v>Other Peripherals;Computer Consulting Services;Applications Software(Business;Monitors/Terminals;Operating Systems;Internet Services &amp; Software</v>
      </c>
      <c r="AH969" s="6" t="str">
        <v>True</v>
      </c>
      <c r="AI969" s="6" t="str">
        <v>2017</v>
      </c>
      <c r="AJ969" s="6" t="str">
        <v>Completed</v>
      </c>
      <c r="AM969" s="6" t="str">
        <v>Not Applicable</v>
      </c>
      <c r="AO969" s="6" t="str">
        <v>US - Microsoft Corp acquired Intentional Software Corp, a Bellevue-based software publisher.</v>
      </c>
    </row>
    <row r="970">
      <c r="A970" s="6" t="str">
        <v>037833</v>
      </c>
      <c r="B970" s="6" t="str">
        <v>United States</v>
      </c>
      <c r="C970" s="6" t="str">
        <v>Apple Inc</v>
      </c>
      <c r="D970" s="6" t="str">
        <v>Apple Inc</v>
      </c>
      <c r="F970" s="6" t="str">
        <v>Finland</v>
      </c>
      <c r="G970" s="6" t="str">
        <v>Beddit Oy</v>
      </c>
      <c r="H970" s="6" t="str">
        <v>Measuring, Medical, Photo Equipment; Clocks</v>
      </c>
      <c r="I970" s="6" t="str">
        <v>5F0320</v>
      </c>
      <c r="J970" s="6" t="str">
        <v>Beddit Oy</v>
      </c>
      <c r="K970" s="6" t="str">
        <v>Beddit Oy</v>
      </c>
      <c r="L970" s="7">
        <f>=DATE(2017,5,8)</f>
        <v>42862.99949074074</v>
      </c>
      <c r="M970" s="7">
        <f>=DATE(2017,5,8)</f>
        <v>42862.99949074074</v>
      </c>
      <c r="W970" s="6" t="str">
        <v>Portable Computers;Micro-Computers (PCs);Other Peripherals;Disk Drives;Printers;Monitors/Terminals;Other Software (inq. Games);Mainframes &amp; Super Computers</v>
      </c>
      <c r="X970" s="6" t="str">
        <v>Communication/Network Software;Process Control Systems;General Med. Instruments/Supp.</v>
      </c>
      <c r="Y970" s="6" t="str">
        <v>Communication/Network Software;General Med. Instruments/Supp.;Process Control Systems</v>
      </c>
      <c r="Z970" s="6" t="str">
        <v>General Med. Instruments/Supp.;Communication/Network Software;Process Control Systems</v>
      </c>
      <c r="AA970" s="6" t="str">
        <v>Printers;Mainframes &amp; Super Computers;Other Peripherals;Disk Drives;Monitors/Terminals;Micro-Computers (PCs);Portable Computers;Other Software (inq. Games)</v>
      </c>
      <c r="AB970" s="6" t="str">
        <v>Portable Computers;Other Peripherals;Other Software (inq. Games);Micro-Computers (PCs);Printers;Disk Drives;Monitors/Terminals;Mainframes &amp; Super Computers</v>
      </c>
      <c r="AH970" s="6" t="str">
        <v>False</v>
      </c>
      <c r="AI970" s="6" t="str">
        <v>2017</v>
      </c>
      <c r="AJ970" s="6" t="str">
        <v>Completed</v>
      </c>
      <c r="AM970" s="6" t="str">
        <v>Not Applicable</v>
      </c>
      <c r="AO970" s="6" t="str">
        <v>FINLAND - Apple Inc of the US acquired Beddit Oy, an Espoo-based manufacturer of navigational, measuring, electromedical and control Instruments.</v>
      </c>
    </row>
    <row r="971">
      <c r="A971" s="6" t="str">
        <v>38259P</v>
      </c>
      <c r="B971" s="6" t="str">
        <v>United States</v>
      </c>
      <c r="C971" s="6" t="str">
        <v>Google Inc</v>
      </c>
      <c r="D971" s="6" t="str">
        <v>Alphabet Inc</v>
      </c>
      <c r="F971" s="6" t="str">
        <v>United States</v>
      </c>
      <c r="G971" s="6" t="str">
        <v>Owlchemy Labs</v>
      </c>
      <c r="H971" s="6" t="str">
        <v>Prepackaged Software</v>
      </c>
      <c r="I971" s="6" t="str">
        <v>5F0957</v>
      </c>
      <c r="J971" s="6" t="str">
        <v>Alphabet Inc</v>
      </c>
      <c r="K971" s="6" t="str">
        <v>Google Inc</v>
      </c>
      <c r="L971" s="7">
        <f>=DATE(2017,5,10)</f>
        <v>42864.99949074074</v>
      </c>
      <c r="M971" s="7">
        <f>=DATE(2017,5,10)</f>
        <v>42864.99949074074</v>
      </c>
      <c r="W971" s="6" t="str">
        <v>Programming Services;Internet Services &amp; Software</v>
      </c>
      <c r="X971" s="6" t="str">
        <v>Other Software (inq. Games)</v>
      </c>
      <c r="Y971" s="6" t="str">
        <v>Programming Services;Internet Services &amp; Software</v>
      </c>
      <c r="Z971" s="6" t="str">
        <v>Programming Services;Internet Services &amp; Software;Telecommunications Equipment;Primary Business not Hi-Tech;Computer Consulting Services</v>
      </c>
      <c r="AA971" s="6" t="str">
        <v>Programming Services;Internet Services &amp; Software;Telecommunications Equipment;Computer Consulting Services;Primary Business not Hi-Tech</v>
      </c>
      <c r="AB971" s="6" t="str">
        <v>Internet Services &amp; Software;Programming Services;Computer Consulting Services;Telecommunications Equipment;Primary Business not Hi-Tech</v>
      </c>
      <c r="AH971" s="6" t="str">
        <v>False</v>
      </c>
      <c r="AI971" s="6" t="str">
        <v>2017</v>
      </c>
      <c r="AJ971" s="6" t="str">
        <v>Completed</v>
      </c>
      <c r="AM971" s="6" t="str">
        <v>Not Applicable</v>
      </c>
      <c r="AO971" s="6" t="str">
        <v>US - Google Inc, a unit of Alphabet Inc, acquired Owlchemy Labs, an Austin-based developer of gaming titles.</v>
      </c>
    </row>
    <row r="972">
      <c r="A972" s="6" t="str">
        <v>037833</v>
      </c>
      <c r="B972" s="6" t="str">
        <v>United States</v>
      </c>
      <c r="C972" s="6" t="str">
        <v>Apple Inc</v>
      </c>
      <c r="D972" s="6" t="str">
        <v>Apple Inc</v>
      </c>
      <c r="F972" s="6" t="str">
        <v>United States</v>
      </c>
      <c r="G972" s="6" t="str">
        <v>Lattice Data Inc</v>
      </c>
      <c r="H972" s="6" t="str">
        <v>Prepackaged Software</v>
      </c>
      <c r="I972" s="6" t="str">
        <v>5F1787</v>
      </c>
      <c r="J972" s="6" t="str">
        <v>Lattice Data Inc</v>
      </c>
      <c r="K972" s="6" t="str">
        <v>Lattice Data Inc</v>
      </c>
      <c r="L972" s="7">
        <f>=DATE(2017,5,13)</f>
        <v>42867.99949074074</v>
      </c>
      <c r="M972" s="7">
        <f>=DATE(2017,5,13)</f>
        <v>42867.99949074074</v>
      </c>
      <c r="W972" s="6" t="str">
        <v>Portable Computers;Micro-Computers (PCs);Other Software (inq. Games);Other Peripherals;Printers;Disk Drives;Monitors/Terminals;Mainframes &amp; Super Computers</v>
      </c>
      <c r="X972" s="6" t="str">
        <v>Communication/Network Software</v>
      </c>
      <c r="Y972" s="6" t="str">
        <v>Communication/Network Software</v>
      </c>
      <c r="Z972" s="6" t="str">
        <v>Communication/Network Software</v>
      </c>
      <c r="AA972" s="6" t="str">
        <v>Mainframes &amp; Super Computers;Portable Computers;Other Peripherals;Monitors/Terminals;Other Software (inq. Games);Micro-Computers (PCs);Disk Drives;Printers</v>
      </c>
      <c r="AB972" s="6" t="str">
        <v>Micro-Computers (PCs);Portable Computers;Other Software (inq. Games);Other Peripherals;Disk Drives;Mainframes &amp; Super Computers;Monitors/Terminals;Printers</v>
      </c>
      <c r="AD972" s="7">
        <f>=DATE(2017,5,13)</f>
        <v>42867.99949074074</v>
      </c>
      <c r="AH972" s="6" t="str">
        <v>False</v>
      </c>
      <c r="AI972" s="6" t="str">
        <v>2017</v>
      </c>
      <c r="AJ972" s="6" t="str">
        <v>Completed</v>
      </c>
      <c r="AM972" s="6" t="str">
        <v>Not Applicable</v>
      </c>
      <c r="AO972" s="6" t="str">
        <v>US - Apple Inc acquired Lattice Data Inc, a Menlo Park-based software publisher. The terms of the transaction were not disclosed, but according to sources close to the transaction, the value was estimated at USD 200 mil.</v>
      </c>
    </row>
    <row r="973">
      <c r="A973" s="6" t="str">
        <v>53578A</v>
      </c>
      <c r="B973" s="6" t="str">
        <v>United States</v>
      </c>
      <c r="C973" s="6" t="str">
        <v>LinkedIn Corp</v>
      </c>
      <c r="D973" s="6" t="str">
        <v>Microsoft Corp</v>
      </c>
      <c r="F973" s="6" t="str">
        <v>United States</v>
      </c>
      <c r="G973" s="6" t="str">
        <v>Heighten Software Inc</v>
      </c>
      <c r="H973" s="6" t="str">
        <v>Business Services</v>
      </c>
      <c r="I973" s="6" t="str">
        <v>9F0904</v>
      </c>
      <c r="J973" s="6" t="str">
        <v>Heighten Software Inc</v>
      </c>
      <c r="K973" s="6" t="str">
        <v>Heighten Software Inc</v>
      </c>
      <c r="L973" s="7">
        <f>=DATE(2017,5,30)</f>
        <v>42884.99949074074</v>
      </c>
      <c r="M973" s="7">
        <f>=DATE(2017,5,30)</f>
        <v>42884.99949074074</v>
      </c>
      <c r="W973" s="6" t="str">
        <v>Internet Services &amp; Software</v>
      </c>
      <c r="X973" s="6" t="str">
        <v>Data Processing Services</v>
      </c>
      <c r="Y973" s="6" t="str">
        <v>Data Processing Services</v>
      </c>
      <c r="Z973" s="6" t="str">
        <v>Data Processing Services</v>
      </c>
      <c r="AA973" s="6" t="str">
        <v>Other Peripherals;Applications Software(Business;Monitors/Terminals;Computer Consulting Services;Operating Systems;Internet Services &amp; Software</v>
      </c>
      <c r="AB973" s="6" t="str">
        <v>Other Peripherals;Operating Systems;Computer Consulting Services;Monitors/Terminals;Applications Software(Business;Internet Services &amp; Software</v>
      </c>
      <c r="AH973" s="6" t="str">
        <v>False</v>
      </c>
      <c r="AI973" s="6" t="str">
        <v>2017</v>
      </c>
      <c r="AJ973" s="6" t="str">
        <v>Completed</v>
      </c>
      <c r="AM973" s="6" t="str">
        <v>Financial Acquiror</v>
      </c>
      <c r="AO973" s="6" t="str">
        <v>US - LinkedIn Corp, a unit of Microsoft Corp, acquired Heighten Software Inc, a Redwood City-based provider of data processing and hosting services.</v>
      </c>
    </row>
    <row r="974">
      <c r="A974" s="6" t="str">
        <v>037833</v>
      </c>
      <c r="B974" s="6" t="str">
        <v>United States</v>
      </c>
      <c r="C974" s="6" t="str">
        <v>Apple Inc</v>
      </c>
      <c r="D974" s="6" t="str">
        <v>Apple Inc</v>
      </c>
      <c r="F974" s="6" t="str">
        <v>United States</v>
      </c>
      <c r="G974" s="6" t="str">
        <v>Apple Inc</v>
      </c>
      <c r="H974" s="6" t="str">
        <v>Computer and Office Equipment</v>
      </c>
      <c r="I974" s="6" t="str">
        <v>037833</v>
      </c>
      <c r="J974" s="6" t="str">
        <v>Apple Inc</v>
      </c>
      <c r="K974" s="6" t="str">
        <v>Apple Inc</v>
      </c>
      <c r="L974" s="7">
        <f>=DATE(2017,5,31)</f>
        <v>42885.99949074074</v>
      </c>
      <c r="M974" s="7">
        <f>=DATE(2017,8,31)</f>
        <v>42977.99949074074</v>
      </c>
      <c r="N974" s="8">
        <v>3000</v>
      </c>
      <c r="O974" s="8">
        <v>3000</v>
      </c>
      <c r="P974" s="8" t="str">
        <v>797,752.47</v>
      </c>
      <c r="R974" s="8">
        <v>45687</v>
      </c>
      <c r="S974" s="8">
        <v>215639</v>
      </c>
      <c r="T974" s="8">
        <v>-20483</v>
      </c>
      <c r="U974" s="8">
        <v>-45977</v>
      </c>
      <c r="V974" s="8">
        <v>65824</v>
      </c>
      <c r="W974" s="6" t="str">
        <v>Printers;Portable Computers;Micro-Computers (PCs);Other Peripherals;Monitors/Terminals;Mainframes &amp; Super Computers;Other Software (inq. Games);Disk Drives</v>
      </c>
      <c r="X974" s="6" t="str">
        <v>Printers;Other Software (inq. Games);Monitors/Terminals;Mainframes &amp; Super Computers;Other Peripherals;Micro-Computers (PCs);Disk Drives;Portable Computers</v>
      </c>
      <c r="Y974" s="6" t="str">
        <v>Monitors/Terminals;Disk Drives;Portable Computers;Other Software (inq. Games);Micro-Computers (PCs);Mainframes &amp; Super Computers;Printers;Other Peripherals</v>
      </c>
      <c r="Z974" s="6" t="str">
        <v>Printers;Mainframes &amp; Super Computers;Other Peripherals;Disk Drives;Monitors/Terminals;Other Software (inq. Games);Portable Computers;Micro-Computers (PCs)</v>
      </c>
      <c r="AA974" s="6" t="str">
        <v>Micro-Computers (PCs);Portable Computers;Disk Drives;Other Peripherals;Mainframes &amp; Super Computers;Other Software (inq. Games);Printers;Monitors/Terminals</v>
      </c>
      <c r="AB974" s="6" t="str">
        <v>Printers;Portable Computers;Mainframes &amp; Super Computers;Micro-Computers (PCs);Monitors/Terminals;Disk Drives;Other Peripherals;Other Software (inq. Games)</v>
      </c>
      <c r="AC974" s="8">
        <v>3000</v>
      </c>
      <c r="AD974" s="7">
        <f>=DATE(2017,5,31)</f>
        <v>42885.99949074074</v>
      </c>
      <c r="AF974" s="8" t="str">
        <v>797,752.47</v>
      </c>
      <c r="AG974" s="8" t="str">
        <v>797,752.47</v>
      </c>
      <c r="AH974" s="6" t="str">
        <v>True</v>
      </c>
      <c r="AI974" s="6" t="str">
        <v>2017</v>
      </c>
      <c r="AJ974" s="6" t="str">
        <v>Completed</v>
      </c>
      <c r="AL974" s="8">
        <v>20.108</v>
      </c>
      <c r="AM974" s="6" t="str">
        <v>Repurchase;Open Market Purchase</v>
      </c>
      <c r="AN974" s="8">
        <v>8620</v>
      </c>
      <c r="AO974" s="6" t="str">
        <v>US - On May 2017, the board of Apple Inc, a Cupertino-based manufacturer and wholesaler of mobile communication and media devices, completed the repurchase of USD 3 bil of the company's entire share capital, in an accelerated buyback transaction.</v>
      </c>
    </row>
    <row r="975">
      <c r="A975" s="6" t="str">
        <v>594918</v>
      </c>
      <c r="B975" s="6" t="str">
        <v>United States</v>
      </c>
      <c r="C975" s="6" t="str">
        <v>Microsoft Corp</v>
      </c>
      <c r="D975" s="6" t="str">
        <v>Microsoft Corp</v>
      </c>
      <c r="F975" s="6" t="str">
        <v>United States</v>
      </c>
      <c r="G975" s="6" t="str">
        <v>Hexadite</v>
      </c>
      <c r="H975" s="6" t="str">
        <v>Business Services</v>
      </c>
      <c r="I975" s="6" t="str">
        <v>5F3744</v>
      </c>
      <c r="J975" s="6" t="str">
        <v>Hexadite</v>
      </c>
      <c r="K975" s="6" t="str">
        <v>Hexadite</v>
      </c>
      <c r="L975" s="7">
        <f>=DATE(2017,6,8)</f>
        <v>42893.99949074074</v>
      </c>
      <c r="W975" s="6" t="str">
        <v>Other Peripherals;Operating Systems;Applications Software(Business;Computer Consulting Services;Internet Services &amp; Software;Monitors/Terminals</v>
      </c>
      <c r="X975" s="6" t="str">
        <v>Other Computer Systems;Primary Business not Hi-Tech</v>
      </c>
      <c r="Y975" s="6" t="str">
        <v>Primary Business not Hi-Tech;Other Computer Systems</v>
      </c>
      <c r="Z975" s="6" t="str">
        <v>Primary Business not Hi-Tech;Other Computer Systems</v>
      </c>
      <c r="AA975" s="6" t="str">
        <v>Operating Systems;Monitors/Terminals;Internet Services &amp; Software;Applications Software(Business;Computer Consulting Services;Other Peripherals</v>
      </c>
      <c r="AB975" s="6" t="str">
        <v>Computer Consulting Services;Other Peripherals;Applications Software(Business;Operating Systems;Monitors/Terminals;Internet Services &amp; Software</v>
      </c>
      <c r="AH975" s="6" t="str">
        <v>False</v>
      </c>
      <c r="AJ975" s="6" t="str">
        <v>Pending</v>
      </c>
      <c r="AM975" s="6" t="str">
        <v>Rumored Deal</v>
      </c>
      <c r="AO975" s="6" t="str">
        <v>US - Microsoft Corp (Microsoft) agreed to acquire Hexadite, a Boston-based provider of security systems services. Originally, in May 2017, Microsoft was rumored to be planning to acquire Hexadite.</v>
      </c>
    </row>
    <row r="976">
      <c r="A976" s="6" t="str">
        <v>037833</v>
      </c>
      <c r="B976" s="6" t="str">
        <v>United States</v>
      </c>
      <c r="C976" s="6" t="str">
        <v>Apple Inc</v>
      </c>
      <c r="D976" s="6" t="str">
        <v>Apple Inc</v>
      </c>
      <c r="F976" s="6" t="str">
        <v>Germany</v>
      </c>
      <c r="G976" s="6" t="str">
        <v>SensoMotoric Instruments Gesellschaft fuer innovative Sensorik mbH</v>
      </c>
      <c r="H976" s="6" t="str">
        <v>Prepackaged Software</v>
      </c>
      <c r="I976" s="6" t="str">
        <v>0A9589</v>
      </c>
      <c r="J976" s="6" t="str">
        <v>SensoMotoric Instruments Gesellschaft fuer innovative Sensorik mbH</v>
      </c>
      <c r="K976" s="6" t="str">
        <v>SensoMotoric Instruments Gesellschaft fuer innovative Sensorik mbH</v>
      </c>
      <c r="L976" s="7">
        <f>=DATE(2017,6,26)</f>
        <v>42911.99949074074</v>
      </c>
      <c r="M976" s="7">
        <f>=DATE(2017,6,26)</f>
        <v>42911.99949074074</v>
      </c>
      <c r="S976" s="8">
        <v>7.15412111017662</v>
      </c>
      <c r="W976" s="6" t="str">
        <v>Other Peripherals;Monitors/Terminals;Mainframes &amp; Super Computers;Portable Computers;Other Software (inq. Games);Micro-Computers (PCs);Printers;Disk Drives</v>
      </c>
      <c r="X976" s="6" t="str">
        <v>Medical Monitoring Systems;Applications Software(Business</v>
      </c>
      <c r="Y976" s="6" t="str">
        <v>Applications Software(Business;Medical Monitoring Systems</v>
      </c>
      <c r="Z976" s="6" t="str">
        <v>Applications Software(Business;Medical Monitoring Systems</v>
      </c>
      <c r="AA976" s="6" t="str">
        <v>Mainframes &amp; Super Computers;Micro-Computers (PCs);Disk Drives;Printers;Other Peripherals;Other Software (inq. Games);Monitors/Terminals;Portable Computers</v>
      </c>
      <c r="AB976" s="6" t="str">
        <v>Disk Drives;Other Software (inq. Games);Other Peripherals;Portable Computers;Micro-Computers (PCs);Monitors/Terminals;Printers;Mainframes &amp; Super Computers</v>
      </c>
      <c r="AH976" s="6" t="str">
        <v>True</v>
      </c>
      <c r="AI976" s="6" t="str">
        <v>2017</v>
      </c>
      <c r="AJ976" s="6" t="str">
        <v>Completed</v>
      </c>
      <c r="AM976" s="6" t="str">
        <v>Not Applicable</v>
      </c>
      <c r="AO976" s="6" t="str">
        <v>GERMANY - Apple Inc of the US acquired SensoMotoric Instruments Gesellschaft fuer innovative Sensorik mbH, a Teltow-based software publisher. Terms were not disclosed.</v>
      </c>
    </row>
    <row r="977">
      <c r="A977" s="6" t="str">
        <v>594918</v>
      </c>
      <c r="B977" s="6" t="str">
        <v>United States</v>
      </c>
      <c r="C977" s="6" t="str">
        <v>Microsoft Corp</v>
      </c>
      <c r="D977" s="6" t="str">
        <v>Microsoft Corp</v>
      </c>
      <c r="F977" s="6" t="str">
        <v>United States</v>
      </c>
      <c r="G977" s="6" t="str">
        <v>Cloudyn Software Ltd</v>
      </c>
      <c r="H977" s="6" t="str">
        <v>Business Services</v>
      </c>
      <c r="I977" s="6" t="str">
        <v>7E7914</v>
      </c>
      <c r="J977" s="6" t="str">
        <v>Cloudyn Software Ltd</v>
      </c>
      <c r="K977" s="6" t="str">
        <v>Cloudyn Software Ltd</v>
      </c>
      <c r="L977" s="7">
        <f>=DATE(2017,6,29)</f>
        <v>42914.99949074074</v>
      </c>
      <c r="W977" s="6" t="str">
        <v>Internet Services &amp; Software;Applications Software(Business;Operating Systems;Computer Consulting Services;Monitors/Terminals;Other Peripherals</v>
      </c>
      <c r="X977" s="6" t="str">
        <v>Other Software (inq. Games);Other Computer Related Svcs;Data Processing Services;Computer Consulting Services</v>
      </c>
      <c r="Y977" s="6" t="str">
        <v>Computer Consulting Services;Other Computer Related Svcs;Other Software (inq. Games);Data Processing Services</v>
      </c>
      <c r="Z977" s="6" t="str">
        <v>Other Software (inq. Games);Computer Consulting Services;Other Computer Related Svcs;Data Processing Services</v>
      </c>
      <c r="AA977" s="6" t="str">
        <v>Other Peripherals;Computer Consulting Services;Monitors/Terminals;Internet Services &amp; Software;Applications Software(Business;Operating Systems</v>
      </c>
      <c r="AB977" s="6" t="str">
        <v>Operating Systems;Applications Software(Business;Computer Consulting Services;Monitors/Terminals;Internet Services &amp; Software;Other Peripherals</v>
      </c>
      <c r="AH977" s="6" t="str">
        <v>False</v>
      </c>
      <c r="AJ977" s="6" t="str">
        <v>Pending</v>
      </c>
      <c r="AM977" s="6" t="str">
        <v>Not Applicable</v>
      </c>
      <c r="AO977" s="6" t="str">
        <v>US - Microsoft Corp definitively agreed to acquire Cloudyn Software Ltd, an Acton-based software publisher, from Infosys Ltd.</v>
      </c>
    </row>
    <row r="978">
      <c r="A978" s="6" t="str">
        <v>67020Y</v>
      </c>
      <c r="B978" s="6" t="str">
        <v>United States</v>
      </c>
      <c r="C978" s="6" t="str">
        <v>Nuance Communications Inc</v>
      </c>
      <c r="D978" s="6" t="str">
        <v>Nuance Communications Inc</v>
      </c>
      <c r="F978" s="6" t="str">
        <v>United States</v>
      </c>
      <c r="G978" s="6" t="str">
        <v>Primordial Design Inc</v>
      </c>
      <c r="H978" s="6" t="str">
        <v>Business Services</v>
      </c>
      <c r="I978" s="6" t="str">
        <v>6F5975</v>
      </c>
      <c r="J978" s="6" t="str">
        <v>Primordial Design Inc</v>
      </c>
      <c r="K978" s="6" t="str">
        <v>Primordial Design Inc</v>
      </c>
      <c r="L978" s="7">
        <f>=DATE(2017,7,5)</f>
        <v>42920.99949074074</v>
      </c>
      <c r="M978" s="7">
        <f>=DATE(2017,7,5)</f>
        <v>42920.99949074074</v>
      </c>
      <c r="W978" s="6" t="str">
        <v>Internet Services &amp; Software;Utilities/File Mgmt Software;Applications Software(Home);Other Software (inq. Games);Other Computer Related Svcs;Primary Business not Hi-Tech;Database Software/Programming;Programming Services;Communication/Network Software;Applications Software(Business;Desktop Publishing;Computer Consulting Services;Networking Systems (LAN,WAN)</v>
      </c>
      <c r="X978" s="6" t="str">
        <v>Computer Consulting Services;Communication/Network Software</v>
      </c>
      <c r="Y978" s="6" t="str">
        <v>Computer Consulting Services;Communication/Network Software</v>
      </c>
      <c r="Z978" s="6" t="str">
        <v>Computer Consulting Services;Communication/Network Software</v>
      </c>
      <c r="AA978" s="6" t="str">
        <v>Internet Services &amp; Software;Primary Business not Hi-Tech;Other Computer Related Svcs;Database Software/Programming;Applications Software(Business;Programming Services;Computer Consulting Services;Applications Software(Home);Other Software (inq. Games);Utilities/File Mgmt Software;Desktop Publishing;Networking Systems (LAN,WAN);Communication/Network Software</v>
      </c>
      <c r="AB978" s="6" t="str">
        <v>Networking Systems (LAN,WAN);Database Software/Programming;Applications Software(Business;Internet Services &amp; Software;Communication/Network Software;Primary Business not Hi-Tech;Programming Services;Desktop Publishing;Other Computer Related Svcs;Other Software (inq. Games);Applications Software(Home);Computer Consulting Services;Utilities/File Mgmt Software</v>
      </c>
      <c r="AH978" s="6" t="str">
        <v>False</v>
      </c>
      <c r="AI978" s="6" t="str">
        <v>2017</v>
      </c>
      <c r="AJ978" s="6" t="str">
        <v>Completed</v>
      </c>
      <c r="AM978" s="6" t="str">
        <v>Financial Acquiror</v>
      </c>
      <c r="AO978" s="6" t="str">
        <v>US - Nuance Communications Inc acquired Primordial Design Inc, a San Mateo-based provider of computer systems design services.</v>
      </c>
    </row>
    <row r="979">
      <c r="A979" s="6" t="str">
        <v>3F8100</v>
      </c>
      <c r="B979" s="6" t="str">
        <v>United States</v>
      </c>
      <c r="C979" s="6" t="str">
        <v>GV Management Co LLC</v>
      </c>
      <c r="D979" s="6" t="str">
        <v>Alphabet Inc</v>
      </c>
      <c r="F979" s="6" t="str">
        <v>United States</v>
      </c>
      <c r="G979" s="6" t="str">
        <v>Decibel Therapeutics Inc</v>
      </c>
      <c r="H979" s="6" t="str">
        <v>Business Services</v>
      </c>
      <c r="I979" s="6" t="str">
        <v>24343R</v>
      </c>
      <c r="J979" s="6" t="str">
        <v>Decibel Therapeutics Inc</v>
      </c>
      <c r="K979" s="6" t="str">
        <v>Decibel Therapeutics Inc</v>
      </c>
      <c r="L979" s="7">
        <f>=DATE(2017,7,6)</f>
        <v>42921.99949074074</v>
      </c>
      <c r="M979" s="7">
        <f>=DATE(2017,7,6)</f>
        <v>42921.99949074074</v>
      </c>
      <c r="W979" s="6" t="str">
        <v>Primary Business not Hi-Tech</v>
      </c>
      <c r="X979" s="6" t="str">
        <v>Research &amp; Development Firm</v>
      </c>
      <c r="Y979" s="6" t="str">
        <v>Research &amp; Development Firm</v>
      </c>
      <c r="Z979" s="6" t="str">
        <v>Research &amp; Development Firm</v>
      </c>
      <c r="AA979" s="6" t="str">
        <v>Internet Services &amp; Software;Programming Services</v>
      </c>
      <c r="AB979" s="6" t="str">
        <v>Internet Services &amp; Software;Programming Services;Computer Consulting Services;Primary Business not Hi-Tech;Telecommunications Equipment</v>
      </c>
      <c r="AH979" s="6" t="str">
        <v>True</v>
      </c>
      <c r="AI979" s="6" t="str">
        <v>2017</v>
      </c>
      <c r="AJ979" s="6" t="str">
        <v>Completed</v>
      </c>
      <c r="AM979" s="6" t="str">
        <v>Privately Negotiated Purchase;Financial Acquiror</v>
      </c>
      <c r="AO979" s="6" t="str">
        <v>US - GV, a unit of Google Inc, acquired an undisclosed minority stake in Decibel Therapeutics Inc, a Boston-based provider of biotechnology research and development services, a unit of Third Rock Ventures LP, in a privately negotiated transaction.</v>
      </c>
    </row>
    <row r="980">
      <c r="A980" s="6" t="str">
        <v>023135</v>
      </c>
      <c r="B980" s="6" t="str">
        <v>United States</v>
      </c>
      <c r="C980" s="6" t="str">
        <v>Amazon.com Inc</v>
      </c>
      <c r="D980" s="6" t="str">
        <v>Amazon.com Inc</v>
      </c>
      <c r="F980" s="6" t="str">
        <v>Ireland</v>
      </c>
      <c r="G980" s="6" t="str">
        <v>Game Sparks Technologies Ltd</v>
      </c>
      <c r="H980" s="6" t="str">
        <v>Prepackaged Software</v>
      </c>
      <c r="I980" s="6" t="str">
        <v>7F1444</v>
      </c>
      <c r="J980" s="6" t="str">
        <v>Game Sparks Technologies Ltd</v>
      </c>
      <c r="K980" s="6" t="str">
        <v>Game Sparks Technologies Ltd</v>
      </c>
      <c r="L980" s="7">
        <f>=DATE(2017,7,8)</f>
        <v>42923.99949074074</v>
      </c>
      <c r="M980" s="7">
        <f>=DATE(2017,7,8)</f>
        <v>42923.99949074074</v>
      </c>
      <c r="N980" s="8">
        <v>9.99783399263558</v>
      </c>
      <c r="O980" s="8">
        <v>9.99783399263558</v>
      </c>
      <c r="W980" s="6" t="str">
        <v>Primary Business not Hi-Tech</v>
      </c>
      <c r="X980" s="6" t="str">
        <v>Communication/Network Software;Other Software (inq. Games)</v>
      </c>
      <c r="Y980" s="6" t="str">
        <v>Communication/Network Software;Other Software (inq. Games)</v>
      </c>
      <c r="Z980" s="6" t="str">
        <v>Other Software (inq. Games);Communication/Network Software</v>
      </c>
      <c r="AA980" s="6" t="str">
        <v>Primary Business not Hi-Tech</v>
      </c>
      <c r="AB980" s="6" t="str">
        <v>Primary Business not Hi-Tech</v>
      </c>
      <c r="AC980" s="8">
        <v>9.99783399263558</v>
      </c>
      <c r="AD980" s="7">
        <f>=DATE(2017,7,8)</f>
        <v>42923.99949074074</v>
      </c>
      <c r="AH980" s="6" t="str">
        <v>False</v>
      </c>
      <c r="AI980" s="6" t="str">
        <v>2017</v>
      </c>
      <c r="AJ980" s="6" t="str">
        <v>Completed</v>
      </c>
      <c r="AM980" s="6" t="str">
        <v>Not Applicable</v>
      </c>
      <c r="AO980" s="6" t="str">
        <v>IRELAND - Amazon.com Inc of the US acquired Game Sparks Technologies Ltd, a Dublin-based software publisher, for a total EUR 8.77 mil (USD 10 mil).</v>
      </c>
    </row>
    <row r="981">
      <c r="A981" s="6" t="str">
        <v>023135</v>
      </c>
      <c r="B981" s="6" t="str">
        <v>United States</v>
      </c>
      <c r="C981" s="6" t="str">
        <v>Amazon.com Inc</v>
      </c>
      <c r="D981" s="6" t="str">
        <v>Amazon.com Inc</v>
      </c>
      <c r="F981" s="6" t="str">
        <v>United States</v>
      </c>
      <c r="G981" s="6" t="str">
        <v>Graphiq Inc</v>
      </c>
      <c r="H981" s="6" t="str">
        <v>Business Services</v>
      </c>
      <c r="I981" s="6" t="str">
        <v>0H8133</v>
      </c>
      <c r="J981" s="6" t="str">
        <v>Graphiq Inc</v>
      </c>
      <c r="K981" s="6" t="str">
        <v>Graphiq Inc</v>
      </c>
      <c r="L981" s="7">
        <f>=DATE(2017,7,20)</f>
        <v>42935.99949074074</v>
      </c>
      <c r="W981" s="6" t="str">
        <v>Primary Business not Hi-Tech</v>
      </c>
      <c r="X981" s="6" t="str">
        <v>Internet Services &amp; Software</v>
      </c>
      <c r="Y981" s="6" t="str">
        <v>Internet Services &amp; Software</v>
      </c>
      <c r="Z981" s="6" t="str">
        <v>Internet Services &amp; Software</v>
      </c>
      <c r="AA981" s="6" t="str">
        <v>Primary Business not Hi-Tech</v>
      </c>
      <c r="AB981" s="6" t="str">
        <v>Primary Business not Hi-Tech</v>
      </c>
      <c r="AD981" s="7">
        <f>=DATE(2017,7,20)</f>
        <v>42935.99949074074</v>
      </c>
      <c r="AH981" s="6" t="str">
        <v>False</v>
      </c>
      <c r="AJ981" s="6" t="str">
        <v>Dismissed Rumor</v>
      </c>
      <c r="AM981" s="6" t="str">
        <v>Rumored Deal</v>
      </c>
      <c r="AO981" s="6" t="str">
        <v>US - Amazon.com Inc was rumored to be planning to acquire Graphiq Inc, provider of business support services. The terms of the transaction were not disclosed, but according to sources close to the transaction, the value was estimated at USD 50 mil. The Current status of this deal is unknown.</v>
      </c>
    </row>
    <row r="982">
      <c r="A982" s="6" t="str">
        <v>30303M</v>
      </c>
      <c r="B982" s="6" t="str">
        <v>United States</v>
      </c>
      <c r="C982" s="6" t="str">
        <v>Facebook Inc</v>
      </c>
      <c r="D982" s="6" t="str">
        <v>Facebook Inc</v>
      </c>
      <c r="F982" s="6" t="str">
        <v>United States</v>
      </c>
      <c r="G982" s="6" t="str">
        <v>Source3 Inc</v>
      </c>
      <c r="H982" s="6" t="str">
        <v>Prepackaged Software</v>
      </c>
      <c r="I982" s="6" t="str">
        <v>8F1852</v>
      </c>
      <c r="J982" s="6" t="str">
        <v>Source3 Inc</v>
      </c>
      <c r="K982" s="6" t="str">
        <v>Source3 Inc</v>
      </c>
      <c r="L982" s="7">
        <f>=DATE(2017,7,24)</f>
        <v>42939.99949074074</v>
      </c>
      <c r="M982" s="7">
        <f>=DATE(2017,7,24)</f>
        <v>42939.99949074074</v>
      </c>
      <c r="W982" s="6" t="str">
        <v>Internet Services &amp; Software</v>
      </c>
      <c r="X982" s="6" t="str">
        <v>Applications Software(Business;Internet Services &amp; Software;Primary Business not Hi-Tech;Applications Software(Home);Desktop Publishing;Communication/Network Software;Other Software (inq. Games);Utilities/File Mgmt Software</v>
      </c>
      <c r="Y982" s="6" t="str">
        <v>Applications Software(Business;Internet Services &amp; Software;Applications Software(Home);Other Software (inq. Games);Desktop Publishing;Primary Business not Hi-Tech;Communication/Network Software;Utilities/File Mgmt Software</v>
      </c>
      <c r="Z982" s="6" t="str">
        <v>Internet Services &amp; Software;Desktop Publishing;Other Software (inq. Games);Applications Software(Business;Utilities/File Mgmt Software;Applications Software(Home);Primary Business not Hi-Tech;Communication/Network Software</v>
      </c>
      <c r="AA982" s="6" t="str">
        <v>Internet Services &amp; Software</v>
      </c>
      <c r="AB982" s="6" t="str">
        <v>Internet Services &amp; Software</v>
      </c>
      <c r="AH982" s="6" t="str">
        <v>False</v>
      </c>
      <c r="AI982" s="6" t="str">
        <v>2017</v>
      </c>
      <c r="AJ982" s="6" t="str">
        <v>Completed</v>
      </c>
      <c r="AM982" s="6" t="str">
        <v>Financial Acquiror</v>
      </c>
      <c r="AO982" s="6" t="str">
        <v>US - Facebook Inc acquired Source3 Inc, a New York City-based software publisher.</v>
      </c>
    </row>
    <row r="983">
      <c r="A983" s="6" t="str">
        <v>30303M</v>
      </c>
      <c r="B983" s="6" t="str">
        <v>United States</v>
      </c>
      <c r="C983" s="6" t="str">
        <v>Facebook Inc</v>
      </c>
      <c r="D983" s="6" t="str">
        <v>Facebook Inc</v>
      </c>
      <c r="F983" s="6" t="str">
        <v>United States</v>
      </c>
      <c r="G983" s="6" t="str">
        <v>Ozlo Inc</v>
      </c>
      <c r="H983" s="6" t="str">
        <v>Prepackaged Software</v>
      </c>
      <c r="I983" s="6" t="str">
        <v>7F2487</v>
      </c>
      <c r="J983" s="6" t="str">
        <v>Ozlo Inc</v>
      </c>
      <c r="K983" s="6" t="str">
        <v>Ozlo Inc</v>
      </c>
      <c r="L983" s="7">
        <f>=DATE(2017,7,31)</f>
        <v>42946.99949074074</v>
      </c>
      <c r="M983" s="7">
        <f>=DATE(2017,7,31)</f>
        <v>42946.99949074074</v>
      </c>
      <c r="W983" s="6" t="str">
        <v>Internet Services &amp; Software</v>
      </c>
      <c r="X983" s="6" t="str">
        <v>Communication/Network Software</v>
      </c>
      <c r="Y983" s="6" t="str">
        <v>Communication/Network Software</v>
      </c>
      <c r="Z983" s="6" t="str">
        <v>Communication/Network Software</v>
      </c>
      <c r="AA983" s="6" t="str">
        <v>Internet Services &amp; Software</v>
      </c>
      <c r="AB983" s="6" t="str">
        <v>Internet Services &amp; Software</v>
      </c>
      <c r="AH983" s="6" t="str">
        <v>False</v>
      </c>
      <c r="AI983" s="6" t="str">
        <v>2017</v>
      </c>
      <c r="AJ983" s="6" t="str">
        <v>Completed</v>
      </c>
      <c r="AM983" s="6" t="str">
        <v>Financial Acquiror</v>
      </c>
      <c r="AO983" s="6" t="str">
        <v>US - Facebook Inc acquired Ozlo Inc, a Palo Alto-based software publisher. Terms were not disclosed.</v>
      </c>
    </row>
    <row r="984">
      <c r="A984" s="6" t="str">
        <v>38259P</v>
      </c>
      <c r="B984" s="6" t="str">
        <v>United States</v>
      </c>
      <c r="C984" s="6" t="str">
        <v>Google Inc</v>
      </c>
      <c r="D984" s="6" t="str">
        <v>Alphabet Inc</v>
      </c>
      <c r="F984" s="6" t="str">
        <v>United States</v>
      </c>
      <c r="G984" s="6" t="str">
        <v>Snap Inc</v>
      </c>
      <c r="H984" s="6" t="str">
        <v>Prepackaged Software</v>
      </c>
      <c r="I984" s="6" t="str">
        <v>83304A</v>
      </c>
      <c r="J984" s="6" t="str">
        <v>Snap Inc</v>
      </c>
      <c r="K984" s="6" t="str">
        <v>Snap Inc</v>
      </c>
      <c r="L984" s="7">
        <f>=DATE(2017,8,3)</f>
        <v>42949.99949074074</v>
      </c>
      <c r="R984" s="8">
        <v>-2946.103</v>
      </c>
      <c r="S984" s="8">
        <v>625.205</v>
      </c>
      <c r="T984" s="8">
        <v>2425.551</v>
      </c>
      <c r="U984" s="8">
        <v>-1762.679</v>
      </c>
      <c r="V984" s="8">
        <v>-749.165</v>
      </c>
      <c r="W984" s="6" t="str">
        <v>Programming Services;Internet Services &amp; Software</v>
      </c>
      <c r="X984" s="6" t="str">
        <v>Applications Software(Business</v>
      </c>
      <c r="Y984" s="6" t="str">
        <v>Applications Software(Business</v>
      </c>
      <c r="Z984" s="6" t="str">
        <v>Applications Software(Business</v>
      </c>
      <c r="AA984" s="6" t="str">
        <v>Computer Consulting Services;Programming Services;Primary Business not Hi-Tech;Telecommunications Equipment;Internet Services &amp; Software</v>
      </c>
      <c r="AB984" s="6" t="str">
        <v>Computer Consulting Services;Internet Services &amp; Software;Telecommunications Equipment;Programming Services;Primary Business not Hi-Tech</v>
      </c>
      <c r="AH984" s="6" t="str">
        <v>True</v>
      </c>
      <c r="AJ984" s="6" t="str">
        <v>Dismissed Rumor</v>
      </c>
      <c r="AM984" s="6" t="str">
        <v>Rumored Deal;Unsolicited Deal</v>
      </c>
      <c r="AN984" s="8">
        <v>638.83</v>
      </c>
      <c r="AO984" s="6" t="str">
        <v>US - Google Inc, a unit of Alphabet Inc, discontinued the rumors that it planned to acquire Snapchat Inc, a Los Angeles-based reproducer of software, from Snap Inc, via an unsolicited offer. The terms of the transaction were not disclosed, but according to sources close to the transaction, the value was estimated at USD 30 bil.</v>
      </c>
    </row>
    <row r="985">
      <c r="A985" s="6" t="str">
        <v>594918</v>
      </c>
      <c r="B985" s="6" t="str">
        <v>United States</v>
      </c>
      <c r="C985" s="6" t="str">
        <v>Microsoft Corp</v>
      </c>
      <c r="D985" s="6" t="str">
        <v>Microsoft Corp</v>
      </c>
      <c r="F985" s="6" t="str">
        <v>United States</v>
      </c>
      <c r="G985" s="6" t="str">
        <v>Cycle Computing LLC</v>
      </c>
      <c r="H985" s="6" t="str">
        <v>Prepackaged Software</v>
      </c>
      <c r="I985" s="6" t="str">
        <v>7F5608</v>
      </c>
      <c r="J985" s="6" t="str">
        <v>Cycle Computing LLC</v>
      </c>
      <c r="K985" s="6" t="str">
        <v>Cycle Computing LLC</v>
      </c>
      <c r="L985" s="7">
        <f>=DATE(2017,8,15)</f>
        <v>42961.99949074074</v>
      </c>
      <c r="M985" s="7">
        <f>=DATE(2017,8,15)</f>
        <v>42961.99949074074</v>
      </c>
      <c r="W985" s="6" t="str">
        <v>Monitors/Terminals;Operating Systems;Internet Services &amp; Software;Other Peripherals;Applications Software(Business;Computer Consulting Services</v>
      </c>
      <c r="X985" s="6" t="str">
        <v>Communication/Network Software</v>
      </c>
      <c r="Y985" s="6" t="str">
        <v>Communication/Network Software</v>
      </c>
      <c r="Z985" s="6" t="str">
        <v>Communication/Network Software</v>
      </c>
      <c r="AA985" s="6" t="str">
        <v>Internet Services &amp; Software;Other Peripherals;Operating Systems;Applications Software(Business;Monitors/Terminals;Computer Consulting Services</v>
      </c>
      <c r="AB985" s="6" t="str">
        <v>Applications Software(Business;Other Peripherals;Operating Systems;Monitors/Terminals;Computer Consulting Services;Internet Services &amp; Software</v>
      </c>
      <c r="AH985" s="6" t="str">
        <v>False</v>
      </c>
      <c r="AI985" s="6" t="str">
        <v>2017</v>
      </c>
      <c r="AJ985" s="6" t="str">
        <v>Completed</v>
      </c>
      <c r="AM985" s="6" t="str">
        <v>Not Applicable</v>
      </c>
      <c r="AO985" s="6" t="str">
        <v>US - Microsoft Corp acquired Cycle Computing LLC, a Greenwhich-based software publisher.</v>
      </c>
    </row>
    <row r="986">
      <c r="A986" s="6" t="str">
        <v>38259P</v>
      </c>
      <c r="B986" s="6" t="str">
        <v>United States</v>
      </c>
      <c r="C986" s="6" t="str">
        <v>Google Inc</v>
      </c>
      <c r="D986" s="6" t="str">
        <v>Alphabet Inc</v>
      </c>
      <c r="F986" s="6" t="str">
        <v>Belarus</v>
      </c>
      <c r="G986" s="6" t="str">
        <v>Aimatter OOO</v>
      </c>
      <c r="H986" s="6" t="str">
        <v>Business Services</v>
      </c>
      <c r="I986" s="6" t="str">
        <v>7F6189</v>
      </c>
      <c r="J986" s="6" t="str">
        <v>Aimatter OOO</v>
      </c>
      <c r="K986" s="6" t="str">
        <v>Aimatter OOO</v>
      </c>
      <c r="L986" s="7">
        <f>=DATE(2017,8,17)</f>
        <v>42963.99949074074</v>
      </c>
      <c r="M986" s="7">
        <f>=DATE(2017,8,17)</f>
        <v>42963.99949074074</v>
      </c>
      <c r="W986" s="6" t="str">
        <v>Internet Services &amp; Software;Programming Services</v>
      </c>
      <c r="X986" s="6" t="str">
        <v>Programming Services</v>
      </c>
      <c r="Y986" s="6" t="str">
        <v>Programming Services</v>
      </c>
      <c r="Z986" s="6" t="str">
        <v>Programming Services</v>
      </c>
      <c r="AA986" s="6" t="str">
        <v>Computer Consulting Services;Internet Services &amp; Software;Telecommunications Equipment;Programming Services;Primary Business not Hi-Tech</v>
      </c>
      <c r="AB986" s="6" t="str">
        <v>Internet Services &amp; Software;Telecommunications Equipment;Computer Consulting Services;Programming Services;Primary Business not Hi-Tech</v>
      </c>
      <c r="AH986" s="6" t="str">
        <v>False</v>
      </c>
      <c r="AI986" s="6" t="str">
        <v>2017</v>
      </c>
      <c r="AJ986" s="6" t="str">
        <v>Completed</v>
      </c>
      <c r="AM986" s="6" t="str">
        <v>Not Applicable</v>
      </c>
      <c r="AO986" s="6" t="str">
        <v>BELARUS - Google Inc of the US, a unit of Alphabet Inc, acquired the entire share capital of Aimatter OOO, a Minsk-based provider of custom computer programming services. The terms of the transaction were not disclosed.</v>
      </c>
    </row>
    <row r="987">
      <c r="A987" s="6" t="str">
        <v>0C6551</v>
      </c>
      <c r="B987" s="6" t="str">
        <v>United States</v>
      </c>
      <c r="C987" s="6" t="str">
        <v>Twitch Interactive Inc</v>
      </c>
      <c r="D987" s="6" t="str">
        <v>Amazon.com Inc</v>
      </c>
      <c r="F987" s="6" t="str">
        <v>United States</v>
      </c>
      <c r="G987" s="6" t="str">
        <v>ClipMine Inc</v>
      </c>
      <c r="H987" s="6" t="str">
        <v>Business Services</v>
      </c>
      <c r="I987" s="6" t="str">
        <v>7F6620</v>
      </c>
      <c r="J987" s="6" t="str">
        <v>ClipMine Inc</v>
      </c>
      <c r="K987" s="6" t="str">
        <v>ClipMine Inc</v>
      </c>
      <c r="L987" s="7">
        <f>=DATE(2017,8,18)</f>
        <v>42964.99949074074</v>
      </c>
      <c r="M987" s="7">
        <f>=DATE(2017,8,18)</f>
        <v>42964.99949074074</v>
      </c>
      <c r="W987" s="6" t="str">
        <v>Internet Services &amp; Software</v>
      </c>
      <c r="X987" s="6" t="str">
        <v>Computer Consulting Services</v>
      </c>
      <c r="Y987" s="6" t="str">
        <v>Computer Consulting Services</v>
      </c>
      <c r="Z987" s="6" t="str">
        <v>Computer Consulting Services</v>
      </c>
      <c r="AA987" s="6" t="str">
        <v>Primary Business not Hi-Tech</v>
      </c>
      <c r="AB987" s="6" t="str">
        <v>Primary Business not Hi-Tech</v>
      </c>
      <c r="AD987" s="7">
        <f>=DATE(2017,8,18)</f>
        <v>42964.99949074074</v>
      </c>
      <c r="AH987" s="6" t="str">
        <v>False</v>
      </c>
      <c r="AI987" s="6" t="str">
        <v>2017</v>
      </c>
      <c r="AJ987" s="6" t="str">
        <v>Completed</v>
      </c>
      <c r="AM987" s="6" t="str">
        <v>Not Applicable</v>
      </c>
      <c r="AO987" s="6" t="str">
        <v>US - Twitch Interactive Inc, a unit of Amazon.com Inc, acquired ClipMine Inc, a Mountain View-based provider of computer systems design services.</v>
      </c>
    </row>
    <row r="988">
      <c r="A988" s="6" t="str">
        <v>037833</v>
      </c>
      <c r="B988" s="6" t="str">
        <v>United States</v>
      </c>
      <c r="C988" s="6" t="str">
        <v>Apple Inc</v>
      </c>
      <c r="D988" s="6" t="str">
        <v>Apple Inc</v>
      </c>
      <c r="F988" s="6" t="str">
        <v>United States</v>
      </c>
      <c r="G988" s="6" t="str">
        <v>Apple Inc</v>
      </c>
      <c r="H988" s="6" t="str">
        <v>Computer and Office Equipment</v>
      </c>
      <c r="I988" s="6" t="str">
        <v>037833</v>
      </c>
      <c r="J988" s="6" t="str">
        <v>Apple Inc</v>
      </c>
      <c r="K988" s="6" t="str">
        <v>Apple Inc</v>
      </c>
      <c r="L988" s="7">
        <f>=DATE(2017,8,31)</f>
        <v>42977.99949074074</v>
      </c>
      <c r="M988" s="7">
        <f>=DATE(2017,11,30)</f>
        <v>43068.99949074074</v>
      </c>
      <c r="N988" s="8">
        <v>3000</v>
      </c>
      <c r="O988" s="8">
        <v>3000</v>
      </c>
      <c r="P988" s="8" t="str">
        <v>835,408.11</v>
      </c>
      <c r="R988" s="8">
        <v>45687</v>
      </c>
      <c r="S988" s="8">
        <v>215639</v>
      </c>
      <c r="T988" s="8">
        <v>-20483</v>
      </c>
      <c r="U988" s="8">
        <v>-45977</v>
      </c>
      <c r="V988" s="8">
        <v>65824</v>
      </c>
      <c r="W988" s="6" t="str">
        <v>Other Peripherals;Printers;Disk Drives;Mainframes &amp; Super Computers;Other Software (inq. Games);Portable Computers;Micro-Computers (PCs);Monitors/Terminals</v>
      </c>
      <c r="X988" s="6" t="str">
        <v>Printers;Monitors/Terminals;Portable Computers;Other Peripherals;Other Software (inq. Games);Micro-Computers (PCs);Disk Drives;Mainframes &amp; Super Computers</v>
      </c>
      <c r="Y988" s="6" t="str">
        <v>Printers;Micro-Computers (PCs);Mainframes &amp; Super Computers;Portable Computers;Monitors/Terminals;Disk Drives;Other Peripherals;Other Software (inq. Games)</v>
      </c>
      <c r="Z988" s="6" t="str">
        <v>Other Peripherals;Disk Drives;Other Software (inq. Games);Micro-Computers (PCs);Portable Computers;Printers;Mainframes &amp; Super Computers;Monitors/Terminals</v>
      </c>
      <c r="AA988" s="6" t="str">
        <v>Monitors/Terminals;Micro-Computers (PCs);Mainframes &amp; Super Computers;Disk Drives;Other Peripherals;Printers;Other Software (inq. Games);Portable Computers</v>
      </c>
      <c r="AB988" s="6" t="str">
        <v>Printers;Monitors/Terminals;Portable Computers;Other Peripherals;Disk Drives;Other Software (inq. Games);Micro-Computers (PCs);Mainframes &amp; Super Computers</v>
      </c>
      <c r="AC988" s="8">
        <v>3000</v>
      </c>
      <c r="AD988" s="7">
        <f>=DATE(2017,8,31)</f>
        <v>42977.99949074074</v>
      </c>
      <c r="AF988" s="8" t="str">
        <v>835,408.11</v>
      </c>
      <c r="AG988" s="8" t="str">
        <v>835,408.11</v>
      </c>
      <c r="AH988" s="6" t="str">
        <v>True</v>
      </c>
      <c r="AI988" s="6" t="str">
        <v>2017</v>
      </c>
      <c r="AJ988" s="6" t="str">
        <v>Completed</v>
      </c>
      <c r="AL988" s="8">
        <v>18.887</v>
      </c>
      <c r="AM988" s="6" t="str">
        <v>Repurchase;Open Market Purchase</v>
      </c>
      <c r="AN988" s="8">
        <v>8620</v>
      </c>
      <c r="AO988" s="6" t="str">
        <v>US - On August 2017, the board of Apple Inc, a Cupertino-based manufacturer and wholesaler of mobile communication and media devices, completed the repurchase of USD 3 bil of the company's entire share capital, in an accelerated buyback transaction.</v>
      </c>
    </row>
    <row r="989">
      <c r="A989" s="6" t="str">
        <v>38259P</v>
      </c>
      <c r="B989" s="6" t="str">
        <v>United States</v>
      </c>
      <c r="C989" s="6" t="str">
        <v>Google Inc</v>
      </c>
      <c r="D989" s="6" t="str">
        <v>Alphabet Inc</v>
      </c>
      <c r="F989" s="6" t="str">
        <v>Taiwan</v>
      </c>
      <c r="G989" s="6" t="str">
        <v>HTC Corp-Pixel Phone Business</v>
      </c>
      <c r="H989" s="6" t="str">
        <v>Communications Equipment</v>
      </c>
      <c r="I989" s="6" t="str">
        <v>8F2828</v>
      </c>
      <c r="J989" s="6" t="str">
        <v>HTC Corp</v>
      </c>
      <c r="K989" s="6" t="str">
        <v>HTC Corp</v>
      </c>
      <c r="L989" s="7">
        <f>=DATE(2017,9,20)</f>
        <v>42997.99949074074</v>
      </c>
      <c r="M989" s="7">
        <f>=DATE(2018,1,30)</f>
        <v>43129.99949074074</v>
      </c>
      <c r="N989" s="8">
        <v>410.861264662262</v>
      </c>
      <c r="O989" s="8">
        <v>410.861264662262</v>
      </c>
      <c r="W989" s="6" t="str">
        <v>Internet Services &amp; Software;Programming Services</v>
      </c>
      <c r="X989" s="6" t="str">
        <v>Facsimile Equipment;Internet Services &amp; Software;Other Electronics;Superconductors;Semiconductors;Printed Circuit Boards;Other Telecommunications Equip</v>
      </c>
      <c r="Y989" s="6" t="str">
        <v>Portable Computers;Micro-Computers (PCs);Other Telecommunications Equip</v>
      </c>
      <c r="Z989" s="6" t="str">
        <v>Portable Computers;Micro-Computers (PCs);Other Telecommunications Equip</v>
      </c>
      <c r="AA989" s="6" t="str">
        <v>Programming Services;Internet Services &amp; Software;Telecommunications Equipment;Computer Consulting Services;Primary Business not Hi-Tech</v>
      </c>
      <c r="AB989" s="6" t="str">
        <v>Primary Business not Hi-Tech;Telecommunications Equipment;Computer Consulting Services;Programming Services;Internet Services &amp; Software</v>
      </c>
      <c r="AC989" s="8">
        <v>410.861264662262</v>
      </c>
      <c r="AD989" s="7">
        <f>=DATE(2018,5,7)</f>
        <v>43226.99949074074</v>
      </c>
      <c r="AH989" s="6" t="str">
        <v>False</v>
      </c>
      <c r="AI989" s="6" t="str">
        <v>2018</v>
      </c>
      <c r="AJ989" s="6" t="str">
        <v>Completed</v>
      </c>
      <c r="AM989" s="6" t="str">
        <v>Divestiture;Rumored Deal</v>
      </c>
      <c r="AO989" s="6" t="str">
        <v>TAIWAN - Google Inc of the US, a unit of Alphabet Inc, acquired Pixel phone business of HTC Corp, manufacturer of electronic computers, for an estimated TWD 12.189 bil (USD 410.857 mil) in cash. Originally, in Sep 2017, Google Inc was rumored to acquire smartphone business of HTC Corp. The business includes entire share capital in Communications Global Certification Inc.</v>
      </c>
    </row>
    <row r="990">
      <c r="A990" s="6" t="str">
        <v>38259P</v>
      </c>
      <c r="B990" s="6" t="str">
        <v>United States</v>
      </c>
      <c r="C990" s="6" t="str">
        <v>Google Inc</v>
      </c>
      <c r="D990" s="6" t="str">
        <v>Alphabet Inc</v>
      </c>
      <c r="F990" s="6" t="str">
        <v>United States</v>
      </c>
      <c r="G990" s="6" t="str">
        <v>Bitium Inc</v>
      </c>
      <c r="H990" s="6" t="str">
        <v>Prepackaged Software</v>
      </c>
      <c r="I990" s="6" t="str">
        <v>8F7239</v>
      </c>
      <c r="J990" s="6" t="str">
        <v>Bitium Inc</v>
      </c>
      <c r="K990" s="6" t="str">
        <v>Bitium Inc</v>
      </c>
      <c r="L990" s="7">
        <f>=DATE(2017,9,26)</f>
        <v>43003.99949074074</v>
      </c>
      <c r="M990" s="7">
        <f>=DATE(2017,9,26)</f>
        <v>43003.99949074074</v>
      </c>
      <c r="W990" s="6" t="str">
        <v>Programming Services;Internet Services &amp; Software</v>
      </c>
      <c r="X990" s="6" t="str">
        <v>Internet Services &amp; Software;Applications Software(Business</v>
      </c>
      <c r="Y990" s="6" t="str">
        <v>Applications Software(Business;Internet Services &amp; Software</v>
      </c>
      <c r="Z990" s="6" t="str">
        <v>Applications Software(Business;Internet Services &amp; Software</v>
      </c>
      <c r="AA990" s="6" t="str">
        <v>Internet Services &amp; Software;Programming Services;Primary Business not Hi-Tech;Telecommunications Equipment;Computer Consulting Services</v>
      </c>
      <c r="AB990" s="6" t="str">
        <v>Primary Business not Hi-Tech;Computer Consulting Services;Telecommunications Equipment;Programming Services;Internet Services &amp; Software</v>
      </c>
      <c r="AH990" s="6" t="str">
        <v>False</v>
      </c>
      <c r="AI990" s="6" t="str">
        <v>2017</v>
      </c>
      <c r="AJ990" s="6" t="str">
        <v>Completed</v>
      </c>
      <c r="AM990" s="6" t="str">
        <v>Not Applicable</v>
      </c>
      <c r="AO990" s="6" t="str">
        <v>US - Google Inc, a unit of Alphabet Inc, acquired Bitium Inc, a Santa Monica-based software publisher.</v>
      </c>
    </row>
    <row r="991">
      <c r="A991" s="6" t="str">
        <v>037833</v>
      </c>
      <c r="B991" s="6" t="str">
        <v>United States</v>
      </c>
      <c r="C991" s="6" t="str">
        <v>Apple Inc</v>
      </c>
      <c r="D991" s="6" t="str">
        <v>Apple Inc</v>
      </c>
      <c r="F991" s="6" t="str">
        <v>France</v>
      </c>
      <c r="G991" s="6" t="str">
        <v>Regaind SASU</v>
      </c>
      <c r="H991" s="6" t="str">
        <v>Prepackaged Software</v>
      </c>
      <c r="I991" s="6" t="str">
        <v>8F8670</v>
      </c>
      <c r="J991" s="6" t="str">
        <v>Regaind SASU</v>
      </c>
      <c r="K991" s="6" t="str">
        <v>Regaind SASU</v>
      </c>
      <c r="L991" s="7">
        <f>=DATE(2017,9,29)</f>
        <v>43006.99949074074</v>
      </c>
      <c r="W991" s="6" t="str">
        <v>Portable Computers;Other Peripherals;Printers;Other Software (inq. Games);Micro-Computers (PCs);Disk Drives;Mainframes &amp; Super Computers;Monitors/Terminals</v>
      </c>
      <c r="X991" s="6" t="str">
        <v>Other Software (inq. Games)</v>
      </c>
      <c r="Y991" s="6" t="str">
        <v>Other Software (inq. Games)</v>
      </c>
      <c r="Z991" s="6" t="str">
        <v>Other Software (inq. Games)</v>
      </c>
      <c r="AA991" s="6" t="str">
        <v>Portable Computers;Other Peripherals;Disk Drives;Micro-Computers (PCs);Monitors/Terminals;Other Software (inq. Games);Printers;Mainframes &amp; Super Computers</v>
      </c>
      <c r="AB991" s="6" t="str">
        <v>Other Software (inq. Games);Disk Drives;Other Peripherals;Micro-Computers (PCs);Printers;Monitors/Terminals;Mainframes &amp; Super Computers;Portable Computers</v>
      </c>
      <c r="AH991" s="6" t="str">
        <v>False</v>
      </c>
      <c r="AJ991" s="6" t="str">
        <v>Dismissed Rumor</v>
      </c>
      <c r="AM991" s="6" t="str">
        <v>Rumored Deal</v>
      </c>
      <c r="AO991" s="6" t="str">
        <v>FRANCE - Apple Inc of the US was rumored to acquire Regaind SASU, a Paris-based software publisher. The Current status of this deal is unknown.</v>
      </c>
    </row>
    <row r="992">
      <c r="A992" s="6" t="str">
        <v>594918</v>
      </c>
      <c r="B992" s="6" t="str">
        <v>United States</v>
      </c>
      <c r="C992" s="6" t="str">
        <v>Microsoft Corp</v>
      </c>
      <c r="D992" s="6" t="str">
        <v>Microsoft Corp</v>
      </c>
      <c r="F992" s="6" t="str">
        <v>United States</v>
      </c>
      <c r="G992" s="6" t="str">
        <v>Altspace VR</v>
      </c>
      <c r="H992" s="6" t="str">
        <v>Prepackaged Software</v>
      </c>
      <c r="I992" s="6" t="str">
        <v>1H0687</v>
      </c>
      <c r="J992" s="6" t="str">
        <v>Altspace VR</v>
      </c>
      <c r="K992" s="6" t="str">
        <v>Altspace VR</v>
      </c>
      <c r="L992" s="7">
        <f>=DATE(2017,10,3)</f>
        <v>43010.99949074074</v>
      </c>
      <c r="M992" s="7">
        <f>=DATE(2017,10,3)</f>
        <v>43010.99949074074</v>
      </c>
      <c r="W992" s="6" t="str">
        <v>Internet Services &amp; Software;Applications Software(Business;Monitors/Terminals;Computer Consulting Services;Other Peripherals;Operating Systems</v>
      </c>
      <c r="X992" s="6" t="str">
        <v>Other Software (inq. Games)</v>
      </c>
      <c r="Y992" s="6" t="str">
        <v>Other Software (inq. Games)</v>
      </c>
      <c r="Z992" s="6" t="str">
        <v>Other Software (inq. Games)</v>
      </c>
      <c r="AA992" s="6" t="str">
        <v>Other Peripherals;Applications Software(Business;Computer Consulting Services;Monitors/Terminals;Operating Systems;Internet Services &amp; Software</v>
      </c>
      <c r="AB992" s="6" t="str">
        <v>Applications Software(Business;Internet Services &amp; Software;Other Peripherals;Computer Consulting Services;Monitors/Terminals;Operating Systems</v>
      </c>
      <c r="AH992" s="6" t="str">
        <v>False</v>
      </c>
      <c r="AI992" s="6" t="str">
        <v>2017</v>
      </c>
      <c r="AJ992" s="6" t="str">
        <v>Completed</v>
      </c>
      <c r="AM992" s="6" t="str">
        <v>Not Applicable</v>
      </c>
      <c r="AO992" s="6" t="str">
        <v>US - Microsoft Corp acquired Altspace VR, a Redwood City-based software publisher.</v>
      </c>
    </row>
    <row r="993">
      <c r="A993" s="6" t="str">
        <v>023135</v>
      </c>
      <c r="B993" s="6" t="str">
        <v>United States</v>
      </c>
      <c r="C993" s="6" t="str">
        <v>Amazon.com Inc</v>
      </c>
      <c r="D993" s="6" t="str">
        <v>Amazon.com Inc</v>
      </c>
      <c r="F993" s="6" t="str">
        <v>United States</v>
      </c>
      <c r="G993" s="6" t="str">
        <v>Body Labs Inc</v>
      </c>
      <c r="H993" s="6" t="str">
        <v>Prepackaged Software</v>
      </c>
      <c r="I993" s="6" t="str">
        <v>9F0567</v>
      </c>
      <c r="J993" s="6" t="str">
        <v>Body Labs Inc</v>
      </c>
      <c r="K993" s="6" t="str">
        <v>Body Labs Inc</v>
      </c>
      <c r="L993" s="7">
        <f>=DATE(2017,10,3)</f>
        <v>43010.99949074074</v>
      </c>
      <c r="M993" s="7">
        <f>=DATE(2017,10,3)</f>
        <v>43010.99949074074</v>
      </c>
      <c r="W993" s="6" t="str">
        <v>Primary Business not Hi-Tech</v>
      </c>
      <c r="X993" s="6" t="str">
        <v>Internet Services &amp; Software;Other Software (inq. Games);Utilities/File Mgmt Software;Communication/Network Software;Desktop Publishing;Applications Software(Business;Applications Software(Home)</v>
      </c>
      <c r="Y993" s="6" t="str">
        <v>Communication/Network Software;Internet Services &amp; Software;Other Software (inq. Games);Utilities/File Mgmt Software;Desktop Publishing;Applications Software(Home);Applications Software(Business</v>
      </c>
      <c r="Z993" s="6" t="str">
        <v>Internet Services &amp; Software;Other Software (inq. Games);Utilities/File Mgmt Software;Applications Software(Business;Communication/Network Software;Desktop Publishing;Applications Software(Home)</v>
      </c>
      <c r="AA993" s="6" t="str">
        <v>Primary Business not Hi-Tech</v>
      </c>
      <c r="AB993" s="6" t="str">
        <v>Primary Business not Hi-Tech</v>
      </c>
      <c r="AD993" s="7">
        <f>=DATE(2017,10,3)</f>
        <v>43010.99949074074</v>
      </c>
      <c r="AH993" s="6" t="str">
        <v>False</v>
      </c>
      <c r="AI993" s="6" t="str">
        <v>2017</v>
      </c>
      <c r="AJ993" s="6" t="str">
        <v>Completed</v>
      </c>
      <c r="AM993" s="6" t="str">
        <v>Not Applicable</v>
      </c>
      <c r="AO993" s="6" t="str">
        <v>US - Amazon.com Inc acquired Body Labs Inc, a New York City-based  provider of human-aware artificial intelligence services. The terms of the transaction were not disclosed, but according to sources close to the transaction, the value was estimated at USD 70 mil.</v>
      </c>
    </row>
    <row r="994">
      <c r="A994" s="6" t="str">
        <v>7J8440</v>
      </c>
      <c r="B994" s="6" t="str">
        <v>United States</v>
      </c>
      <c r="C994" s="6" t="str">
        <v>Google LLC</v>
      </c>
      <c r="D994" s="6" t="str">
        <v>Alphabet Inc</v>
      </c>
      <c r="F994" s="6" t="str">
        <v>United States</v>
      </c>
      <c r="G994" s="6" t="str">
        <v>Relay Media Inc</v>
      </c>
      <c r="H994" s="6" t="str">
        <v>Business Services</v>
      </c>
      <c r="I994" s="6" t="str">
        <v>9F0383</v>
      </c>
      <c r="J994" s="6" t="str">
        <v>Relay Media Inc</v>
      </c>
      <c r="K994" s="6" t="str">
        <v>Relay Media Inc</v>
      </c>
      <c r="L994" s="7">
        <f>=DATE(2017,10,9)</f>
        <v>43016.99949074074</v>
      </c>
      <c r="M994" s="7">
        <f>=DATE(2017,10,9)</f>
        <v>43016.99949074074</v>
      </c>
      <c r="W994" s="6" t="str">
        <v>Programming Services;Internet Services &amp; Software</v>
      </c>
      <c r="X994" s="6" t="str">
        <v>Other Computer Related Svcs;Internet Services &amp; Software</v>
      </c>
      <c r="Y994" s="6" t="str">
        <v>Other Computer Related Svcs;Internet Services &amp; Software</v>
      </c>
      <c r="Z994" s="6" t="str">
        <v>Internet Services &amp; Software;Other Computer Related Svcs</v>
      </c>
      <c r="AA994" s="6" t="str">
        <v>Programming Services;Internet Services &amp; Software;Telecommunications Equipment;Computer Consulting Services;Primary Business not Hi-Tech</v>
      </c>
      <c r="AB994" s="6" t="str">
        <v>Programming Services;Computer Consulting Services;Telecommunications Equipment;Internet Services &amp; Software;Primary Business not Hi-Tech</v>
      </c>
      <c r="AH994" s="6" t="str">
        <v>False</v>
      </c>
      <c r="AI994" s="6" t="str">
        <v>2017</v>
      </c>
      <c r="AJ994" s="6" t="str">
        <v>Completed</v>
      </c>
      <c r="AM994" s="6" t="str">
        <v>Not Applicable</v>
      </c>
      <c r="AO994" s="6" t="str">
        <v>US - Google Inc, a unit of Alphabet Inc, acquired Relay Media Inc, a Palo Alto-based internet portal operator.</v>
      </c>
    </row>
    <row r="995">
      <c r="A995" s="6" t="str">
        <v>30303M</v>
      </c>
      <c r="B995" s="6" t="str">
        <v>United States</v>
      </c>
      <c r="C995" s="6" t="str">
        <v>Facebook Inc</v>
      </c>
      <c r="D995" s="6" t="str">
        <v>Facebook Inc</v>
      </c>
      <c r="F995" s="6" t="str">
        <v>United States</v>
      </c>
      <c r="G995" s="6" t="str">
        <v>Midnight Labs Llc</v>
      </c>
      <c r="H995" s="6" t="str">
        <v>Prepackaged Software</v>
      </c>
      <c r="I995" s="6" t="str">
        <v>9F2096</v>
      </c>
      <c r="J995" s="6" t="str">
        <v>Midnight Labs Llc</v>
      </c>
      <c r="K995" s="6" t="str">
        <v>Midnight Labs Llc</v>
      </c>
      <c r="L995" s="7">
        <f>=DATE(2017,10,16)</f>
        <v>43023.99949074074</v>
      </c>
      <c r="W995" s="6" t="str">
        <v>Internet Services &amp; Software</v>
      </c>
      <c r="X995" s="6" t="str">
        <v>Other Software (inq. Games);Communication/Network Software;Internet Services &amp; Software;Applications Software(Business;Utilities/File Mgmt Software;Applications Software(Home);Desktop Publishing</v>
      </c>
      <c r="Y995" s="6" t="str">
        <v>Applications Software(Business;Communication/Network Software;Applications Software(Home);Utilities/File Mgmt Software;Internet Services &amp; Software;Other Software (inq. Games);Desktop Publishing</v>
      </c>
      <c r="Z995" s="6" t="str">
        <v>Other Software (inq. Games);Communication/Network Software;Desktop Publishing;Applications Software(Business;Utilities/File Mgmt Software;Internet Services &amp; Software;Applications Software(Home)</v>
      </c>
      <c r="AA995" s="6" t="str">
        <v>Internet Services &amp; Software</v>
      </c>
      <c r="AB995" s="6" t="str">
        <v>Internet Services &amp; Software</v>
      </c>
      <c r="AD995" s="7">
        <f>=DATE(2017,10,16)</f>
        <v>43023.99949074074</v>
      </c>
      <c r="AH995" s="6" t="str">
        <v>False</v>
      </c>
      <c r="AJ995" s="6" t="str">
        <v>Pending</v>
      </c>
      <c r="AM995" s="6" t="str">
        <v>Financial Acquiror</v>
      </c>
      <c r="AO995" s="6" t="str">
        <v>US - Facebook Inc planned to acquire Midnight Labs Llc, an Atlanta-based software publisher.</v>
      </c>
    </row>
    <row r="996">
      <c r="A996" s="6" t="str">
        <v>2F3138</v>
      </c>
      <c r="B996" s="6" t="str">
        <v>United States</v>
      </c>
      <c r="C996" s="6" t="str">
        <v>CapitalG Management Co LLC</v>
      </c>
      <c r="D996" s="6" t="str">
        <v>Alphabet Inc</v>
      </c>
      <c r="F996" s="6" t="str">
        <v>United States</v>
      </c>
      <c r="G996" s="6" t="str">
        <v>Lyft Inc</v>
      </c>
      <c r="H996" s="6" t="str">
        <v>Prepackaged Software</v>
      </c>
      <c r="I996" s="6" t="str">
        <v>6C5805</v>
      </c>
      <c r="J996" s="6" t="str">
        <v>Lyft Inc</v>
      </c>
      <c r="K996" s="6" t="str">
        <v>Lyft Inc</v>
      </c>
      <c r="L996" s="7">
        <f>=DATE(2017,10,19)</f>
        <v>43026.99949074074</v>
      </c>
      <c r="M996" s="7">
        <f>=DATE(2017,10,19)</f>
        <v>43026.99949074074</v>
      </c>
      <c r="N996" s="8">
        <v>1000</v>
      </c>
      <c r="O996" s="8">
        <v>1000</v>
      </c>
      <c r="R996" s="8">
        <v>-1136.833</v>
      </c>
      <c r="S996" s="8">
        <v>1775.118</v>
      </c>
      <c r="T996" s="8">
        <v>2048.951</v>
      </c>
      <c r="U996" s="8">
        <v>-991.426</v>
      </c>
      <c r="V996" s="8">
        <v>-393.526</v>
      </c>
      <c r="W996" s="6" t="str">
        <v>Primary Business not Hi-Tech</v>
      </c>
      <c r="X996" s="6" t="str">
        <v>Other Software (inq. Games);Internet Services &amp; Software;Utilities/File Mgmt Software;Communication/Network Software;Primary Business not Hi-Tech;Satellite Communications;Applications Software(Business;Desktop Publishing;Applications Software(Home);Networking Systems (LAN,WAN)</v>
      </c>
      <c r="Y996" s="6" t="str">
        <v>Internet Services &amp; Software;Satellite Communications;Desktop Publishing;Communication/Network Software;Networking Systems (LAN,WAN);Utilities/File Mgmt Software;Applications Software(Home);Applications Software(Business;Primary Business not Hi-Tech;Other Software (inq. Games)</v>
      </c>
      <c r="Z996" s="6" t="str">
        <v>Internet Services &amp; Software;Networking Systems (LAN,WAN);Primary Business not Hi-Tech;Utilities/File Mgmt Software;Other Software (inq. Games);Communication/Network Software;Desktop Publishing;Satellite Communications;Applications Software(Business;Applications Software(Home)</v>
      </c>
      <c r="AA996" s="6" t="str">
        <v>Programming Services;Internet Services &amp; Software</v>
      </c>
      <c r="AB996" s="6" t="str">
        <v>Computer Consulting Services;Telecommunications Equipment;Primary Business not Hi-Tech;Internet Services &amp; Software;Programming Services</v>
      </c>
      <c r="AC996" s="8">
        <v>1000</v>
      </c>
      <c r="AD996" s="7">
        <f>=DATE(2017,10,19)</f>
        <v>43026.99949074074</v>
      </c>
      <c r="AH996" s="6" t="str">
        <v>True</v>
      </c>
      <c r="AI996" s="6" t="str">
        <v>2017</v>
      </c>
      <c r="AJ996" s="6" t="str">
        <v>Completed</v>
      </c>
      <c r="AM996" s="6" t="str">
        <v>Rumored Deal;Privately Negotiated Purchase;Financial Acquiror</v>
      </c>
      <c r="AO996" s="6" t="str">
        <v>US - CapitalG, a unit of Google Inc, acquired an undisclosed minority stake in Lyft Inc (Lyft), a San Francisco-based developer of ride-sharing software, a unit of Enterprise Holdings LLC, for USD 1 bil, in a privately negotiated transaction. Originally, in September 2017, Alphabet Inc was rumored to be planning to acquire an undisclosed minority stake in Lyft.</v>
      </c>
    </row>
    <row r="997">
      <c r="A997" s="6" t="str">
        <v>037833</v>
      </c>
      <c r="B997" s="6" t="str">
        <v>United States</v>
      </c>
      <c r="C997" s="6" t="str">
        <v>Apple Inc</v>
      </c>
      <c r="D997" s="6" t="str">
        <v>Apple Inc</v>
      </c>
      <c r="F997" s="6" t="str">
        <v>United States</v>
      </c>
      <c r="G997" s="6" t="str">
        <v>Invisage Technologies Inc</v>
      </c>
      <c r="H997" s="6" t="str">
        <v>Prepackaged Software</v>
      </c>
      <c r="I997" s="6" t="str">
        <v>9F8043</v>
      </c>
      <c r="J997" s="6" t="str">
        <v>Invisage Technologies Inc</v>
      </c>
      <c r="K997" s="6" t="str">
        <v>Invisage Technologies Inc</v>
      </c>
      <c r="L997" s="7">
        <f>=DATE(2017,10,25)</f>
        <v>43032.99949074074</v>
      </c>
      <c r="W997" s="6" t="str">
        <v>Monitors/Terminals;Disk Drives;Mainframes &amp; Super Computers;Other Peripherals;Printers;Micro-Computers (PCs);Other Software (inq. Games);Portable Computers</v>
      </c>
      <c r="X997" s="6" t="str">
        <v>Other Software (inq. Games)</v>
      </c>
      <c r="Y997" s="6" t="str">
        <v>Other Software (inq. Games)</v>
      </c>
      <c r="Z997" s="6" t="str">
        <v>Other Software (inq. Games)</v>
      </c>
      <c r="AA997" s="6" t="str">
        <v>Printers;Disk Drives;Monitors/Terminals;Other Peripherals;Mainframes &amp; Super Computers;Micro-Computers (PCs);Portable Computers;Other Software (inq. Games)</v>
      </c>
      <c r="AB997" s="6" t="str">
        <v>Printers;Mainframes &amp; Super Computers;Disk Drives;Monitors/Terminals;Micro-Computers (PCs);Portable Computers;Other Peripherals;Other Software (inq. Games)</v>
      </c>
      <c r="AH997" s="6" t="str">
        <v>True</v>
      </c>
      <c r="AJ997" s="6" t="str">
        <v>Dismissed Rumor</v>
      </c>
      <c r="AM997" s="6" t="str">
        <v>Rumored Deal</v>
      </c>
      <c r="AO997" s="6" t="str">
        <v>US - Apple Inc was rumored to be planning to acquire Invisage Technologies Inc, a Newark-based manufacturer of semiconductors and related devices. The Current status of this deal is unknown.</v>
      </c>
    </row>
    <row r="998">
      <c r="A998" s="6" t="str">
        <v>037833</v>
      </c>
      <c r="B998" s="6" t="str">
        <v>United States</v>
      </c>
      <c r="C998" s="6" t="str">
        <v>Apple Inc</v>
      </c>
      <c r="D998" s="6" t="str">
        <v>Apple Inc</v>
      </c>
      <c r="F998" s="6" t="str">
        <v>United States</v>
      </c>
      <c r="G998" s="6" t="str">
        <v>Apple Inc</v>
      </c>
      <c r="H998" s="6" t="str">
        <v>Computer and Office Equipment</v>
      </c>
      <c r="I998" s="6" t="str">
        <v>037833</v>
      </c>
      <c r="J998" s="6" t="str">
        <v>Apple Inc</v>
      </c>
      <c r="K998" s="6" t="str">
        <v>Apple Inc</v>
      </c>
      <c r="L998" s="7">
        <f>=DATE(2017,11,1)</f>
        <v>43039.99949074074</v>
      </c>
      <c r="M998" s="7">
        <f>=DATE(2018,2,28)</f>
        <v>43158.99949074074</v>
      </c>
      <c r="N998" s="8">
        <v>5000</v>
      </c>
      <c r="O998" s="8">
        <v>5000</v>
      </c>
      <c r="P998" s="8" t="str">
        <v>923,870.79</v>
      </c>
      <c r="R998" s="8">
        <v>48351</v>
      </c>
      <c r="S998" s="8">
        <v>229234</v>
      </c>
      <c r="T998" s="8">
        <v>-17347</v>
      </c>
      <c r="U998" s="8">
        <v>-46446</v>
      </c>
      <c r="V998" s="8">
        <v>63598</v>
      </c>
      <c r="W998" s="6" t="str">
        <v>Printers;Other Peripherals;Portable Computers;Micro-Computers (PCs);Monitors/Terminals;Mainframes &amp; Super Computers;Disk Drives;Other Software (inq. Games)</v>
      </c>
      <c r="X998" s="6" t="str">
        <v>Portable Computers;Other Software (inq. Games);Disk Drives;Other Peripherals;Printers;Monitors/Terminals;Mainframes &amp; Super Computers;Micro-Computers (PCs)</v>
      </c>
      <c r="Y998" s="6" t="str">
        <v>Other Peripherals;Monitors/Terminals;Micro-Computers (PCs);Mainframes &amp; Super Computers;Portable Computers;Other Software (inq. Games);Disk Drives;Printers</v>
      </c>
      <c r="Z998" s="6" t="str">
        <v>Monitors/Terminals;Mainframes &amp; Super Computers;Other Peripherals;Disk Drives;Other Software (inq. Games);Micro-Computers (PCs);Printers;Portable Computers</v>
      </c>
      <c r="AA998" s="6" t="str">
        <v>Printers;Portable Computers;Monitors/Terminals;Disk Drives;Mainframes &amp; Super Computers;Micro-Computers (PCs);Other Software (inq. Games);Other Peripherals</v>
      </c>
      <c r="AB998" s="6" t="str">
        <v>Monitors/Terminals;Other Software (inq. Games);Portable Computers;Printers;Disk Drives;Other Peripherals;Mainframes &amp; Super Computers;Micro-Computers (PCs)</v>
      </c>
      <c r="AC998" s="8">
        <v>5000</v>
      </c>
      <c r="AD998" s="7">
        <f>=DATE(2017,11,1)</f>
        <v>43039.99949074074</v>
      </c>
      <c r="AF998" s="8" t="str">
        <v>923,870.79</v>
      </c>
      <c r="AG998" s="8" t="str">
        <v>923,870.79</v>
      </c>
      <c r="AH998" s="6" t="str">
        <v>True</v>
      </c>
      <c r="AI998" s="6" t="str">
        <v>2018</v>
      </c>
      <c r="AJ998" s="6" t="str">
        <v>Completed</v>
      </c>
      <c r="AL998" s="8">
        <v>29.269</v>
      </c>
      <c r="AM998" s="6" t="str">
        <v>Repurchase;Open Market Purchase</v>
      </c>
      <c r="AN998" s="8">
        <v>8015</v>
      </c>
      <c r="AO998" s="6" t="str">
        <v>US - On November 2017, the board of Apple Inc, a Cupertino-based manufacturer and wholesaler of mobile communication and media devices, completed the repurchase of USD 5 bil of the company's entire share capital, in an accelerated buyback transaction.</v>
      </c>
    </row>
    <row r="999">
      <c r="A999" s="6" t="str">
        <v>7J8440</v>
      </c>
      <c r="B999" s="6" t="str">
        <v>United States</v>
      </c>
      <c r="C999" s="6" t="str">
        <v>Google LLC</v>
      </c>
      <c r="D999" s="6" t="str">
        <v>Alphabet Inc</v>
      </c>
      <c r="F999" s="6" t="str">
        <v>United States</v>
      </c>
      <c r="G999" s="6" t="str">
        <v>XtalPi Inc</v>
      </c>
      <c r="H999" s="6" t="str">
        <v>Drugs</v>
      </c>
      <c r="I999" s="6" t="str">
        <v>0H4268</v>
      </c>
      <c r="J999" s="6" t="str">
        <v>XtalPi Inc</v>
      </c>
      <c r="K999" s="6" t="str">
        <v>XtalPi Inc</v>
      </c>
      <c r="L999" s="7">
        <f>=DATE(2017,11,17)</f>
        <v>43055.99949074074</v>
      </c>
      <c r="M999" s="7">
        <f>=DATE(2017,11,17)</f>
        <v>43055.99949074074</v>
      </c>
      <c r="N999" s="8">
        <v>2</v>
      </c>
      <c r="O999" s="8">
        <v>2</v>
      </c>
      <c r="W999" s="6" t="str">
        <v>Programming Services;Internet Services &amp; Software</v>
      </c>
      <c r="X999" s="6" t="str">
        <v>General Pharmaceuticals</v>
      </c>
      <c r="Y999" s="6" t="str">
        <v>General Pharmaceuticals</v>
      </c>
      <c r="Z999" s="6" t="str">
        <v>General Pharmaceuticals</v>
      </c>
      <c r="AA999" s="6" t="str">
        <v>Programming Services;Internet Services &amp; Software;Computer Consulting Services;Primary Business not Hi-Tech;Telecommunications Equipment</v>
      </c>
      <c r="AB999" s="6" t="str">
        <v>Computer Consulting Services;Internet Services &amp; Software;Telecommunications Equipment;Primary Business not Hi-Tech;Programming Services</v>
      </c>
      <c r="AC999" s="8">
        <v>2</v>
      </c>
      <c r="AD999" s="7">
        <f>=DATE(2017,11,17)</f>
        <v>43055.99949074074</v>
      </c>
      <c r="AH999" s="6" t="str">
        <v>False</v>
      </c>
      <c r="AI999" s="6" t="str">
        <v>2017</v>
      </c>
      <c r="AJ999" s="6" t="str">
        <v>Completed</v>
      </c>
      <c r="AM999" s="6" t="str">
        <v>Privately Negotiated Purchase</v>
      </c>
      <c r="AO999" s="6" t="str">
        <v>US - Google Inc, a unit of Alphabet Inc, acquired an undisclosed minority stake in XtalPi Inc, a Cambridge-based provider of cloud-based computational drug solid state research technologies services for small-molecule drugs, for a total USD 2 mil, in a privately negotiated transaction.</v>
      </c>
    </row>
    <row r="1000">
      <c r="A1000" s="6" t="str">
        <v>037833</v>
      </c>
      <c r="B1000" s="6" t="str">
        <v>United States</v>
      </c>
      <c r="C1000" s="6" t="str">
        <v>Apple Inc</v>
      </c>
      <c r="D1000" s="6" t="str">
        <v>Apple Inc</v>
      </c>
      <c r="F1000" s="6" t="str">
        <v>Canada</v>
      </c>
      <c r="G1000" s="6" t="str">
        <v>Vrvana Inc</v>
      </c>
      <c r="H1000" s="6" t="str">
        <v>Measuring, Medical, Photo Equipment; Clocks</v>
      </c>
      <c r="I1000" s="6" t="str">
        <v>0H0949</v>
      </c>
      <c r="J1000" s="6" t="str">
        <v>Vrvana Inc</v>
      </c>
      <c r="K1000" s="6" t="str">
        <v>Vrvana Inc</v>
      </c>
      <c r="L1000" s="7">
        <f>=DATE(2017,11,21)</f>
        <v>43059.99949074074</v>
      </c>
      <c r="W1000" s="6" t="str">
        <v>Mainframes &amp; Super Computers;Monitors/Terminals;Other Peripherals;Printers;Disk Drives;Micro-Computers (PCs);Portable Computers;Other Software (inq. Games)</v>
      </c>
      <c r="X1000" s="6" t="str">
        <v>Defense Related;Search, Detection, Navigation</v>
      </c>
      <c r="Y1000" s="6" t="str">
        <v>Search, Detection, Navigation;Defense Related</v>
      </c>
      <c r="Z1000" s="6" t="str">
        <v>Search, Detection, Navigation;Defense Related</v>
      </c>
      <c r="AA1000" s="6" t="str">
        <v>Monitors/Terminals;Other Software (inq. Games);Disk Drives;Portable Computers;Other Peripherals;Micro-Computers (PCs);Printers;Mainframes &amp; Super Computers</v>
      </c>
      <c r="AB1000" s="6" t="str">
        <v>Mainframes &amp; Super Computers;Other Peripherals;Other Software (inq. Games);Micro-Computers (PCs);Printers;Portable Computers;Disk Drives;Monitors/Terminals</v>
      </c>
      <c r="AD1000" s="7">
        <f>=DATE(2017,11,21)</f>
        <v>43059.99949074074</v>
      </c>
      <c r="AH1000" s="6" t="str">
        <v>False</v>
      </c>
      <c r="AJ1000" s="6" t="str">
        <v>Dismissed Rumor</v>
      </c>
      <c r="AM1000" s="6" t="str">
        <v>Rumored Deal</v>
      </c>
      <c r="AO1000" s="6" t="str">
        <v>CANADA - Apple Inc of the US was rumored to be planning to acquire Vrvana Inc, a Montreal-based manufacturer of search, detection, navigation, guidance, aeronautical and nautical systems and instruments. The terms of the transaction were not disclosed, but according to sources close to the transaction, the value was estimated at CAD 38.454 mil (USD 30 mil). The Current status of this deal is unknown.</v>
      </c>
    </row>
    <row r="1001">
      <c r="A1001" s="6" t="str">
        <v>7J8440</v>
      </c>
      <c r="B1001" s="6" t="str">
        <v>United States</v>
      </c>
      <c r="C1001" s="6" t="str">
        <v>Google LLC</v>
      </c>
      <c r="D1001" s="6" t="str">
        <v>Alphabet Inc</v>
      </c>
      <c r="F1001" s="6" t="str">
        <v>Austria</v>
      </c>
      <c r="G1001" s="6" t="str">
        <v>StreamUnlimited Engineering GmbH</v>
      </c>
      <c r="H1001" s="6" t="str">
        <v>Business Services</v>
      </c>
      <c r="I1001" s="6" t="str">
        <v>8E2329</v>
      </c>
      <c r="J1001" s="6" t="str">
        <v>StreamUnlimited Engineering GmbH</v>
      </c>
      <c r="K1001" s="6" t="str">
        <v>StreamUnlimited Engineering GmbH</v>
      </c>
      <c r="L1001" s="7">
        <f>=DATE(2017,11,28)</f>
        <v>43066.99949074074</v>
      </c>
      <c r="M1001" s="7">
        <f>=DATE(2017,11,28)</f>
        <v>43066.99949074074</v>
      </c>
      <c r="W1001" s="6" t="str">
        <v>Programming Services;Internet Services &amp; Software</v>
      </c>
      <c r="X1001" s="6" t="str">
        <v>Other Computer Related Svcs</v>
      </c>
      <c r="Y1001" s="6" t="str">
        <v>Other Computer Related Svcs</v>
      </c>
      <c r="Z1001" s="6" t="str">
        <v>Other Computer Related Svcs</v>
      </c>
      <c r="AA1001" s="6" t="str">
        <v>Primary Business not Hi-Tech;Programming Services;Internet Services &amp; Software;Computer Consulting Services;Telecommunications Equipment</v>
      </c>
      <c r="AB1001" s="6" t="str">
        <v>Telecommunications Equipment;Programming Services;Primary Business not Hi-Tech;Computer Consulting Services;Internet Services &amp; Software</v>
      </c>
      <c r="AH1001" s="6" t="str">
        <v>True</v>
      </c>
      <c r="AI1001" s="6" t="str">
        <v>2017</v>
      </c>
      <c r="AJ1001" s="6" t="str">
        <v>Completed</v>
      </c>
      <c r="AM1001" s="6" t="str">
        <v>Privately Negotiated Purchase</v>
      </c>
      <c r="AN1001" s="8">
        <v>0.01892346509672</v>
      </c>
      <c r="AO1001" s="6" t="str">
        <v>AUSTRIA - Google Inc of the US, a unit of Alphabet Inc, acquired a 41% stake in StreamUnlimited Engineering GmbH, a Vienna-based provider of data processing and hosting services, in a privately negotiated transaction. Terms were not disclosed.</v>
      </c>
    </row>
    <row r="1002">
      <c r="A1002" s="6" t="str">
        <v>037833</v>
      </c>
      <c r="B1002" s="6" t="str">
        <v>United States</v>
      </c>
      <c r="C1002" s="6" t="str">
        <v>Apple Inc</v>
      </c>
      <c r="D1002" s="6" t="str">
        <v>Apple Inc</v>
      </c>
      <c r="F1002" s="6" t="str">
        <v>United Kingdom</v>
      </c>
      <c r="G1002" s="6" t="str">
        <v>Shazam Entertainment Ltd</v>
      </c>
      <c r="H1002" s="6" t="str">
        <v>Prepackaged Software</v>
      </c>
      <c r="I1002" s="6" t="str">
        <v>81888F</v>
      </c>
      <c r="J1002" s="6" t="str">
        <v>Shazam Entertainment Ltd</v>
      </c>
      <c r="K1002" s="6" t="str">
        <v>Shazam Entertainment Ltd</v>
      </c>
      <c r="L1002" s="7">
        <f>=DATE(2017,12,11)</f>
        <v>43079.99949074074</v>
      </c>
      <c r="M1002" s="7">
        <f>=DATE(2018,9,24)</f>
        <v>43366.99949074074</v>
      </c>
      <c r="W1002" s="6" t="str">
        <v>Printers;Mainframes &amp; Super Computers;Disk Drives;Micro-Computers (PCs);Other Peripherals;Monitors/Terminals;Other Software (inq. Games);Portable Computers</v>
      </c>
      <c r="X1002" s="6" t="str">
        <v>Other Software (inq. Games)</v>
      </c>
      <c r="Y1002" s="6" t="str">
        <v>Other Software (inq. Games)</v>
      </c>
      <c r="Z1002" s="6" t="str">
        <v>Other Software (inq. Games)</v>
      </c>
      <c r="AA1002" s="6" t="str">
        <v>Other Software (inq. Games);Printers;Monitors/Terminals;Micro-Computers (PCs);Other Peripherals;Portable Computers;Disk Drives;Mainframes &amp; Super Computers</v>
      </c>
      <c r="AB1002" s="6" t="str">
        <v>Disk Drives;Other Software (inq. Games);Portable Computers;Printers;Monitors/Terminals;Other Peripherals;Micro-Computers (PCs);Mainframes &amp; Super Computers</v>
      </c>
      <c r="AD1002" s="7">
        <f>=DATE(2017,12,8)</f>
        <v>43076.99949074074</v>
      </c>
      <c r="AH1002" s="6" t="str">
        <v>True</v>
      </c>
      <c r="AI1002" s="6" t="str">
        <v>2018</v>
      </c>
      <c r="AJ1002" s="6" t="str">
        <v>Completed</v>
      </c>
      <c r="AM1002" s="6" t="str">
        <v>Rumored Deal</v>
      </c>
      <c r="AO1002" s="6" t="str">
        <v>UK - Apple Inc of the US acquired Shazam Entertainment Ltd, a London-based software publisher. Originally, in December 2017, Apple was rumored to be planning to acquire Shazam. The terms of the transaction were not disclosed, but according to sources close to the transaction, the value was estimated at GBP 296.89 mil (USD 400 mil).</v>
      </c>
    </row>
    <row r="1003">
      <c r="A1003" s="6" t="str">
        <v>037833</v>
      </c>
      <c r="B1003" s="6" t="str">
        <v>United States</v>
      </c>
      <c r="C1003" s="6" t="str">
        <v>Apple Inc</v>
      </c>
      <c r="D1003" s="6" t="str">
        <v>Apple Inc</v>
      </c>
      <c r="F1003" s="6" t="str">
        <v>Canada</v>
      </c>
      <c r="G1003" s="6" t="str">
        <v>Doe Pics Hit Inc</v>
      </c>
      <c r="H1003" s="6" t="str">
        <v>Prepackaged Software</v>
      </c>
      <c r="I1003" s="6" t="str">
        <v>3H6752</v>
      </c>
      <c r="J1003" s="6" t="str">
        <v>Doe Pics Hit Inc</v>
      </c>
      <c r="K1003" s="6" t="str">
        <v>Doe Pics Hit Inc</v>
      </c>
      <c r="L1003" s="7">
        <f>=DATE(2018,1,2)</f>
        <v>43101.99949074074</v>
      </c>
      <c r="M1003" s="7">
        <f>=DATE(2018,1,2)</f>
        <v>43101.99949074074</v>
      </c>
      <c r="W1003" s="6" t="str">
        <v>Micro-Computers (PCs);Other Software (inq. Games);Disk Drives;Portable Computers;Monitors/Terminals;Mainframes &amp; Super Computers;Other Peripherals;Printers</v>
      </c>
      <c r="X1003" s="6" t="str">
        <v>Internet Services &amp; Software;Communication/Network Software</v>
      </c>
      <c r="Y1003" s="6" t="str">
        <v>Internet Services &amp; Software;Communication/Network Software</v>
      </c>
      <c r="Z1003" s="6" t="str">
        <v>Communication/Network Software;Internet Services &amp; Software</v>
      </c>
      <c r="AA1003" s="6" t="str">
        <v>Micro-Computers (PCs);Printers;Portable Computers;Mainframes &amp; Super Computers;Monitors/Terminals;Other Software (inq. Games);Disk Drives;Other Peripherals</v>
      </c>
      <c r="AB1003" s="6" t="str">
        <v>Monitors/Terminals;Mainframes &amp; Super Computers;Micro-Computers (PCs);Portable Computers;Disk Drives;Printers;Other Software (inq. Games);Other Peripherals</v>
      </c>
      <c r="AH1003" s="6" t="str">
        <v>False</v>
      </c>
      <c r="AI1003" s="6" t="str">
        <v>2018</v>
      </c>
      <c r="AJ1003" s="6" t="str">
        <v>Completed</v>
      </c>
      <c r="AM1003" s="6" t="str">
        <v>Not Applicable</v>
      </c>
      <c r="AO1003" s="6" t="str">
        <v>CANADA - Apple Inc of the US acquired Doe Pics Hit Inc, a Vancouver-based software publisher. Terms were not disclosed.</v>
      </c>
    </row>
    <row r="1004">
      <c r="A1004" s="6" t="str">
        <v>037833</v>
      </c>
      <c r="B1004" s="6" t="str">
        <v>United States</v>
      </c>
      <c r="C1004" s="6" t="str">
        <v>Apple Inc</v>
      </c>
      <c r="D1004" s="6" t="str">
        <v>Apple Inc</v>
      </c>
      <c r="F1004" s="6" t="str">
        <v>United States</v>
      </c>
      <c r="G1004" s="6" t="str">
        <v>Netflix Inc</v>
      </c>
      <c r="H1004" s="6" t="str">
        <v>Motion Picture Production and Distribution</v>
      </c>
      <c r="I1004" s="6" t="str">
        <v>64110L</v>
      </c>
      <c r="J1004" s="6" t="str">
        <v>Netflix Inc</v>
      </c>
      <c r="K1004" s="6" t="str">
        <v>Netflix Inc</v>
      </c>
      <c r="L1004" s="7">
        <f>=DATE(2018,1,2)</f>
        <v>43101.99949074074</v>
      </c>
      <c r="R1004" s="8">
        <v>638.029</v>
      </c>
      <c r="S1004" s="8">
        <v>11692.713</v>
      </c>
      <c r="T1004" s="8">
        <v>3076.99</v>
      </c>
      <c r="U1004" s="8">
        <v>34.329</v>
      </c>
      <c r="V1004" s="8">
        <v>-1785.948</v>
      </c>
      <c r="W1004" s="6" t="str">
        <v>Other Peripherals;Printers;Monitors/Terminals;Disk Drives;Mainframes &amp; Super Computers;Portable Computers;Micro-Computers (PCs);Other Software (inq. Games)</v>
      </c>
      <c r="X1004" s="6" t="str">
        <v>Internet Services &amp; Software</v>
      </c>
      <c r="Y1004" s="6" t="str">
        <v>Internet Services &amp; Software</v>
      </c>
      <c r="Z1004" s="6" t="str">
        <v>Internet Services &amp; Software</v>
      </c>
      <c r="AA1004" s="6" t="str">
        <v>Monitors/Terminals;Other Peripherals;Portable Computers;Disk Drives;Printers;Other Software (inq. Games);Mainframes &amp; Super Computers;Micro-Computers (PCs)</v>
      </c>
      <c r="AB1004" s="6" t="str">
        <v>Disk Drives;Mainframes &amp; Super Computers;Portable Computers;Other Software (inq. Games);Monitors/Terminals;Micro-Computers (PCs);Other Peripherals;Printers</v>
      </c>
      <c r="AH1004" s="6" t="str">
        <v>True</v>
      </c>
      <c r="AJ1004" s="6" t="str">
        <v>Dismissed Rumor</v>
      </c>
      <c r="AL1004" s="8">
        <v>432.73113</v>
      </c>
      <c r="AM1004" s="6" t="str">
        <v>Rumored Deal</v>
      </c>
      <c r="AN1004" s="8">
        <v>10371.055</v>
      </c>
      <c r="AO1004" s="6" t="str">
        <v>US - Apple Inc was rumored to be planning to acquire the entire share capital of Netflix Inc, a Los Gatos-based provider of online movie rental service. The Current status of this deal is unknown.</v>
      </c>
    </row>
    <row r="1005">
      <c r="A1005" s="6" t="str">
        <v>594918</v>
      </c>
      <c r="B1005" s="6" t="str">
        <v>United States</v>
      </c>
      <c r="C1005" s="6" t="str">
        <v>Microsoft Corp</v>
      </c>
      <c r="D1005" s="6" t="str">
        <v>Microsoft Corp</v>
      </c>
      <c r="F1005" s="6" t="str">
        <v>United States</v>
      </c>
      <c r="G1005" s="6" t="str">
        <v>Avere Systems Inc</v>
      </c>
      <c r="H1005" s="6" t="str">
        <v>Business Services</v>
      </c>
      <c r="I1005" s="6" t="str">
        <v>8F6446</v>
      </c>
      <c r="J1005" s="6" t="str">
        <v>Avere Systems Inc</v>
      </c>
      <c r="K1005" s="6" t="str">
        <v>Avere Systems Inc</v>
      </c>
      <c r="L1005" s="7">
        <f>=DATE(2018,1,3)</f>
        <v>43102.99949074074</v>
      </c>
      <c r="W1005" s="6" t="str">
        <v>Monitors/Terminals;Operating Systems;Internet Services &amp; Software;Computer Consulting Services;Applications Software(Business;Other Peripherals</v>
      </c>
      <c r="X1005" s="6" t="str">
        <v>Data Processing Services</v>
      </c>
      <c r="Y1005" s="6" t="str">
        <v>Data Processing Services</v>
      </c>
      <c r="Z1005" s="6" t="str">
        <v>Data Processing Services</v>
      </c>
      <c r="AA1005" s="6" t="str">
        <v>Monitors/Terminals;Applications Software(Business;Computer Consulting Services;Internet Services &amp; Software;Other Peripherals;Operating Systems</v>
      </c>
      <c r="AB1005" s="6" t="str">
        <v>Other Peripherals;Applications Software(Business;Operating Systems;Computer Consulting Services;Internet Services &amp; Software;Monitors/Terminals</v>
      </c>
      <c r="AH1005" s="6" t="str">
        <v>False</v>
      </c>
      <c r="AJ1005" s="6" t="str">
        <v>Pending</v>
      </c>
      <c r="AM1005" s="6" t="str">
        <v>Not Applicable</v>
      </c>
      <c r="AO1005" s="6" t="str">
        <v>US - Microsoft Corp planned to acquire Avere Systems Inc, a Pittsburgh-based provider of data processing and hosting services.</v>
      </c>
    </row>
    <row r="1006">
      <c r="A1006" s="6" t="str">
        <v>7J8440</v>
      </c>
      <c r="B1006" s="6" t="str">
        <v>United States</v>
      </c>
      <c r="C1006" s="6" t="str">
        <v>Google LLC</v>
      </c>
      <c r="D1006" s="6" t="str">
        <v>Alphabet Inc</v>
      </c>
      <c r="F1006" s="6" t="str">
        <v>United Kingdom</v>
      </c>
      <c r="G1006" s="6" t="str">
        <v>NVF Tech Ltd</v>
      </c>
      <c r="H1006" s="6" t="str">
        <v>Electronic and Electrical Equipment</v>
      </c>
      <c r="I1006" s="6" t="str">
        <v>1H5181</v>
      </c>
      <c r="J1006" s="6" t="str">
        <v>BMS Specialist Debt Ltd</v>
      </c>
      <c r="K1006" s="6" t="str">
        <v>BMS Finance AB Ltd</v>
      </c>
      <c r="L1006" s="7">
        <f>=DATE(2018,1,11)</f>
        <v>43110.99949074074</v>
      </c>
      <c r="M1006" s="7">
        <f>=DATE(2018,1,11)</f>
        <v>43110.99949074074</v>
      </c>
      <c r="R1006" s="8">
        <v>16.3657982920765</v>
      </c>
      <c r="S1006" s="8">
        <v>3.32261377148416</v>
      </c>
      <c r="W1006" s="6" t="str">
        <v>Internet Services &amp; Software;Programming Services</v>
      </c>
      <c r="X1006" s="6" t="str">
        <v>Other Electronics;Data Commun(Exclude networking</v>
      </c>
      <c r="Y1006" s="6" t="str">
        <v>Primary Business not Hi-Tech</v>
      </c>
      <c r="Z1006" s="6" t="str">
        <v>Primary Business not Hi-Tech</v>
      </c>
      <c r="AA1006" s="6" t="str">
        <v>Programming Services;Computer Consulting Services;Internet Services &amp; Software;Telecommunications Equipment;Primary Business not Hi-Tech</v>
      </c>
      <c r="AB1006" s="6" t="str">
        <v>Computer Consulting Services;Primary Business not Hi-Tech;Internet Services &amp; Software;Telecommunications Equipment;Programming Services</v>
      </c>
      <c r="AH1006" s="6" t="str">
        <v>True</v>
      </c>
      <c r="AI1006" s="6" t="str">
        <v>2018</v>
      </c>
      <c r="AJ1006" s="6" t="str">
        <v>Completed</v>
      </c>
      <c r="AM1006" s="6" t="str">
        <v>Divestiture</v>
      </c>
      <c r="AO1006" s="6" t="str">
        <v>UK - Google Inc of the US, a unit of Alphabet Inc, acquired NVF Tech Ltd, a St Neots-based manufacturer of audio and video equipment, from BMS Finance AB Ltd, ultimately owned by BMS Specialist Debt Ltd. Terms were not disclosed.</v>
      </c>
    </row>
    <row r="1007">
      <c r="A1007" s="6" t="str">
        <v>4C7902</v>
      </c>
      <c r="B1007" s="6" t="str">
        <v>United States</v>
      </c>
      <c r="C1007" s="6" t="str">
        <v>Amazon Web Services Inc</v>
      </c>
      <c r="D1007" s="6" t="str">
        <v>Amazon.com Inc</v>
      </c>
      <c r="F1007" s="6" t="str">
        <v>United States</v>
      </c>
      <c r="G1007" s="6" t="str">
        <v>Sqrrl Data Inc</v>
      </c>
      <c r="H1007" s="6" t="str">
        <v>Business Services</v>
      </c>
      <c r="I1007" s="6" t="str">
        <v>6F1167</v>
      </c>
      <c r="J1007" s="6" t="str">
        <v>Sqrrl Data Inc</v>
      </c>
      <c r="K1007" s="6" t="str">
        <v>Sqrrl Data Inc</v>
      </c>
      <c r="L1007" s="7">
        <f>=DATE(2018,1,23)</f>
        <v>43122.99949074074</v>
      </c>
      <c r="M1007" s="7">
        <f>=DATE(2018,1,23)</f>
        <v>43122.99949074074</v>
      </c>
      <c r="W1007" s="6" t="str">
        <v>Primary Business not Hi-Tech;Data Processing Services;Internet Services &amp; Software;Other Computer Related Svcs;Computer Consulting Services</v>
      </c>
      <c r="X1007" s="6" t="str">
        <v>Other Computer Related Svcs;Other Software (inq. Games);Data Processing Services;Computer Consulting Services</v>
      </c>
      <c r="Y1007" s="6" t="str">
        <v>Other Computer Related Svcs;Other Software (inq. Games);Computer Consulting Services;Data Processing Services</v>
      </c>
      <c r="Z1007" s="6" t="str">
        <v>Data Processing Services;Computer Consulting Services;Other Software (inq. Games);Other Computer Related Svcs</v>
      </c>
      <c r="AA1007" s="6" t="str">
        <v>Primary Business not Hi-Tech</v>
      </c>
      <c r="AB1007" s="6" t="str">
        <v>Primary Business not Hi-Tech</v>
      </c>
      <c r="AD1007" s="7">
        <f>=DATE(2017,12,18)</f>
        <v>43086.99949074074</v>
      </c>
      <c r="AH1007" s="6" t="str">
        <v>False</v>
      </c>
      <c r="AI1007" s="6" t="str">
        <v>2018</v>
      </c>
      <c r="AJ1007" s="6" t="str">
        <v>Completed</v>
      </c>
      <c r="AM1007" s="6" t="str">
        <v>Rumored Deal</v>
      </c>
      <c r="AO1007" s="6" t="str">
        <v>US - Amazon Web Services Inc, a unit of Amazon.com Inc (Amazon), acquired Sqrrl Data Inc (Sqrrl), a Cambridge-based software developer. Originally, in December 2017, Amazon was rumored to be planning to acquire Sqrrl. Terms were not disclosed.The terms of the transaction were not disclosed, but according to sources close to the transaction, the value was estimated at USD 40 mil.</v>
      </c>
    </row>
    <row r="1008">
      <c r="A1008" s="6" t="str">
        <v>30303M</v>
      </c>
      <c r="B1008" s="6" t="str">
        <v>United States</v>
      </c>
      <c r="C1008" s="6" t="str">
        <v>Facebook Inc</v>
      </c>
      <c r="D1008" s="6" t="str">
        <v>Facebook Inc</v>
      </c>
      <c r="F1008" s="6" t="str">
        <v>United States</v>
      </c>
      <c r="G1008" s="6" t="str">
        <v>Confirm Inc</v>
      </c>
      <c r="H1008" s="6" t="str">
        <v>Business Services</v>
      </c>
      <c r="I1008" s="6" t="str">
        <v>1H8111</v>
      </c>
      <c r="J1008" s="6" t="str">
        <v>Confirm Inc</v>
      </c>
      <c r="K1008" s="6" t="str">
        <v>Confirm Inc</v>
      </c>
      <c r="L1008" s="7">
        <f>=DATE(2018,1,24)</f>
        <v>43123.99949074074</v>
      </c>
      <c r="M1008" s="7">
        <f>=DATE(2018,3,1)</f>
        <v>43159.99949074074</v>
      </c>
      <c r="W1008" s="6" t="str">
        <v>Internet Services &amp; Software</v>
      </c>
      <c r="X1008" s="6" t="str">
        <v>Applications Software(Business;Desktop Publishing;Utilities/File Mgmt Software;Internet Services &amp; Software;Other Software (inq. Games);Primary Business not Hi-Tech;Communication/Network Software;Applications Software(Home)</v>
      </c>
      <c r="Y1008" s="6" t="str">
        <v>Communication/Network Software;Other Software (inq. Games);Desktop Publishing;Applications Software(Home);Applications Software(Business;Primary Business not Hi-Tech;Internet Services &amp; Software;Utilities/File Mgmt Software</v>
      </c>
      <c r="Z1008" s="6" t="str">
        <v>Applications Software(Business;Other Software (inq. Games);Utilities/File Mgmt Software;Communication/Network Software;Internet Services &amp; Software;Primary Business not Hi-Tech;Applications Software(Home);Desktop Publishing</v>
      </c>
      <c r="AA1008" s="6" t="str">
        <v>Internet Services &amp; Software</v>
      </c>
      <c r="AB1008" s="6" t="str">
        <v>Internet Services &amp; Software</v>
      </c>
      <c r="AH1008" s="6" t="str">
        <v>False</v>
      </c>
      <c r="AI1008" s="6" t="str">
        <v>2018</v>
      </c>
      <c r="AJ1008" s="6" t="str">
        <v>Completed</v>
      </c>
      <c r="AM1008" s="6" t="str">
        <v>Financial Acquiror</v>
      </c>
      <c r="AO1008" s="6" t="str">
        <v>US - Facebook Inc acquired Confirm Inc, a Boston-based provider of security systems services. Terms were not disclosed.</v>
      </c>
    </row>
    <row r="1009">
      <c r="A1009" s="6" t="str">
        <v>8F6079</v>
      </c>
      <c r="B1009" s="6" t="str">
        <v>United States</v>
      </c>
      <c r="C1009" s="6" t="str">
        <v>Amazon.com NV Investment Holdings LLC</v>
      </c>
      <c r="D1009" s="6" t="str">
        <v>Amazon.com Inc</v>
      </c>
      <c r="F1009" s="6" t="str">
        <v>United States</v>
      </c>
      <c r="G1009" s="6" t="str">
        <v>StarTek Inc</v>
      </c>
      <c r="H1009" s="6" t="str">
        <v>Business Services</v>
      </c>
      <c r="I1009" s="6" t="str">
        <v>85569C</v>
      </c>
      <c r="J1009" s="6" t="str">
        <v>Capital Square Partners Pte Ltd</v>
      </c>
      <c r="K1009" s="6" t="str">
        <v>CSP Management Ltd</v>
      </c>
      <c r="L1009" s="7">
        <f>=DATE(2018,1,24)</f>
        <v>43123.99949074074</v>
      </c>
      <c r="R1009" s="8">
        <v>-1.276</v>
      </c>
      <c r="S1009" s="8">
        <v>292.604</v>
      </c>
      <c r="T1009" s="8">
        <v>-8.784</v>
      </c>
      <c r="U1009" s="8">
        <v>-6.835</v>
      </c>
      <c r="V1009" s="8">
        <v>15.528</v>
      </c>
      <c r="W1009" s="6" t="str">
        <v>Primary Business not Hi-Tech</v>
      </c>
      <c r="X1009" s="6" t="str">
        <v>Primary Business not Hi-Tech;Other Computer Systems;CAD/CAM/CAE/Graphics Systems</v>
      </c>
      <c r="Y1009" s="6" t="str">
        <v>Primary Business not Hi-Tech</v>
      </c>
      <c r="Z1009" s="6" t="str">
        <v>Primary Business not Hi-Tech</v>
      </c>
      <c r="AA1009" s="6" t="str">
        <v>Primary Business not Hi-Tech</v>
      </c>
      <c r="AB1009" s="6" t="str">
        <v>Primary Business not Hi-Tech</v>
      </c>
      <c r="AH1009" s="6" t="str">
        <v>True</v>
      </c>
      <c r="AJ1009" s="6" t="str">
        <v>Pending</v>
      </c>
      <c r="AL1009" s="8">
        <v>4</v>
      </c>
      <c r="AM1009" s="6" t="str">
        <v>Privately Negotiated Purchase</v>
      </c>
      <c r="AN1009" s="8">
        <v>14.634</v>
      </c>
      <c r="AO1009" s="6" t="str">
        <v>US - Amazon.com NV Investment Holdings LLC, a unit of Amazon.com Inc, definitively agreed to acquire 24.779% stake or 4 mil common shares in StarTek Inc, a Greenwood Village-based provider of employee leasing services, in a privately negotiated transaction.</v>
      </c>
    </row>
    <row r="1010">
      <c r="A1010" s="6" t="str">
        <v>594918</v>
      </c>
      <c r="B1010" s="6" t="str">
        <v>United States</v>
      </c>
      <c r="C1010" s="6" t="str">
        <v>Microsoft Corp</v>
      </c>
      <c r="D1010" s="6" t="str">
        <v>Microsoft Corp</v>
      </c>
      <c r="F1010" s="6" t="str">
        <v>United States</v>
      </c>
      <c r="G1010" s="6" t="str">
        <v>PlayFab Inc</v>
      </c>
      <c r="H1010" s="6" t="str">
        <v>Prepackaged Software</v>
      </c>
      <c r="I1010" s="6" t="str">
        <v>1H9714</v>
      </c>
      <c r="J1010" s="6" t="str">
        <v>PlayFab Inc</v>
      </c>
      <c r="K1010" s="6" t="str">
        <v>PlayFab Inc</v>
      </c>
      <c r="L1010" s="7">
        <f>=DATE(2018,1,29)</f>
        <v>43128.99949074074</v>
      </c>
      <c r="M1010" s="7">
        <f>=DATE(2018,1,29)</f>
        <v>43128.99949074074</v>
      </c>
      <c r="W1010" s="6" t="str">
        <v>Computer Consulting Services;Other Peripherals;Internet Services &amp; Software;Monitors/Terminals;Operating Systems;Applications Software(Business</v>
      </c>
      <c r="X1010" s="6" t="str">
        <v>Applications Software(Home);Internet Services &amp; Software;Communication/Network Software;Other Software (inq. Games);Desktop Publishing;Utilities/File Mgmt Software;Applications Software(Business</v>
      </c>
      <c r="Y1010" s="6" t="str">
        <v>Other Software (inq. Games);Desktop Publishing;Internet Services &amp; Software;Utilities/File Mgmt Software;Applications Software(Home);Communication/Network Software;Applications Software(Business</v>
      </c>
      <c r="Z1010" s="6" t="str">
        <v>Utilities/File Mgmt Software;Other Software (inq. Games);Internet Services &amp; Software;Desktop Publishing;Applications Software(Home);Communication/Network Software;Applications Software(Business</v>
      </c>
      <c r="AA1010" s="6" t="str">
        <v>Other Peripherals;Internet Services &amp; Software;Applications Software(Business;Monitors/Terminals;Operating Systems;Computer Consulting Services</v>
      </c>
      <c r="AB1010" s="6" t="str">
        <v>Applications Software(Business;Monitors/Terminals;Internet Services &amp; Software;Computer Consulting Services;Operating Systems;Other Peripherals</v>
      </c>
      <c r="AD1010" s="7">
        <f>=DATE(2018,1,30)</f>
        <v>43129.99949074074</v>
      </c>
      <c r="AH1010" s="6" t="str">
        <v>False</v>
      </c>
      <c r="AI1010" s="6" t="str">
        <v>2018</v>
      </c>
      <c r="AJ1010" s="6" t="str">
        <v>Completed</v>
      </c>
      <c r="AM1010" s="6" t="str">
        <v>Not Applicable</v>
      </c>
      <c r="AO1010" s="6" t="str">
        <v>US - Microsoft Corp acquired PlayFab Inc, a Seattle-based software publisher.</v>
      </c>
    </row>
    <row r="1011">
      <c r="A1011" s="6" t="str">
        <v>7J8440</v>
      </c>
      <c r="B1011" s="6" t="str">
        <v>United States</v>
      </c>
      <c r="C1011" s="6" t="str">
        <v>Google LLC</v>
      </c>
      <c r="D1011" s="6" t="str">
        <v>Alphabet Inc</v>
      </c>
      <c r="F1011" s="6" t="str">
        <v>United States</v>
      </c>
      <c r="G1011" s="6" t="str">
        <v>Xively Ltd</v>
      </c>
      <c r="H1011" s="6" t="str">
        <v>Prepackaged Software</v>
      </c>
      <c r="I1011" s="6" t="str">
        <v>2H3221</v>
      </c>
      <c r="J1011" s="6" t="str">
        <v>LogMeIn Inc</v>
      </c>
      <c r="K1011" s="6" t="str">
        <v>LogMeIn Inc</v>
      </c>
      <c r="L1011" s="7">
        <f>=DATE(2018,2,15)</f>
        <v>43145.99949074074</v>
      </c>
      <c r="N1011" s="8">
        <v>50</v>
      </c>
      <c r="O1011" s="8">
        <v>50</v>
      </c>
      <c r="W1011" s="6" t="str">
        <v>Internet Services &amp; Software;Programming Services</v>
      </c>
      <c r="X1011" s="6" t="str">
        <v>Other Computer Related Svcs;Computer Consulting Services;Other Software (inq. Games)</v>
      </c>
      <c r="Y1011" s="6" t="str">
        <v>Desktop Publishing;Other Software (inq. Games);Applications Software(Business</v>
      </c>
      <c r="Z1011" s="6" t="str">
        <v>Applications Software(Business;Desktop Publishing;Other Software (inq. Games)</v>
      </c>
      <c r="AA1011" s="6" t="str">
        <v>Internet Services &amp; Software;Programming Services;Telecommunications Equipment;Computer Consulting Services;Primary Business not Hi-Tech</v>
      </c>
      <c r="AB1011" s="6" t="str">
        <v>Programming Services;Primary Business not Hi-Tech;Internet Services &amp; Software;Telecommunications Equipment;Computer Consulting Services</v>
      </c>
      <c r="AC1011" s="8">
        <v>50</v>
      </c>
      <c r="AD1011" s="7">
        <f>=DATE(2018,2,15)</f>
        <v>43145.99949074074</v>
      </c>
      <c r="AH1011" s="6" t="str">
        <v>False</v>
      </c>
      <c r="AJ1011" s="6" t="str">
        <v>Pending</v>
      </c>
      <c r="AM1011" s="6" t="str">
        <v>Divestiture</v>
      </c>
      <c r="AO1011" s="6" t="str">
        <v>US - Google Inc, a unit of Alphabet Inc, planned to acquire Xively Ltd, a Boston-based software publisher, from LogMeIn Inc, for a total USD 50 mil.</v>
      </c>
    </row>
    <row r="1012">
      <c r="A1012" s="6" t="str">
        <v>023135</v>
      </c>
      <c r="B1012" s="6" t="str">
        <v>United States</v>
      </c>
      <c r="C1012" s="6" t="str">
        <v>Amazon.com Inc</v>
      </c>
      <c r="D1012" s="6" t="str">
        <v>Amazon.com Inc</v>
      </c>
      <c r="F1012" s="6" t="str">
        <v>United States</v>
      </c>
      <c r="G1012" s="6" t="str">
        <v>Ring Inc</v>
      </c>
      <c r="H1012" s="6" t="str">
        <v>Communications Equipment</v>
      </c>
      <c r="I1012" s="6" t="str">
        <v>1H4557</v>
      </c>
      <c r="J1012" s="6" t="str">
        <v>Ring Inc</v>
      </c>
      <c r="K1012" s="6" t="str">
        <v>Ring Inc</v>
      </c>
      <c r="L1012" s="7">
        <f>=DATE(2018,2,27)</f>
        <v>43157.99949074074</v>
      </c>
      <c r="M1012" s="7">
        <f>=DATE(2018,4,12)</f>
        <v>43201.99949074074</v>
      </c>
      <c r="N1012" s="8">
        <v>839</v>
      </c>
      <c r="O1012" s="8">
        <v>839</v>
      </c>
      <c r="W1012" s="6" t="str">
        <v>Primary Business not Hi-Tech</v>
      </c>
      <c r="X1012" s="6" t="str">
        <v>Other Telecommunications Equip;Data Commun(Exclude networking;Telephone Interconnect Equip;Messaging Systems;Microwave Communications;Alarm Systems</v>
      </c>
      <c r="Y1012" s="6" t="str">
        <v>Telephone Interconnect Equip;Data Commun(Exclude networking;Alarm Systems;Other Telecommunications Equip;Messaging Systems;Microwave Communications</v>
      </c>
      <c r="Z1012" s="6" t="str">
        <v>Alarm Systems;Microwave Communications;Other Telecommunications Equip;Messaging Systems;Telephone Interconnect Equip;Data Commun(Exclude networking</v>
      </c>
      <c r="AA1012" s="6" t="str">
        <v>Primary Business not Hi-Tech</v>
      </c>
      <c r="AB1012" s="6" t="str">
        <v>Primary Business not Hi-Tech</v>
      </c>
      <c r="AC1012" s="8">
        <v>839</v>
      </c>
      <c r="AD1012" s="7">
        <f>=DATE(2018,2,28)</f>
        <v>43158.99949074074</v>
      </c>
      <c r="AH1012" s="6" t="str">
        <v>True</v>
      </c>
      <c r="AI1012" s="6" t="str">
        <v>2018</v>
      </c>
      <c r="AJ1012" s="6" t="str">
        <v>Completed</v>
      </c>
      <c r="AM1012" s="6" t="str">
        <v>Not Applicable</v>
      </c>
      <c r="AO1012" s="6" t="str">
        <v>US - Amazon.com Inc acquired Ring Inc, a Santa Monica-based manufacturer of communications equipment, for an estimated USD 839 mil in cash.</v>
      </c>
    </row>
    <row r="1013">
      <c r="A1013" s="6" t="str">
        <v>037833</v>
      </c>
      <c r="B1013" s="6" t="str">
        <v>United States</v>
      </c>
      <c r="C1013" s="6" t="str">
        <v>Apple Inc</v>
      </c>
      <c r="D1013" s="6" t="str">
        <v>Apple Inc</v>
      </c>
      <c r="F1013" s="6" t="str">
        <v>United States</v>
      </c>
      <c r="G1013" s="6" t="str">
        <v>Next Issue Media LLC</v>
      </c>
      <c r="H1013" s="6" t="str">
        <v>Prepackaged Software</v>
      </c>
      <c r="I1013" s="6" t="str">
        <v>2H8700</v>
      </c>
      <c r="J1013" s="6" t="str">
        <v>Next Issue Media LLC</v>
      </c>
      <c r="K1013" s="6" t="str">
        <v>Next Issue Media LLC</v>
      </c>
      <c r="L1013" s="7">
        <f>=DATE(2018,3,12)</f>
        <v>43170.99949074074</v>
      </c>
      <c r="W1013" s="6" t="str">
        <v>Disk Drives;Mainframes &amp; Super Computers;Other Peripherals;Other Software (inq. Games);Monitors/Terminals;Micro-Computers (PCs);Printers;Portable Computers</v>
      </c>
      <c r="X1013" s="6" t="str">
        <v>Desktop Publishing;Internet Services &amp; Software;Communication/Network Software</v>
      </c>
      <c r="Y1013" s="6" t="str">
        <v>Communication/Network Software;Desktop Publishing;Internet Services &amp; Software</v>
      </c>
      <c r="Z1013" s="6" t="str">
        <v>Internet Services &amp; Software;Communication/Network Software;Desktop Publishing</v>
      </c>
      <c r="AA1013" s="6" t="str">
        <v>Other Peripherals;Monitors/Terminals;Other Software (inq. Games);Portable Computers;Mainframes &amp; Super Computers;Disk Drives;Printers;Micro-Computers (PCs)</v>
      </c>
      <c r="AB1013" s="6" t="str">
        <v>Monitors/Terminals;Printers;Other Software (inq. Games);Mainframes &amp; Super Computers;Other Peripherals;Disk Drives;Portable Computers;Micro-Computers (PCs)</v>
      </c>
      <c r="AH1013" s="6" t="str">
        <v>False</v>
      </c>
      <c r="AJ1013" s="6" t="str">
        <v>Pending</v>
      </c>
      <c r="AM1013" s="6" t="str">
        <v>Not Applicable</v>
      </c>
      <c r="AO1013" s="6" t="str">
        <v>US - Apple Inc agreed to acquire Next Issue Media LLC, a Menlo Park-based software publisher.</v>
      </c>
    </row>
    <row r="1014">
      <c r="A1014" s="6" t="str">
        <v>7J8440</v>
      </c>
      <c r="B1014" s="6" t="str">
        <v>United States</v>
      </c>
      <c r="C1014" s="6" t="str">
        <v>Google LLC</v>
      </c>
      <c r="D1014" s="6" t="str">
        <v>Alphabet Inc</v>
      </c>
      <c r="F1014" s="6" t="str">
        <v>United States</v>
      </c>
      <c r="G1014" s="6" t="str">
        <v>Socratic Inc</v>
      </c>
      <c r="H1014" s="6" t="str">
        <v>Prepackaged Software</v>
      </c>
      <c r="I1014" s="6" t="str">
        <v>4H9736</v>
      </c>
      <c r="J1014" s="6" t="str">
        <v>Socratic Inc</v>
      </c>
      <c r="K1014" s="6" t="str">
        <v>Socratic Inc</v>
      </c>
      <c r="L1014" s="7">
        <f>=DATE(2018,3,14)</f>
        <v>43172.99949074074</v>
      </c>
      <c r="M1014" s="7">
        <f>=DATE(2018,5,9)</f>
        <v>43228.99949074074</v>
      </c>
      <c r="W1014" s="6" t="str">
        <v>Programming Services;Internet Services &amp; Software</v>
      </c>
      <c r="X1014" s="6" t="str">
        <v>Applications Software(Home);Other Software (inq. Games);Applications Software(Business;Desktop Publishing;Communication/Network Software;Utilities/File Mgmt Software;Internet Services &amp; Software</v>
      </c>
      <c r="Y1014" s="6" t="str">
        <v>Utilities/File Mgmt Software;Other Software (inq. Games);Applications Software(Business;Communication/Network Software;Applications Software(Home);Desktop Publishing;Internet Services &amp; Software</v>
      </c>
      <c r="Z1014" s="6" t="str">
        <v>Utilities/File Mgmt Software;Communication/Network Software;Applications Software(Business;Applications Software(Home);Other Software (inq. Games);Desktop Publishing;Internet Services &amp; Software</v>
      </c>
      <c r="AA1014" s="6" t="str">
        <v>Internet Services &amp; Software;Programming Services;Telecommunications Equipment;Primary Business not Hi-Tech;Computer Consulting Services</v>
      </c>
      <c r="AB1014" s="6" t="str">
        <v>Telecommunications Equipment;Computer Consulting Services;Programming Services;Internet Services &amp; Software;Primary Business not Hi-Tech</v>
      </c>
      <c r="AH1014" s="6" t="str">
        <v>False</v>
      </c>
      <c r="AI1014" s="6" t="str">
        <v>2018</v>
      </c>
      <c r="AJ1014" s="6" t="str">
        <v>Completed</v>
      </c>
      <c r="AM1014" s="6" t="str">
        <v>Not Applicable</v>
      </c>
      <c r="AO1014" s="6" t="str">
        <v>US - Google Inc, a unit of Alphabet Inc, acquired Socratic Inc, a New York City-based software publisher.</v>
      </c>
    </row>
    <row r="1015">
      <c r="A1015" s="6" t="str">
        <v>7J8440</v>
      </c>
      <c r="B1015" s="6" t="str">
        <v>United States</v>
      </c>
      <c r="C1015" s="6" t="str">
        <v>Google LLC</v>
      </c>
      <c r="D1015" s="6" t="str">
        <v>Alphabet Inc</v>
      </c>
      <c r="F1015" s="6" t="str">
        <v>United States</v>
      </c>
      <c r="G1015" s="6" t="str">
        <v>Lytro Inc</v>
      </c>
      <c r="H1015" s="6" t="str">
        <v>Prepackaged Software</v>
      </c>
      <c r="I1015" s="6" t="str">
        <v>1H4794</v>
      </c>
      <c r="J1015" s="6" t="str">
        <v>Lytro Inc</v>
      </c>
      <c r="K1015" s="6" t="str">
        <v>Lytro Inc</v>
      </c>
      <c r="L1015" s="7">
        <f>=DATE(2018,3,20)</f>
        <v>43178.99949074074</v>
      </c>
      <c r="S1015" s="8">
        <v>26.106</v>
      </c>
      <c r="W1015" s="6" t="str">
        <v>Internet Services &amp; Software;Programming Services</v>
      </c>
      <c r="X1015" s="6" t="str">
        <v>Applications Software(Business</v>
      </c>
      <c r="Y1015" s="6" t="str">
        <v>Applications Software(Business</v>
      </c>
      <c r="Z1015" s="6" t="str">
        <v>Applications Software(Business</v>
      </c>
      <c r="AA1015" s="6" t="str">
        <v>Telecommunications Equipment;Internet Services &amp; Software;Primary Business not Hi-Tech;Computer Consulting Services;Programming Services</v>
      </c>
      <c r="AB1015" s="6" t="str">
        <v>Telecommunications Equipment;Programming Services;Internet Services &amp; Software;Primary Business not Hi-Tech;Computer Consulting Services</v>
      </c>
      <c r="AD1015" s="7">
        <f>=DATE(2018,3,20)</f>
        <v>43178.99949074074</v>
      </c>
      <c r="AH1015" s="6" t="str">
        <v>True</v>
      </c>
      <c r="AJ1015" s="6" t="str">
        <v>Dismissed Rumor</v>
      </c>
      <c r="AM1015" s="6" t="str">
        <v>Rumored Deal</v>
      </c>
      <c r="AO1015" s="6" t="str">
        <v>US - Google Inc, a unit of Alphabet Inc, was rumored to be planning to acquire Lytro Inc, a Mountain View-based software publisher. The terms of the transaction were not disclosed, but according to sources close to the transaction, the value was estimated at USD 40 mil. The Current status of this deal is unknown.</v>
      </c>
    </row>
    <row r="1016">
      <c r="A1016" s="6" t="str">
        <v>7J8440</v>
      </c>
      <c r="B1016" s="6" t="str">
        <v>United States</v>
      </c>
      <c r="C1016" s="6" t="str">
        <v>Google LLC</v>
      </c>
      <c r="D1016" s="6" t="str">
        <v>Alphabet Inc</v>
      </c>
      <c r="F1016" s="6" t="str">
        <v>United States</v>
      </c>
      <c r="G1016" s="6" t="str">
        <v>Tenor Inc</v>
      </c>
      <c r="H1016" s="6" t="str">
        <v>Prepackaged Software</v>
      </c>
      <c r="I1016" s="6" t="str">
        <v>3H3084</v>
      </c>
      <c r="J1016" s="6" t="str">
        <v>Tenor Inc</v>
      </c>
      <c r="K1016" s="6" t="str">
        <v>Tenor Inc</v>
      </c>
      <c r="L1016" s="7">
        <f>=DATE(2018,3,27)</f>
        <v>43185.99949074074</v>
      </c>
      <c r="M1016" s="7">
        <f>=DATE(2018,3,27)</f>
        <v>43185.99949074074</v>
      </c>
      <c r="W1016" s="6" t="str">
        <v>Programming Services;Internet Services &amp; Software</v>
      </c>
      <c r="X1016" s="6" t="str">
        <v>Applications Software(Home);Desktop Publishing;Utilities/File Mgmt Software;Applications Software(Business;Other Software (inq. Games);Communication/Network Software;Internet Services &amp; Software</v>
      </c>
      <c r="Y1016" s="6" t="str">
        <v>Other Software (inq. Games);Applications Software(Business;Communication/Network Software;Utilities/File Mgmt Software;Internet Services &amp; Software;Applications Software(Home);Desktop Publishing</v>
      </c>
      <c r="Z1016" s="6" t="str">
        <v>Applications Software(Business;Applications Software(Home);Other Software (inq. Games);Internet Services &amp; Software;Desktop Publishing;Utilities/File Mgmt Software;Communication/Network Software</v>
      </c>
      <c r="AA1016" s="6" t="str">
        <v>Telecommunications Equipment;Primary Business not Hi-Tech;Internet Services &amp; Software;Computer Consulting Services;Programming Services</v>
      </c>
      <c r="AB1016" s="6" t="str">
        <v>Programming Services;Internet Services &amp; Software;Primary Business not Hi-Tech;Telecommunications Equipment;Computer Consulting Services</v>
      </c>
      <c r="AH1016" s="6" t="str">
        <v>False</v>
      </c>
      <c r="AI1016" s="6" t="str">
        <v>2018</v>
      </c>
      <c r="AJ1016" s="6" t="str">
        <v>Completed</v>
      </c>
      <c r="AM1016" s="6" t="str">
        <v>Not Applicable</v>
      </c>
      <c r="AO1016" s="6" t="str">
        <v>US - Google Inc, a unit of Alphabet Inc, acquired Tenor Inc, a San Francisco-based software publisher.</v>
      </c>
    </row>
    <row r="1017">
      <c r="A1017" s="6" t="str">
        <v>7J8440</v>
      </c>
      <c r="B1017" s="6" t="str">
        <v>United States</v>
      </c>
      <c r="C1017" s="6" t="str">
        <v>Google LLC</v>
      </c>
      <c r="D1017" s="6" t="str">
        <v>Alphabet Inc</v>
      </c>
      <c r="F1017" s="6" t="str">
        <v>Finland</v>
      </c>
      <c r="G1017" s="6" t="str">
        <v>Nokia Oyj-Airplane Broadband Business</v>
      </c>
      <c r="H1017" s="6" t="str">
        <v>Telecommunications</v>
      </c>
      <c r="I1017" s="6" t="str">
        <v>3H6129</v>
      </c>
      <c r="J1017" s="6" t="str">
        <v>Nokia Oyj</v>
      </c>
      <c r="K1017" s="6" t="str">
        <v>Nokia Oyj</v>
      </c>
      <c r="L1017" s="7">
        <f>=DATE(2018,4,10)</f>
        <v>43199.99949074074</v>
      </c>
      <c r="W1017" s="6" t="str">
        <v>Programming Services;Internet Services &amp; Software</v>
      </c>
      <c r="X1017" s="6" t="str">
        <v>Satellite Communications;Cellular Communications</v>
      </c>
      <c r="Y1017" s="6" t="str">
        <v>Telephone Interconnect Equip;Other Telecommunications Equip;Internet Services &amp; Software;Communication/Network Software;Other Software (inq. Games);Satellite Communications</v>
      </c>
      <c r="Z1017" s="6" t="str">
        <v>Communication/Network Software;Satellite Communications;Internet Services &amp; Software;Other Software (inq. Games);Other Telecommunications Equip;Telephone Interconnect Equip</v>
      </c>
      <c r="AA1017" s="6" t="str">
        <v>Computer Consulting Services;Primary Business not Hi-Tech;Programming Services;Telecommunications Equipment;Internet Services &amp; Software</v>
      </c>
      <c r="AB1017" s="6" t="str">
        <v>Internet Services &amp; Software;Primary Business not Hi-Tech;Programming Services;Telecommunications Equipment;Computer Consulting Services</v>
      </c>
      <c r="AH1017" s="6" t="str">
        <v>False</v>
      </c>
      <c r="AJ1017" s="6" t="str">
        <v>Dismissed Rumor</v>
      </c>
      <c r="AM1017" s="6" t="str">
        <v>Divestiture;Rumored Deal</v>
      </c>
      <c r="AO1017" s="6" t="str">
        <v>FINLAND - Google Inc of the US, a unit of Alphabet Inc, was rumored to be planning to acquire airplane broadband business of Nokia Oyj, an Espoo-based manufacturer of wireless communications equipment. The Current status of this deal is unknown.</v>
      </c>
    </row>
    <row r="1018">
      <c r="A1018" s="6" t="str">
        <v>73959W</v>
      </c>
      <c r="B1018" s="6" t="str">
        <v>United States</v>
      </c>
      <c r="C1018" s="6" t="str">
        <v>PowerSchool Group LLC</v>
      </c>
      <c r="D1018" s="6" t="str">
        <v>PowerSchool Holdings Inc</v>
      </c>
      <c r="E1018" s="6" t="str">
        <v>Onex Corp</v>
      </c>
      <c r="F1018" s="6" t="str">
        <v>United States</v>
      </c>
      <c r="G1018" s="6" t="str">
        <v>PeopleAdmin Inc</v>
      </c>
      <c r="H1018" s="6" t="str">
        <v>Prepackaged Software</v>
      </c>
      <c r="I1018" s="6" t="str">
        <v>69726Y</v>
      </c>
      <c r="J1018" s="6" t="str">
        <v>Vista Equity Partners Management LLC</v>
      </c>
      <c r="K1018" s="6" t="str">
        <v>Vista Equity Partners Management LLC</v>
      </c>
      <c r="L1018" s="7">
        <f>=DATE(2018,4,16)</f>
        <v>43205.99949074074</v>
      </c>
      <c r="M1018" s="7">
        <f>=DATE(2018,8,1)</f>
        <v>43312.99949074074</v>
      </c>
      <c r="S1018" s="8">
        <v>27.239</v>
      </c>
      <c r="W1018" s="6" t="str">
        <v>Other Software (inq. Games)</v>
      </c>
      <c r="X1018" s="6" t="str">
        <v>Other Software (inq. Games)</v>
      </c>
      <c r="Y1018" s="6" t="str">
        <v>Primary Business not Hi-Tech</v>
      </c>
      <c r="Z1018" s="6" t="str">
        <v>Primary Business not Hi-Tech</v>
      </c>
      <c r="AA1018" s="6" t="str">
        <v>Communication/Network Software;Utilities/File Mgmt Software;Other Software (inq. Games);Desktop Publishing;Primary Business not Hi-Tech;Applications Software(Home);Internet Services &amp; Software;Applications Software(Business</v>
      </c>
      <c r="AB1018" s="6" t="str">
        <v>Other Software (inq. Games);Applications Software(Business;Communication/Network Software;Internet Services &amp; Software;Utilities/File Mgmt Software;Desktop Publishing;Primary Business not Hi-Tech;Applications Software(Home)</v>
      </c>
      <c r="AH1018" s="6" t="str">
        <v>True</v>
      </c>
      <c r="AI1018" s="6" t="str">
        <v>2018</v>
      </c>
      <c r="AJ1018" s="6" t="str">
        <v>Completed</v>
      </c>
      <c r="AM1018" s="6" t="str">
        <v>Divestiture</v>
      </c>
      <c r="AO1018" s="6" t="str">
        <v>US - PowerSchool Group LLC acquired PeopleAdmin Inc, an Austin-based software publisher, from Vista Equity Partners LLC. Concurrently Onex will acquire a stake in PowerSchool Group LLC.</v>
      </c>
    </row>
    <row r="1019">
      <c r="A1019" s="6" t="str">
        <v>037833</v>
      </c>
      <c r="B1019" s="6" t="str">
        <v>United States</v>
      </c>
      <c r="C1019" s="6" t="str">
        <v>Apple Inc</v>
      </c>
      <c r="D1019" s="6" t="str">
        <v>Apple Inc</v>
      </c>
      <c r="F1019" s="6" t="str">
        <v>United States</v>
      </c>
      <c r="G1019" s="6" t="str">
        <v>Apple Inc</v>
      </c>
      <c r="H1019" s="6" t="str">
        <v>Computer and Office Equipment</v>
      </c>
      <c r="I1019" s="6" t="str">
        <v>037833</v>
      </c>
      <c r="J1019" s="6" t="str">
        <v>Apple Inc</v>
      </c>
      <c r="K1019" s="6" t="str">
        <v>Apple Inc</v>
      </c>
      <c r="L1019" s="7">
        <f>=DATE(2018,5,1)</f>
        <v>43220.99949074074</v>
      </c>
      <c r="N1019" s="8">
        <v>605000</v>
      </c>
      <c r="O1019" s="8">
        <v>605000</v>
      </c>
      <c r="R1019" s="8">
        <v>96995</v>
      </c>
      <c r="S1019" s="8">
        <v>383285</v>
      </c>
      <c r="T1019" s="8">
        <v>-108488</v>
      </c>
      <c r="U1019" s="8">
        <v>3705</v>
      </c>
      <c r="V1019" s="8">
        <v>110543</v>
      </c>
      <c r="W1019" s="6" t="str">
        <v>Disk Drives;Other Software (inq. Games);Monitors/Terminals;Printers;Micro-Computers (PCs);Other Peripherals;Portable Computers;Mainframes &amp; Super Computers</v>
      </c>
      <c r="X1019" s="6" t="str">
        <v>Micro-Computers (PCs);Printers;Other Software (inq. Games);Disk Drives;Portable Computers;Other Peripherals;Monitors/Terminals;Mainframes &amp; Super Computers</v>
      </c>
      <c r="Y1019" s="6" t="str">
        <v>Printers;Micro-Computers (PCs);Portable Computers;Mainframes &amp; Super Computers;Other Software (inq. Games);Monitors/Terminals;Other Peripherals;Disk Drives</v>
      </c>
      <c r="Z1019" s="6" t="str">
        <v>Monitors/Terminals;Disk Drives;Other Software (inq. Games);Printers;Portable Computers;Micro-Computers (PCs);Mainframes &amp; Super Computers;Other Peripherals</v>
      </c>
      <c r="AA1019" s="6" t="str">
        <v>Other Peripherals;Printers;Micro-Computers (PCs);Mainframes &amp; Super Computers;Monitors/Terminals;Portable Computers;Other Software (inq. Games);Disk Drives</v>
      </c>
      <c r="AB1019" s="6" t="str">
        <v>Other Software (inq. Games);Printers;Micro-Computers (PCs);Disk Drives;Other Peripherals;Portable Computers;Mainframes &amp; Super Computers;Monitors/Terminals</v>
      </c>
      <c r="AC1019" s="8">
        <v>605000</v>
      </c>
      <c r="AD1019" s="7">
        <f>=DATE(2024,5,2)</f>
        <v>45413.99949074074</v>
      </c>
      <c r="AH1019" s="6" t="str">
        <v>True</v>
      </c>
      <c r="AJ1019" s="6" t="str">
        <v>Pending</v>
      </c>
      <c r="AM1019" s="6" t="str">
        <v>Repurchase;Privately Negotiated Purchase;Open Market Purchase</v>
      </c>
      <c r="AO1019" s="6" t="str">
        <v>US - On 1 May 2018, the board of Apple Inc, a Cupertino-based manufacturer of personal computers, portable media players, computer software, and computer hardware accessories, authorized the repurchase of up to USD 100 bil of the company's entire share capital, in open market or via privately negotiated transactions. In April 2019, the board authorized an additional USD 75 bil worth of shares in the program. As of March 28, 2020, the company had repurchased 921.262 mil common shares at a total cost of USD 125.212 billion. In April 2020, the board authorized an additional USD 50 bil worth of shares in the program. As of March 27, 2021, the company had repurchased 1.468 bil common shares at a total cost of USD 196.402 bil. In April 2021, the board authorized an additional USD 90 bil worth of shares in the program. As of March 6, 2022, the company had repurchased 1.972 bil common shares at a total cost of USD 271.48 bil. In April 2022, the board authorized an additional USD 90 bil worth of shares in the program. As of April 1, 2023, the company had repurchased 2.537 bil common shares at a total cost of USD 356.302 bil. In May 2023, the board authorized an additional USD 90 bil worth of shares in the program. As of March 30, 2024, the company had repurchased 130.292 bil common shares at a total cost of 433.907 bil. In May 2024, the board authorized an additional USD 110 bil worth of shares in the program.</v>
      </c>
    </row>
    <row r="1020">
      <c r="A1020" s="6" t="str">
        <v>7J8440</v>
      </c>
      <c r="B1020" s="6" t="str">
        <v>United States</v>
      </c>
      <c r="C1020" s="6" t="str">
        <v>Google LLC</v>
      </c>
      <c r="D1020" s="6" t="str">
        <v>Alphabet Inc</v>
      </c>
      <c r="F1020" s="6" t="str">
        <v>United States</v>
      </c>
      <c r="G1020" s="6" t="str">
        <v>Velostrata Inc</v>
      </c>
      <c r="H1020" s="6" t="str">
        <v>Business Services</v>
      </c>
      <c r="I1020" s="6" t="str">
        <v>4H8039</v>
      </c>
      <c r="J1020" s="6" t="str">
        <v>Velostrata Inc</v>
      </c>
      <c r="K1020" s="6" t="str">
        <v>Velostrata Inc</v>
      </c>
      <c r="L1020" s="7">
        <f>=DATE(2018,5,9)</f>
        <v>43228.99949074074</v>
      </c>
      <c r="M1020" s="7">
        <f>=DATE(2018,5,9)</f>
        <v>43228.99949074074</v>
      </c>
      <c r="W1020" s="6" t="str">
        <v>Programming Services;Internet Services &amp; Software</v>
      </c>
      <c r="X1020" s="6" t="str">
        <v>Database Software/Programming;Applications Software(Business;Utilities/File Mgmt Software;Desktop Publishing;Internet Services &amp; Software;Other Software (inq. Games);Applications Software(Home);Communication/Network Software;Programming Services</v>
      </c>
      <c r="Y1020" s="6" t="str">
        <v>Utilities/File Mgmt Software;Internet Services &amp; Software;Desktop Publishing;Applications Software(Home);Applications Software(Business;Programming Services;Other Software (inq. Games);Database Software/Programming;Communication/Network Software</v>
      </c>
      <c r="Z1020" s="6" t="str">
        <v>Applications Software(Home);Applications Software(Business;Programming Services;Communication/Network Software;Internet Services &amp; Software;Other Software (inq. Games);Desktop Publishing;Database Software/Programming;Utilities/File Mgmt Software</v>
      </c>
      <c r="AA1020" s="6" t="str">
        <v>Primary Business not Hi-Tech;Programming Services;Internet Services &amp; Software;Telecommunications Equipment;Computer Consulting Services</v>
      </c>
      <c r="AB1020" s="6" t="str">
        <v>Telecommunications Equipment;Programming Services;Primary Business not Hi-Tech;Internet Services &amp; Software;Computer Consulting Services</v>
      </c>
      <c r="AH1020" s="6" t="str">
        <v>False</v>
      </c>
      <c r="AI1020" s="6" t="str">
        <v>2018</v>
      </c>
      <c r="AJ1020" s="6" t="str">
        <v>Completed</v>
      </c>
      <c r="AM1020" s="6" t="str">
        <v>Not Applicable</v>
      </c>
      <c r="AO1020" s="6" t="str">
        <v>US - Google Inc, a unit of Alphabet Inc, planned to acquire Velostrata Inc, a San Mateo-based provider of custom computer programming services.</v>
      </c>
    </row>
    <row r="1021">
      <c r="A1021" s="6" t="str">
        <v>594918</v>
      </c>
      <c r="B1021" s="6" t="str">
        <v>United States</v>
      </c>
      <c r="C1021" s="6" t="str">
        <v>Microsoft Corp</v>
      </c>
      <c r="D1021" s="6" t="str">
        <v>Microsoft Corp</v>
      </c>
      <c r="F1021" s="6" t="str">
        <v>United States</v>
      </c>
      <c r="G1021" s="6" t="str">
        <v>Semantic Machines Inc</v>
      </c>
      <c r="H1021" s="6" t="str">
        <v>Prepackaged Software</v>
      </c>
      <c r="I1021" s="6" t="str">
        <v>4H8012</v>
      </c>
      <c r="J1021" s="6" t="str">
        <v>Semantic Machines Inc</v>
      </c>
      <c r="K1021" s="6" t="str">
        <v>Semantic Machines Inc</v>
      </c>
      <c r="L1021" s="7">
        <f>=DATE(2018,5,20)</f>
        <v>43239.99949074074</v>
      </c>
      <c r="M1021" s="7">
        <f>=DATE(2018,5,20)</f>
        <v>43239.99949074074</v>
      </c>
      <c r="W1021" s="6" t="str">
        <v>Internet Services &amp; Software;Computer Consulting Services;Applications Software(Business;Other Peripherals;Monitors/Terminals;Operating Systems</v>
      </c>
      <c r="X1021" s="6" t="str">
        <v>Utilities/File Mgmt Software;Applications Software(Home);Communication/Network Software;Desktop Publishing;Other Software (inq. Games);Internet Services &amp; Software;Applications Software(Business</v>
      </c>
      <c r="Y1021" s="6" t="str">
        <v>Desktop Publishing;Utilities/File Mgmt Software;Internet Services &amp; Software;Other Software (inq. Games);Applications Software(Business;Communication/Network Software;Applications Software(Home)</v>
      </c>
      <c r="Z1021" s="6" t="str">
        <v>Utilities/File Mgmt Software;Desktop Publishing;Communication/Network Software;Internet Services &amp; Software;Applications Software(Home);Applications Software(Business;Other Software (inq. Games)</v>
      </c>
      <c r="AA1021" s="6" t="str">
        <v>Monitors/Terminals;Computer Consulting Services;Operating Systems;Applications Software(Business;Internet Services &amp; Software;Other Peripherals</v>
      </c>
      <c r="AB1021" s="6" t="str">
        <v>Internet Services &amp; Software;Computer Consulting Services;Monitors/Terminals;Other Peripherals;Applications Software(Business;Operating Systems</v>
      </c>
      <c r="AH1021" s="6" t="str">
        <v>False</v>
      </c>
      <c r="AI1021" s="6" t="str">
        <v>2018</v>
      </c>
      <c r="AJ1021" s="6" t="str">
        <v>Completed</v>
      </c>
      <c r="AM1021" s="6" t="str">
        <v>Not Applicable</v>
      </c>
      <c r="AO1021" s="6" t="str">
        <v>US - Microsoft Corp acquired Semantic Machines Inc, a Newton-based software publisher.</v>
      </c>
    </row>
    <row r="1022">
      <c r="A1022" s="6" t="str">
        <v>594918</v>
      </c>
      <c r="B1022" s="6" t="str">
        <v>United States</v>
      </c>
      <c r="C1022" s="6" t="str">
        <v>Microsoft Corp</v>
      </c>
      <c r="D1022" s="6" t="str">
        <v>Microsoft Corp</v>
      </c>
      <c r="F1022" s="6" t="str">
        <v>United States</v>
      </c>
      <c r="G1022" s="6" t="str">
        <v>GitHub Inc</v>
      </c>
      <c r="H1022" s="6" t="str">
        <v>Business Services</v>
      </c>
      <c r="I1022" s="6" t="str">
        <v>37657R</v>
      </c>
      <c r="J1022" s="6" t="str">
        <v>GitHub Inc</v>
      </c>
      <c r="K1022" s="6" t="str">
        <v>GitHub Inc</v>
      </c>
      <c r="L1022" s="7">
        <f>=DATE(2018,6,4)</f>
        <v>43254.99949074074</v>
      </c>
      <c r="M1022" s="7">
        <f>=DATE(2018,10,26)</f>
        <v>43398.99949074074</v>
      </c>
      <c r="N1022" s="8">
        <v>7500</v>
      </c>
      <c r="O1022" s="8">
        <v>7500</v>
      </c>
      <c r="W1022" s="6" t="str">
        <v>Other Peripherals;Monitors/Terminals;Applications Software(Business;Computer Consulting Services;Operating Systems;Internet Services &amp; Software</v>
      </c>
      <c r="X1022" s="6" t="str">
        <v>Internet Services &amp; Software</v>
      </c>
      <c r="Y1022" s="6" t="str">
        <v>Internet Services &amp; Software</v>
      </c>
      <c r="Z1022" s="6" t="str">
        <v>Internet Services &amp; Software</v>
      </c>
      <c r="AA1022" s="6" t="str">
        <v>Monitors/Terminals;Operating Systems;Applications Software(Business;Internet Services &amp; Software;Computer Consulting Services;Other Peripherals</v>
      </c>
      <c r="AB1022" s="6" t="str">
        <v>Applications Software(Business;Internet Services &amp; Software;Monitors/Terminals;Other Peripherals;Operating Systems;Computer Consulting Services</v>
      </c>
      <c r="AC1022" s="8">
        <v>7500</v>
      </c>
      <c r="AD1022" s="7">
        <f>=DATE(2018,6,4)</f>
        <v>43254.99949074074</v>
      </c>
      <c r="AH1022" s="6" t="str">
        <v>False</v>
      </c>
      <c r="AI1022" s="6" t="str">
        <v>2018</v>
      </c>
      <c r="AJ1022" s="6" t="str">
        <v>Completed</v>
      </c>
      <c r="AM1022" s="6" t="str">
        <v>Rumored Deal</v>
      </c>
      <c r="AO1022" s="6" t="str">
        <v>US - Microsoft Corp (Microsoft) acquired GitHub Inc (Github), a San Francisco-based internet service provider, for a total USD 7.5 bil. The consideration was to consist of the issuance of undisclosed amount of common shares valued at USD 7.5 bil. Originally, Microsoft was rumored to be planning to acquire Github.</v>
      </c>
    </row>
    <row r="1023">
      <c r="A1023" s="6" t="str">
        <v>59476P</v>
      </c>
      <c r="B1023" s="6" t="str">
        <v>United States</v>
      </c>
      <c r="C1023" s="6" t="str">
        <v>Microsoft Game Studios</v>
      </c>
      <c r="D1023" s="6" t="str">
        <v>Microsoft Corp</v>
      </c>
      <c r="F1023" s="6" t="str">
        <v>United Kingdom</v>
      </c>
      <c r="G1023" s="6" t="str">
        <v>Playground Games Ltd</v>
      </c>
      <c r="H1023" s="6" t="str">
        <v>Prepackaged Software</v>
      </c>
      <c r="I1023" s="6" t="str">
        <v>8H3553</v>
      </c>
      <c r="J1023" s="6" t="str">
        <v>Playground Games Ltd</v>
      </c>
      <c r="K1023" s="6" t="str">
        <v>Playground Games Ltd</v>
      </c>
      <c r="L1023" s="7">
        <f>=DATE(2018,6,5)</f>
        <v>43255.99949074074</v>
      </c>
      <c r="M1023" s="7">
        <f>=DATE(2018,6,10)</f>
        <v>43260.99949074074</v>
      </c>
      <c r="R1023" s="8">
        <v>7.45865311858177</v>
      </c>
      <c r="S1023" s="8">
        <v>76.3782293806075</v>
      </c>
      <c r="W1023" s="6" t="str">
        <v>Desktop Publishing;Communication/Network Software;Applications Software(Home);Utilities/File Mgmt Software;Applications Software(Business;Other Software (inq. Games);Internet Services &amp; Software</v>
      </c>
      <c r="X1023" s="6" t="str">
        <v>Other Software (inq. Games)</v>
      </c>
      <c r="Y1023" s="6" t="str">
        <v>Other Software (inq. Games)</v>
      </c>
      <c r="Z1023" s="6" t="str">
        <v>Other Software (inq. Games)</v>
      </c>
      <c r="AA1023" s="6" t="str">
        <v>Operating Systems;Computer Consulting Services;Internet Services &amp; Software;Applications Software(Business;Monitors/Terminals;Other Peripherals</v>
      </c>
      <c r="AB1023" s="6" t="str">
        <v>Other Peripherals;Monitors/Terminals;Applications Software(Business;Operating Systems;Internet Services &amp; Software;Computer Consulting Services</v>
      </c>
      <c r="AH1023" s="6" t="str">
        <v>True</v>
      </c>
      <c r="AI1023" s="6" t="str">
        <v>2018</v>
      </c>
      <c r="AJ1023" s="6" t="str">
        <v>Completed</v>
      </c>
      <c r="AM1023" s="6" t="str">
        <v>Not Applicable</v>
      </c>
      <c r="AO1023" s="6" t="str">
        <v>UK - Microsoft Game Studios of the US, a unit of Microsoft Corp, acquired Playground Games Ltd, a Leamington Spa-based software publisher.</v>
      </c>
    </row>
    <row r="1024">
      <c r="A1024" s="6" t="str">
        <v>59476P</v>
      </c>
      <c r="B1024" s="6" t="str">
        <v>United States</v>
      </c>
      <c r="C1024" s="6" t="str">
        <v>Microsoft Game Studios</v>
      </c>
      <c r="D1024" s="6" t="str">
        <v>Microsoft Corp</v>
      </c>
      <c r="E1024" s="6" t="str">
        <v>Microsoft Game Studios;Microsoft Game Studios</v>
      </c>
      <c r="F1024" s="6" t="str">
        <v>Canada</v>
      </c>
      <c r="G1024" s="6" t="str">
        <v>Compulsion Games Inc</v>
      </c>
      <c r="H1024" s="6" t="str">
        <v>Prepackaged Software</v>
      </c>
      <c r="I1024" s="6" t="str">
        <v>8H3186</v>
      </c>
      <c r="J1024" s="6" t="str">
        <v>Compulsion Games Inc</v>
      </c>
      <c r="K1024" s="6" t="str">
        <v>Compulsion Games Inc</v>
      </c>
      <c r="L1024" s="7">
        <f>=DATE(2018,6,10)</f>
        <v>43260.99949074074</v>
      </c>
      <c r="M1024" s="7">
        <f>=DATE(2018,10,15)</f>
        <v>43387.99949074074</v>
      </c>
      <c r="W1024" s="6" t="str">
        <v>Applications Software(Home);Utilities/File Mgmt Software;Desktop Publishing;Applications Software(Business;Other Software (inq. Games);Internet Services &amp; Software;Communication/Network Software</v>
      </c>
      <c r="X1024" s="6" t="str">
        <v>Other Software (inq. Games)</v>
      </c>
      <c r="Y1024" s="6" t="str">
        <v>Other Software (inq. Games)</v>
      </c>
      <c r="Z1024" s="6" t="str">
        <v>Other Software (inq. Games)</v>
      </c>
      <c r="AA1024" s="6" t="str">
        <v>Monitors/Terminals;Computer Consulting Services;Other Peripherals;Internet Services &amp; Software;Applications Software(Business;Operating Systems</v>
      </c>
      <c r="AB1024" s="6" t="str">
        <v>Applications Software(Business;Other Peripherals;Monitors/Terminals;Internet Services &amp; Software;Computer Consulting Services;Operating Systems</v>
      </c>
      <c r="AH1024" s="6" t="str">
        <v>False</v>
      </c>
      <c r="AI1024" s="6" t="str">
        <v>2018</v>
      </c>
      <c r="AJ1024" s="6" t="str">
        <v>Completed</v>
      </c>
      <c r="AM1024" s="6" t="str">
        <v>Not Applicable</v>
      </c>
      <c r="AO1024" s="6" t="str">
        <v>CANADA - Microsoft Game Studios (Microsoft Studios) of the US, a unit of Microsoft Corp, acquired Compulsion Games Inc, a Montreal-based video game developer. Concurrently, Microsoft Studios acquired Ninja Theory and Undead Labs.</v>
      </c>
    </row>
    <row r="1025">
      <c r="A1025" s="6" t="str">
        <v>59476P</v>
      </c>
      <c r="B1025" s="6" t="str">
        <v>United States</v>
      </c>
      <c r="C1025" s="6" t="str">
        <v>Microsoft Game Studios</v>
      </c>
      <c r="D1025" s="6" t="str">
        <v>Microsoft Corp</v>
      </c>
      <c r="E1025" s="6" t="str">
        <v>Microsoft Game Studios;Microsoft Game Studios</v>
      </c>
      <c r="F1025" s="6" t="str">
        <v>United Kingdom</v>
      </c>
      <c r="G1025" s="6" t="str">
        <v>Ninja Theory Ltd</v>
      </c>
      <c r="H1025" s="6" t="str">
        <v>Prepackaged Software</v>
      </c>
      <c r="I1025" s="6" t="str">
        <v>8H3565</v>
      </c>
      <c r="J1025" s="6" t="str">
        <v>Ninja Theory Ltd</v>
      </c>
      <c r="K1025" s="6" t="str">
        <v>Ninja Theory Ltd</v>
      </c>
      <c r="L1025" s="7">
        <f>=DATE(2018,6,10)</f>
        <v>43260.99949074074</v>
      </c>
      <c r="M1025" s="7">
        <f>=DATE(2018,6,10)</f>
        <v>43260.99949074074</v>
      </c>
      <c r="R1025" s="8">
        <v>9.1055611615652</v>
      </c>
      <c r="S1025" s="8">
        <v>23.5466420002242</v>
      </c>
      <c r="W1025" s="6" t="str">
        <v>Communication/Network Software;Utilities/File Mgmt Software;Applications Software(Business;Other Software (inq. Games);Internet Services &amp; Software;Desktop Publishing;Applications Software(Home)</v>
      </c>
      <c r="X1025" s="6" t="str">
        <v>Communication/Network Software</v>
      </c>
      <c r="Y1025" s="6" t="str">
        <v>Communication/Network Software</v>
      </c>
      <c r="Z1025" s="6" t="str">
        <v>Communication/Network Software</v>
      </c>
      <c r="AA1025" s="6" t="str">
        <v>Monitors/Terminals;Operating Systems;Computer Consulting Services;Internet Services &amp; Software;Applications Software(Business;Other Peripherals</v>
      </c>
      <c r="AB1025" s="6" t="str">
        <v>Operating Systems;Internet Services &amp; Software;Monitors/Terminals;Other Peripherals;Computer Consulting Services;Applications Software(Business</v>
      </c>
      <c r="AH1025" s="6" t="str">
        <v>True</v>
      </c>
      <c r="AI1025" s="6" t="str">
        <v>2018</v>
      </c>
      <c r="AJ1025" s="6" t="str">
        <v>Completed</v>
      </c>
      <c r="AM1025" s="6" t="str">
        <v>Not Applicable</v>
      </c>
      <c r="AO1025" s="6" t="str">
        <v>UK - Microsoft Game Studios (Microsoft) of the US, a unit of Microsoft Corp, acquired Ninja Theory Ltd, a Cambridge-based software publisher. Concurrently, Microsoft acquired Undead Labs LLC and Compulsion Games Inc.</v>
      </c>
    </row>
    <row r="1026">
      <c r="A1026" s="6" t="str">
        <v>59476P</v>
      </c>
      <c r="B1026" s="6" t="str">
        <v>United States</v>
      </c>
      <c r="C1026" s="6" t="str">
        <v>Microsoft Game Studios</v>
      </c>
      <c r="D1026" s="6" t="str">
        <v>Microsoft Corp</v>
      </c>
      <c r="E1026" s="6" t="str">
        <v>Microsoft Game Studios;Microsoft Game Studios</v>
      </c>
      <c r="F1026" s="6" t="str">
        <v>United States</v>
      </c>
      <c r="G1026" s="6" t="str">
        <v>Undead Labs LLC</v>
      </c>
      <c r="H1026" s="6" t="str">
        <v>Prepackaged Software</v>
      </c>
      <c r="I1026" s="6" t="str">
        <v>4H8316</v>
      </c>
      <c r="J1026" s="6" t="str">
        <v>Undead Labs LLC</v>
      </c>
      <c r="K1026" s="6" t="str">
        <v>Undead Labs LLC</v>
      </c>
      <c r="L1026" s="7">
        <f>=DATE(2018,6,11)</f>
        <v>43261.99949074074</v>
      </c>
      <c r="M1026" s="7">
        <f>=DATE(2018,6,11)</f>
        <v>43261.99949074074</v>
      </c>
      <c r="W1026" s="6" t="str">
        <v>Communication/Network Software;Utilities/File Mgmt Software;Applications Software(Home);Applications Software(Business;Other Software (inq. Games);Internet Services &amp; Software;Desktop Publishing</v>
      </c>
      <c r="X1026" s="6" t="str">
        <v>Applications Software(Business;Other Software (inq. Games);Utilities/File Mgmt Software;Internet Services &amp; Software;Applications Software(Home);Desktop Publishing;Communication/Network Software</v>
      </c>
      <c r="Y1026" s="6" t="str">
        <v>Communication/Network Software;Applications Software(Business;Desktop Publishing;Applications Software(Home);Internet Services &amp; Software;Utilities/File Mgmt Software;Other Software (inq. Games)</v>
      </c>
      <c r="Z1026" s="6" t="str">
        <v>Desktop Publishing;Communication/Network Software;Applications Software(Home);Utilities/File Mgmt Software;Other Software (inq. Games);Applications Software(Business;Internet Services &amp; Software</v>
      </c>
      <c r="AA1026" s="6" t="str">
        <v>Other Peripherals;Computer Consulting Services;Applications Software(Business;Operating Systems;Monitors/Terminals;Internet Services &amp; Software</v>
      </c>
      <c r="AB1026" s="6" t="str">
        <v>Computer Consulting Services;Internet Services &amp; Software;Other Peripherals;Monitors/Terminals;Applications Software(Business;Operating Systems</v>
      </c>
      <c r="AH1026" s="6" t="str">
        <v>False</v>
      </c>
      <c r="AI1026" s="6" t="str">
        <v>2018</v>
      </c>
      <c r="AJ1026" s="6" t="str">
        <v>Completed</v>
      </c>
      <c r="AM1026" s="6" t="str">
        <v>Not Applicable</v>
      </c>
      <c r="AO1026" s="6" t="str">
        <v>US - Microsoft Game Studios, a unit of Microsoft Corp, acquired Undead Labs LLC, a Seattle-based software developer. Concurrently, Microsoft Studios acquired Ninja Theory and Compulsion Games.</v>
      </c>
    </row>
    <row r="1027">
      <c r="A1027" s="6" t="str">
        <v>594918</v>
      </c>
      <c r="B1027" s="6" t="str">
        <v>United States</v>
      </c>
      <c r="C1027" s="6" t="str">
        <v>Microsoft Corp</v>
      </c>
      <c r="D1027" s="6" t="str">
        <v>Microsoft Corp</v>
      </c>
      <c r="F1027" s="6" t="str">
        <v>United States</v>
      </c>
      <c r="G1027" s="6" t="str">
        <v>Flipgrid Inc</v>
      </c>
      <c r="H1027" s="6" t="str">
        <v>Prepackaged Software</v>
      </c>
      <c r="I1027" s="6" t="str">
        <v>5H2630</v>
      </c>
      <c r="J1027" s="6" t="str">
        <v>Flipgrid Inc</v>
      </c>
      <c r="K1027" s="6" t="str">
        <v>Flipgrid Inc</v>
      </c>
      <c r="L1027" s="7">
        <f>=DATE(2018,6,18)</f>
        <v>43268.99949074074</v>
      </c>
      <c r="M1027" s="7">
        <f>=DATE(2018,6,18)</f>
        <v>43268.99949074074</v>
      </c>
      <c r="W1027" s="6" t="str">
        <v>Internet Services &amp; Software;Computer Consulting Services;Monitors/Terminals;Applications Software(Business;Operating Systems;Other Peripherals</v>
      </c>
      <c r="X1027" s="6" t="str">
        <v>Internet Services &amp; Software;Other Software (inq. Games);Utilities/File Mgmt Software;Communication/Network Software;Desktop Publishing;Applications Software(Home);Applications Software(Business</v>
      </c>
      <c r="Y1027" s="6" t="str">
        <v>Other Software (inq. Games);Communication/Network Software;Internet Services &amp; Software;Applications Software(Home);Desktop Publishing;Applications Software(Business;Utilities/File Mgmt Software</v>
      </c>
      <c r="Z1027" s="6" t="str">
        <v>Applications Software(Business;Other Software (inq. Games);Utilities/File Mgmt Software;Communication/Network Software;Applications Software(Home);Desktop Publishing;Internet Services &amp; Software</v>
      </c>
      <c r="AA1027" s="6" t="str">
        <v>Other Peripherals;Operating Systems;Applications Software(Business;Computer Consulting Services;Internet Services &amp; Software;Monitors/Terminals</v>
      </c>
      <c r="AB1027" s="6" t="str">
        <v>Computer Consulting Services;Other Peripherals;Operating Systems;Monitors/Terminals;Applications Software(Business;Internet Services &amp; Software</v>
      </c>
      <c r="AH1027" s="6" t="str">
        <v>False</v>
      </c>
      <c r="AI1027" s="6" t="str">
        <v>2018</v>
      </c>
      <c r="AJ1027" s="6" t="str">
        <v>Completed</v>
      </c>
      <c r="AM1027" s="6" t="str">
        <v>Not Applicable</v>
      </c>
      <c r="AO1027" s="6" t="str">
        <v>US - Microsoft Corp acquired Flipgrid Inc, a Minneapolis-based software publisher.</v>
      </c>
    </row>
    <row r="1028">
      <c r="A1028" s="6" t="str">
        <v>023135</v>
      </c>
      <c r="B1028" s="6" t="str">
        <v>United States</v>
      </c>
      <c r="C1028" s="6" t="str">
        <v>Amazon.com Inc</v>
      </c>
      <c r="D1028" s="6" t="str">
        <v>Amazon.com Inc</v>
      </c>
      <c r="F1028" s="6" t="str">
        <v>United States</v>
      </c>
      <c r="G1028" s="6" t="str">
        <v>PillPack Inc</v>
      </c>
      <c r="H1028" s="6" t="str">
        <v>Drugs</v>
      </c>
      <c r="I1028" s="6" t="str">
        <v>8E2135</v>
      </c>
      <c r="J1028" s="6" t="str">
        <v>PillPack Inc</v>
      </c>
      <c r="K1028" s="6" t="str">
        <v>PillPack Inc</v>
      </c>
      <c r="L1028" s="7">
        <f>=DATE(2018,6,28)</f>
        <v>43278.99949074074</v>
      </c>
      <c r="W1028" s="6" t="str">
        <v>Primary Business not Hi-Tech</v>
      </c>
      <c r="X1028" s="6" t="str">
        <v>General Pharmaceuticals;Over-The-Counter Drugs</v>
      </c>
      <c r="Y1028" s="6" t="str">
        <v>Over-The-Counter Drugs;General Pharmaceuticals</v>
      </c>
      <c r="Z1028" s="6" t="str">
        <v>General Pharmaceuticals;Over-The-Counter Drugs</v>
      </c>
      <c r="AA1028" s="6" t="str">
        <v>Primary Business not Hi-Tech</v>
      </c>
      <c r="AB1028" s="6" t="str">
        <v>Primary Business not Hi-Tech</v>
      </c>
      <c r="AD1028" s="7">
        <f>=DATE(2018,6,28)</f>
        <v>43278.99949074074</v>
      </c>
      <c r="AH1028" s="6" t="str">
        <v>False</v>
      </c>
      <c r="AJ1028" s="6" t="str">
        <v>Pending</v>
      </c>
      <c r="AM1028" s="6" t="str">
        <v>Not Applicable</v>
      </c>
      <c r="AO1028" s="6" t="str">
        <v>US - Amazon.Com Inc definitively agreed to acquire PillPack Inc, a Manchester-based drugs merchant wholesaler. The terms of the transaction were not disclosed, but according to sources close to the transaction, the value was estimated at USD 1 bil.</v>
      </c>
    </row>
    <row r="1029">
      <c r="A1029" s="6" t="str">
        <v>30303M</v>
      </c>
      <c r="B1029" s="6" t="str">
        <v>United States</v>
      </c>
      <c r="C1029" s="6" t="str">
        <v>Facebook Inc</v>
      </c>
      <c r="D1029" s="6" t="str">
        <v>Facebook Inc</v>
      </c>
      <c r="F1029" s="6" t="str">
        <v>United Kingdom</v>
      </c>
      <c r="G1029" s="6" t="str">
        <v>Bloomsbury AI Ltd</v>
      </c>
      <c r="H1029" s="6" t="str">
        <v>Prepackaged Software</v>
      </c>
      <c r="I1029" s="6" t="str">
        <v>5H4391</v>
      </c>
      <c r="J1029" s="6" t="str">
        <v>Bloomsbury AI Ltd</v>
      </c>
      <c r="K1029" s="6" t="str">
        <v>Bloomsbury AI Ltd</v>
      </c>
      <c r="L1029" s="7">
        <f>=DATE(2018,7,3)</f>
        <v>43283.99949074074</v>
      </c>
      <c r="M1029" s="7">
        <f>=DATE(2018,7,3)</f>
        <v>43283.99949074074</v>
      </c>
      <c r="W1029" s="6" t="str">
        <v>Internet Services &amp; Software</v>
      </c>
      <c r="X1029" s="6" t="str">
        <v>Desktop Publishing;Programming Services;Applications Software(Business;Internet Services &amp; Software</v>
      </c>
      <c r="Y1029" s="6" t="str">
        <v>Internet Services &amp; Software;Applications Software(Business;Desktop Publishing;Programming Services</v>
      </c>
      <c r="Z1029" s="6" t="str">
        <v>Desktop Publishing;Internet Services &amp; Software;Applications Software(Business;Programming Services</v>
      </c>
      <c r="AA1029" s="6" t="str">
        <v>Internet Services &amp; Software</v>
      </c>
      <c r="AB1029" s="6" t="str">
        <v>Internet Services &amp; Software</v>
      </c>
      <c r="AD1029" s="7">
        <f>=DATE(2018,7,3)</f>
        <v>43283.99949074074</v>
      </c>
      <c r="AH1029" s="6" t="str">
        <v>False</v>
      </c>
      <c r="AI1029" s="6" t="str">
        <v>2018</v>
      </c>
      <c r="AJ1029" s="6" t="str">
        <v>Completed</v>
      </c>
      <c r="AM1029" s="6" t="str">
        <v>Financial Acquiror</v>
      </c>
      <c r="AO1029" s="6" t="str">
        <v>UK - Facebook Inc of the US acquired Bloomsbury AI Ltd, a London-based software publisher. The terms of the transaction were not disclosed, but according to sources close to the transaction, the value was estimated at GBP 30 mil (USD 39.423 mil). Originally, in July 2018, Facebook was rumored to be planning to acquire Bloomsbury.</v>
      </c>
    </row>
    <row r="1030">
      <c r="A1030" s="6" t="str">
        <v>037833</v>
      </c>
      <c r="B1030" s="6" t="str">
        <v>United States</v>
      </c>
      <c r="C1030" s="6" t="str">
        <v>Apple Inc</v>
      </c>
      <c r="D1030" s="6" t="str">
        <v>Apple Inc</v>
      </c>
      <c r="F1030" s="6" t="str">
        <v>Canada</v>
      </c>
      <c r="G1030" s="6" t="str">
        <v>Agilebits Inc-Password1</v>
      </c>
      <c r="H1030" s="6" t="str">
        <v>Business Services</v>
      </c>
      <c r="I1030" s="6" t="str">
        <v>5H6109</v>
      </c>
      <c r="J1030" s="6" t="str">
        <v>AgileBits Inc</v>
      </c>
      <c r="K1030" s="6" t="str">
        <v>AgileBits Inc</v>
      </c>
      <c r="L1030" s="7">
        <f>=DATE(2018,7,10)</f>
        <v>43290.99949074074</v>
      </c>
      <c r="W1030" s="6" t="str">
        <v>Disk Drives;Printers;Other Peripherals;Other Software (inq. Games);Micro-Computers (PCs);Monitors/Terminals;Mainframes &amp; Super Computers;Portable Computers</v>
      </c>
      <c r="X1030" s="6" t="str">
        <v>Other Software (inq. Games);Internet Services &amp; Software;Primary Business not Hi-Tech;Utilities/File Mgmt Software;Desktop Publishing;Applications Software(Home);Applications Software(Business;Communication/Network Software</v>
      </c>
      <c r="Y1030" s="6" t="str">
        <v>Utilities/File Mgmt Software;Communication/Network Software;Other Software (inq. Games);Internet Services &amp; Software;Desktop Publishing;Applications Software(Home);Applications Software(Business;Primary Business not Hi-Tech</v>
      </c>
      <c r="Z1030" s="6" t="str">
        <v>Other Software (inq. Games);Primary Business not Hi-Tech;Internet Services &amp; Software;Communication/Network Software;Applications Software(Business;Applications Software(Home);Utilities/File Mgmt Software;Desktop Publishing</v>
      </c>
      <c r="AA1030" s="6" t="str">
        <v>Disk Drives;Other Peripherals;Micro-Computers (PCs);Other Software (inq. Games);Mainframes &amp; Super Computers;Monitors/Terminals;Portable Computers;Printers</v>
      </c>
      <c r="AB1030" s="6" t="str">
        <v>Micro-Computers (PCs);Monitors/Terminals;Portable Computers;Printers;Other Software (inq. Games);Mainframes &amp; Super Computers;Disk Drives;Other Peripherals</v>
      </c>
      <c r="AH1030" s="6" t="str">
        <v>False</v>
      </c>
      <c r="AJ1030" s="6" t="str">
        <v>Dismissed Rumor</v>
      </c>
      <c r="AM1030" s="6" t="str">
        <v>Rumored Deal;Divestiture</v>
      </c>
      <c r="AO1030" s="6" t="str">
        <v>CANADA - Apple Inc of the US was rumored to be planning to acquire password1 of Agilebits Inc, a Toronto-based provider of security systems services. The Current status of this deal is unknown.</v>
      </c>
    </row>
    <row r="1031">
      <c r="A1031" s="6" t="str">
        <v>30303M</v>
      </c>
      <c r="B1031" s="6" t="str">
        <v>United States</v>
      </c>
      <c r="C1031" s="6" t="str">
        <v>Facebook Inc</v>
      </c>
      <c r="D1031" s="6" t="str">
        <v>Facebook Inc</v>
      </c>
      <c r="F1031" s="6" t="str">
        <v>United States</v>
      </c>
      <c r="G1031" s="6" t="str">
        <v>Redkix Inc</v>
      </c>
      <c r="H1031" s="6" t="str">
        <v>Prepackaged Software</v>
      </c>
      <c r="I1031" s="6" t="str">
        <v>6H0237</v>
      </c>
      <c r="J1031" s="6" t="str">
        <v>Redkix Inc</v>
      </c>
      <c r="K1031" s="6" t="str">
        <v>Redkix Inc</v>
      </c>
      <c r="L1031" s="7">
        <f>=DATE(2018,7,26)</f>
        <v>43306.99949074074</v>
      </c>
      <c r="W1031" s="6" t="str">
        <v>Internet Services &amp; Software</v>
      </c>
      <c r="X1031" s="6" t="str">
        <v>Other Software (inq. Games);Applications Software(Home);Desktop Publishing;Applications Software(Business;Communication/Network Software;Internet Services &amp; Software;Utilities/File Mgmt Software</v>
      </c>
      <c r="Y1031" s="6" t="str">
        <v>Utilities/File Mgmt Software;Applications Software(Business;Other Software (inq. Games);Communication/Network Software;Internet Services &amp; Software;Applications Software(Home);Desktop Publishing</v>
      </c>
      <c r="Z1031" s="6" t="str">
        <v>Desktop Publishing;Communication/Network Software;Applications Software(Business;Utilities/File Mgmt Software;Internet Services &amp; Software;Applications Software(Home);Other Software (inq. Games)</v>
      </c>
      <c r="AA1031" s="6" t="str">
        <v>Internet Services &amp; Software</v>
      </c>
      <c r="AB1031" s="6" t="str">
        <v>Internet Services &amp; Software</v>
      </c>
      <c r="AD1031" s="7">
        <f>=DATE(2018,7,26)</f>
        <v>43306.99949074074</v>
      </c>
      <c r="AH1031" s="6" t="str">
        <v>False</v>
      </c>
      <c r="AJ1031" s="6" t="str">
        <v>Pending</v>
      </c>
      <c r="AM1031" s="6" t="str">
        <v>Financial Acquiror</v>
      </c>
      <c r="AO1031" s="6" t="str">
        <v>US - Facebook Inc agreed to acquire Redkix Inc, a San Mateo-based software publisher. The terms of the transaction were not disclosed, but according to sources close to the transaction, the value was estimated at USD 100 mil.</v>
      </c>
    </row>
    <row r="1032">
      <c r="A1032" s="6" t="str">
        <v>594918</v>
      </c>
      <c r="B1032" s="6" t="str">
        <v>United States</v>
      </c>
      <c r="C1032" s="6" t="str">
        <v>Microsoft Corp</v>
      </c>
      <c r="D1032" s="6" t="str">
        <v>Microsoft Corp</v>
      </c>
      <c r="F1032" s="6" t="str">
        <v>United States</v>
      </c>
      <c r="G1032" s="6" t="str">
        <v>Obsidian Entertainment Inc</v>
      </c>
      <c r="H1032" s="6" t="str">
        <v>Prepackaged Software</v>
      </c>
      <c r="I1032" s="6" t="str">
        <v>7H4963</v>
      </c>
      <c r="J1032" s="6" t="str">
        <v>Obsidian Entertainment Inc</v>
      </c>
      <c r="K1032" s="6" t="str">
        <v>Obsidian Entertainment Inc</v>
      </c>
      <c r="L1032" s="7">
        <f>=DATE(2018,8,10)</f>
        <v>43321.99949074074</v>
      </c>
      <c r="W1032" s="6" t="str">
        <v>Internet Services &amp; Software;Applications Software(Business;Computer Consulting Services;Operating Systems;Monitors/Terminals;Other Peripherals</v>
      </c>
      <c r="X1032" s="6" t="str">
        <v>Applications Software(Home);Other Software (inq. Games)</v>
      </c>
      <c r="Y1032" s="6" t="str">
        <v>Applications Software(Home);Other Software (inq. Games)</v>
      </c>
      <c r="Z1032" s="6" t="str">
        <v>Applications Software(Home);Other Software (inq. Games)</v>
      </c>
      <c r="AA1032" s="6" t="str">
        <v>Computer Consulting Services;Applications Software(Business;Monitors/Terminals;Internet Services &amp; Software;Operating Systems;Other Peripherals</v>
      </c>
      <c r="AB1032" s="6" t="str">
        <v>Computer Consulting Services;Operating Systems;Monitors/Terminals;Applications Software(Business;Internet Services &amp; Software;Other Peripherals</v>
      </c>
      <c r="AH1032" s="6" t="str">
        <v>False</v>
      </c>
      <c r="AJ1032" s="6" t="str">
        <v>Dismissed Rumor</v>
      </c>
      <c r="AM1032" s="6" t="str">
        <v>Rumored Deal</v>
      </c>
      <c r="AO1032" s="6" t="str">
        <v>US - Microsoft Corp was rumored to be planning to acquire Obsidian Entertainment Inc, an Irvine-based video game developer. The Current status of this deal is unknown.</v>
      </c>
    </row>
    <row r="1033">
      <c r="A1033" s="6" t="str">
        <v>594918</v>
      </c>
      <c r="B1033" s="6" t="str">
        <v>United States</v>
      </c>
      <c r="C1033" s="6" t="str">
        <v>Microsoft Corp</v>
      </c>
      <c r="D1033" s="6" t="str">
        <v>Microsoft Corp</v>
      </c>
      <c r="F1033" s="6" t="str">
        <v>United States</v>
      </c>
      <c r="G1033" s="6" t="str">
        <v>Lobe Artificial Intelligence Inc</v>
      </c>
      <c r="H1033" s="6" t="str">
        <v>Communications Equipment</v>
      </c>
      <c r="I1033" s="6" t="str">
        <v>8H3452</v>
      </c>
      <c r="J1033" s="6" t="str">
        <v>Lobe Artificial Intelligence Inc</v>
      </c>
      <c r="K1033" s="6" t="str">
        <v>Lobe Artificial Intelligence Inc</v>
      </c>
      <c r="L1033" s="7">
        <f>=DATE(2018,9,13)</f>
        <v>43355.99949074074</v>
      </c>
      <c r="M1033" s="7">
        <f>=DATE(2018,9,13)</f>
        <v>43355.99949074074</v>
      </c>
      <c r="W1033" s="6" t="str">
        <v>Computer Consulting Services;Internet Services &amp; Software;Operating Systems;Applications Software(Business;Other Peripherals;Monitors/Terminals</v>
      </c>
      <c r="X1033" s="6" t="str">
        <v>Telephone Interconnect Equip;Alarm Systems;Data Commun(Exclude networking;Messaging Systems;Other Telecommunications Equip;Microwave Communications</v>
      </c>
      <c r="Y1033" s="6" t="str">
        <v>Other Telecommunications Equip;Data Commun(Exclude networking;Microwave Communications;Messaging Systems;Telephone Interconnect Equip;Alarm Systems</v>
      </c>
      <c r="Z1033" s="6" t="str">
        <v>Other Telecommunications Equip;Alarm Systems;Telephone Interconnect Equip;Messaging Systems;Microwave Communications;Data Commun(Exclude networking</v>
      </c>
      <c r="AA1033" s="6" t="str">
        <v>Operating Systems;Applications Software(Business;Monitors/Terminals;Internet Services &amp; Software;Computer Consulting Services;Other Peripherals</v>
      </c>
      <c r="AB1033" s="6" t="str">
        <v>Computer Consulting Services;Other Peripherals;Operating Systems;Monitors/Terminals;Internet Services &amp; Software;Applications Software(Business</v>
      </c>
      <c r="AH1033" s="6" t="str">
        <v>False</v>
      </c>
      <c r="AI1033" s="6" t="str">
        <v>2018</v>
      </c>
      <c r="AJ1033" s="6" t="str">
        <v>Completed</v>
      </c>
      <c r="AM1033" s="6" t="str">
        <v>Not Applicable</v>
      </c>
      <c r="AO1033" s="6" t="str">
        <v>US - Microsoft Corp acquired Lobe Artificial Intelligence Inc, a San Francisco-based manufacturer of communications equipment.</v>
      </c>
    </row>
    <row r="1034">
      <c r="A1034" s="6" t="str">
        <v>8F1020</v>
      </c>
      <c r="B1034" s="6" t="str">
        <v>United States</v>
      </c>
      <c r="C1034" s="6" t="str">
        <v>Alexa Fund</v>
      </c>
      <c r="D1034" s="6" t="str">
        <v>Amazon.com Inc</v>
      </c>
      <c r="F1034" s="6" t="str">
        <v>United States</v>
      </c>
      <c r="G1034" s="6" t="str">
        <v>Bamboo Learning Inc</v>
      </c>
      <c r="H1034" s="6" t="str">
        <v>Business Services</v>
      </c>
      <c r="I1034" s="6" t="str">
        <v>7H2891</v>
      </c>
      <c r="J1034" s="6" t="str">
        <v>Bamboo Learning Inc</v>
      </c>
      <c r="K1034" s="6" t="str">
        <v>Bamboo Learning Inc</v>
      </c>
      <c r="L1034" s="7">
        <f>=DATE(2018,9,27)</f>
        <v>43369.99949074074</v>
      </c>
      <c r="M1034" s="7">
        <f>=DATE(2018,9,27)</f>
        <v>43369.99949074074</v>
      </c>
      <c r="W1034" s="6" t="str">
        <v>Primary Business not Hi-Tech</v>
      </c>
      <c r="X1034" s="6" t="str">
        <v>Utilities/File Mgmt Software;Applications Software(Home);Applications Software(Business;Primary Business not Hi-Tech;Internet Services &amp; Software;Database Software/Programming;Desktop Publishing;Programming Services;Communication/Network Software;Other Software (inq. Games)</v>
      </c>
      <c r="Y1034" s="6" t="str">
        <v>Other Software (inq. Games);Applications Software(Business;Database Software/Programming;Utilities/File Mgmt Software;Internet Services &amp; Software;Programming Services;Primary Business not Hi-Tech;Desktop Publishing;Communication/Network Software;Applications Software(Home)</v>
      </c>
      <c r="Z1034" s="6" t="str">
        <v>Programming Services;Desktop Publishing;Other Software (inq. Games);Internet Services &amp; Software;Database Software/Programming;Applications Software(Business;Utilities/File Mgmt Software;Primary Business not Hi-Tech;Communication/Network Software;Applications Software(Home)</v>
      </c>
      <c r="AA1034" s="6" t="str">
        <v>Primary Business not Hi-Tech</v>
      </c>
      <c r="AB1034" s="6" t="str">
        <v>Primary Business not Hi-Tech</v>
      </c>
      <c r="AH1034" s="6" t="str">
        <v>False</v>
      </c>
      <c r="AI1034" s="6" t="str">
        <v>2018</v>
      </c>
      <c r="AJ1034" s="6" t="str">
        <v>Completed</v>
      </c>
      <c r="AM1034" s="6" t="str">
        <v>Financial Acquiror;Privately Negotiated Purchase</v>
      </c>
      <c r="AO1034" s="6" t="str">
        <v>US - Alexa Fund, a unit of Amazon.Com Inc, acquired an undisclosed minority stake in Bamboo Learning Inc, a Brooklyn-based provider of custom computer programming services, in a privately negotiated transaction.</v>
      </c>
    </row>
    <row r="1035">
      <c r="A1035" s="6" t="str">
        <v>2F3138</v>
      </c>
      <c r="B1035" s="6" t="str">
        <v>United States</v>
      </c>
      <c r="C1035" s="6" t="str">
        <v>CapitalG Management Co LLC</v>
      </c>
      <c r="D1035" s="6" t="str">
        <v>Alphabet Inc</v>
      </c>
      <c r="F1035" s="6" t="str">
        <v>United States</v>
      </c>
      <c r="G1035" s="6" t="str">
        <v>Applied Systems Inc</v>
      </c>
      <c r="H1035" s="6" t="str">
        <v>Prepackaged Software</v>
      </c>
      <c r="I1035" s="6" t="str">
        <v>03822P</v>
      </c>
      <c r="J1035" s="6" t="str">
        <v>Hellman &amp; Friedman LLC</v>
      </c>
      <c r="K1035" s="6" t="str">
        <v>Hellman &amp; Friedman LLC</v>
      </c>
      <c r="L1035" s="7">
        <f>=DATE(2018,9,30)</f>
        <v>43372.99949074074</v>
      </c>
      <c r="M1035" s="7">
        <f>=DATE(2018,9,30)</f>
        <v>43372.99949074074</v>
      </c>
      <c r="W1035" s="6" t="str">
        <v>Primary Business not Hi-Tech</v>
      </c>
      <c r="X1035" s="6" t="str">
        <v>Other Software (inq. Games)</v>
      </c>
      <c r="Y1035" s="6" t="str">
        <v>Primary Business not Hi-Tech</v>
      </c>
      <c r="Z1035" s="6" t="str">
        <v>Primary Business not Hi-Tech</v>
      </c>
      <c r="AA1035" s="6" t="str">
        <v>Internet Services &amp; Software;Programming Services</v>
      </c>
      <c r="AB1035" s="6" t="str">
        <v>Telecommunications Equipment;Primary Business not Hi-Tech;Programming Services;Internet Services &amp; Software;Computer Consulting Services</v>
      </c>
      <c r="AH1035" s="6" t="str">
        <v>False</v>
      </c>
      <c r="AI1035" s="6" t="str">
        <v>2018</v>
      </c>
      <c r="AJ1035" s="6" t="str">
        <v>Completed</v>
      </c>
      <c r="AM1035" s="6" t="str">
        <v>Financial Acquiror;Privately Negotiated Purchase</v>
      </c>
      <c r="AO1035" s="6" t="str">
        <v>US - CapitalG, a unit of Google Inc, acquired an undisclosed minority stake in Applied Systems Inc, an University Park-based reproducer of software, a unit of Hellman &amp; Friedman LLC, in a privately negotiated transaction.</v>
      </c>
    </row>
    <row r="1036">
      <c r="A1036" s="6" t="str">
        <v>594918</v>
      </c>
      <c r="B1036" s="6" t="str">
        <v>United States</v>
      </c>
      <c r="C1036" s="6" t="str">
        <v>Microsoft Corp</v>
      </c>
      <c r="D1036" s="6" t="str">
        <v>Microsoft Corp</v>
      </c>
      <c r="F1036" s="6" t="str">
        <v>Singapore</v>
      </c>
      <c r="G1036" s="6" t="str">
        <v>Grab Holdings Inc</v>
      </c>
      <c r="H1036" s="6" t="str">
        <v>Prepackaged Software</v>
      </c>
      <c r="I1036" s="6" t="str">
        <v>4H8593</v>
      </c>
      <c r="J1036" s="6" t="str">
        <v>Grab Holdings Inc</v>
      </c>
      <c r="K1036" s="6" t="str">
        <v>Grab Holdings Inc</v>
      </c>
      <c r="L1036" s="7">
        <f>=DATE(2018,10,8)</f>
        <v>43380.99949074074</v>
      </c>
      <c r="W1036" s="6" t="str">
        <v>Operating Systems;Monitors/Terminals;Computer Consulting Services;Other Peripherals;Internet Services &amp; Software;Applications Software(Business</v>
      </c>
      <c r="X1036" s="6" t="str">
        <v>Primary Business not Hi-Tech;Satellite Communications;Other Software (inq. Games);Applications Software(Business;Applications Software(Home);Internet Services &amp; Software;Desktop Publishing;Utilities/File Mgmt Software;Networking Systems (LAN,WAN);Communication/Network Software</v>
      </c>
      <c r="Y1036" s="6" t="str">
        <v>Internet Services &amp; Software;Applications Software(Business;Applications Software(Home);Communication/Network Software;Desktop Publishing;Networking Systems (LAN,WAN);Satellite Communications;Primary Business not Hi-Tech;Utilities/File Mgmt Software;Other Software (inq. Games)</v>
      </c>
      <c r="Z1036" s="6" t="str">
        <v>Networking Systems (LAN,WAN);Internet Services &amp; Software;Satellite Communications;Primary Business not Hi-Tech;Applications Software(Business;Utilities/File Mgmt Software;Applications Software(Home);Communication/Network Software;Other Software (inq. Games);Desktop Publishing</v>
      </c>
      <c r="AA1036" s="6" t="str">
        <v>Operating Systems;Internet Services &amp; Software;Applications Software(Business;Other Peripherals;Monitors/Terminals;Computer Consulting Services</v>
      </c>
      <c r="AB1036" s="6" t="str">
        <v>Operating Systems;Applications Software(Business;Computer Consulting Services;Monitors/Terminals;Other Peripherals;Internet Services &amp; Software</v>
      </c>
      <c r="AH1036" s="6" t="str">
        <v>False</v>
      </c>
      <c r="AJ1036" s="6" t="str">
        <v>Pending</v>
      </c>
      <c r="AM1036" s="6" t="str">
        <v>Privately Negotiated Purchase</v>
      </c>
      <c r="AO1036" s="6" t="str">
        <v>SINGAPORE - Microsoft Corp of the US planned to acquire an undisclosed minority stake in Grab Holdings Inc, a Singapore-based software publisher, in a privately negotiated transaction.</v>
      </c>
    </row>
    <row r="1037">
      <c r="A1037" s="6" t="str">
        <v>53578A</v>
      </c>
      <c r="B1037" s="6" t="str">
        <v>United States</v>
      </c>
      <c r="C1037" s="6" t="str">
        <v>LinkedIn Corp</v>
      </c>
      <c r="D1037" s="6" t="str">
        <v>Microsoft Corp</v>
      </c>
      <c r="F1037" s="6" t="str">
        <v>United States</v>
      </c>
      <c r="G1037" s="6" t="str">
        <v>Glint Inc</v>
      </c>
      <c r="H1037" s="6" t="str">
        <v>Business Services</v>
      </c>
      <c r="I1037" s="6" t="str">
        <v>7H4459</v>
      </c>
      <c r="J1037" s="6" t="str">
        <v>Glint Inc</v>
      </c>
      <c r="K1037" s="6" t="str">
        <v>Glint Inc</v>
      </c>
      <c r="L1037" s="7">
        <f>=DATE(2018,10,8)</f>
        <v>43380.99949074074</v>
      </c>
      <c r="M1037" s="7">
        <f>=DATE(2018,12,31)</f>
        <v>43464.99949074074</v>
      </c>
      <c r="W1037" s="6" t="str">
        <v>Internet Services &amp; Software</v>
      </c>
      <c r="X1037" s="6" t="str">
        <v>Internet Services &amp; Software;Primary Business not Hi-Tech;Other Computer Related Svcs;Computer Consulting Services;Networking Systems (LAN,WAN);Data Processing Services</v>
      </c>
      <c r="Y1037" s="6" t="str">
        <v>Primary Business not Hi-Tech;Computer Consulting Services;Internet Services &amp; Software;Other Computer Related Svcs;Networking Systems (LAN,WAN);Data Processing Services</v>
      </c>
      <c r="Z1037" s="6" t="str">
        <v>Computer Consulting Services;Networking Systems (LAN,WAN);Primary Business not Hi-Tech;Data Processing Services;Internet Services &amp; Software;Other Computer Related Svcs</v>
      </c>
      <c r="AA1037" s="6" t="str">
        <v>Other Peripherals;Computer Consulting Services;Monitors/Terminals;Operating Systems;Internet Services &amp; Software;Applications Software(Business</v>
      </c>
      <c r="AB1037" s="6" t="str">
        <v>Internet Services &amp; Software;Computer Consulting Services;Applications Software(Business;Monitors/Terminals;Other Peripherals;Operating Systems</v>
      </c>
      <c r="AH1037" s="6" t="str">
        <v>False</v>
      </c>
      <c r="AI1037" s="6" t="str">
        <v>2018</v>
      </c>
      <c r="AJ1037" s="6" t="str">
        <v>Completed</v>
      </c>
      <c r="AM1037" s="6" t="str">
        <v>Financial Acquiror</v>
      </c>
      <c r="AO1037" s="6" t="str">
        <v>US - LinkedIn Corp, a unit of Microsoft Corp, agreed to acquire Glint Inc, a Redwood City-based provider of real-time employee engagement platform and organizational development platform. Terms of the deal were not disclosed.</v>
      </c>
    </row>
    <row r="1038">
      <c r="A1038" s="6" t="str">
        <v>037833</v>
      </c>
      <c r="B1038" s="6" t="str">
        <v>United States</v>
      </c>
      <c r="C1038" s="6" t="str">
        <v>Apple Inc</v>
      </c>
      <c r="D1038" s="6" t="str">
        <v>Apple Inc</v>
      </c>
      <c r="F1038" s="6" t="str">
        <v>Denmark</v>
      </c>
      <c r="G1038" s="6" t="str">
        <v>Spektral Experience ApS</v>
      </c>
      <c r="H1038" s="6" t="str">
        <v>Prepackaged Software</v>
      </c>
      <c r="I1038" s="6" t="str">
        <v>7H5081</v>
      </c>
      <c r="J1038" s="6" t="str">
        <v>Spektral Experience ApS</v>
      </c>
      <c r="K1038" s="6" t="str">
        <v>Spektral Experience ApS</v>
      </c>
      <c r="L1038" s="7">
        <f>=DATE(2018,10,10)</f>
        <v>43382.99949074074</v>
      </c>
      <c r="W1038" s="6" t="str">
        <v>Mainframes &amp; Super Computers;Portable Computers;Printers;Monitors/Terminals;Other Software (inq. Games);Disk Drives;Micro-Computers (PCs);Other Peripherals</v>
      </c>
      <c r="X1038" s="6" t="str">
        <v>Communication/Network Software</v>
      </c>
      <c r="Y1038" s="6" t="str">
        <v>Communication/Network Software</v>
      </c>
      <c r="Z1038" s="6" t="str">
        <v>Communication/Network Software</v>
      </c>
      <c r="AA1038" s="6" t="str">
        <v>Printers;Micro-Computers (PCs);Disk Drives;Monitors/Terminals;Portable Computers;Other Software (inq. Games);Mainframes &amp; Super Computers;Other Peripherals</v>
      </c>
      <c r="AB1038" s="6" t="str">
        <v>Disk Drives;Monitors/Terminals;Other Peripherals;Printers;Portable Computers;Mainframes &amp; Super Computers;Micro-Computers (PCs);Other Software (inq. Games)</v>
      </c>
      <c r="AD1038" s="7">
        <f>=DATE(2018,10,10)</f>
        <v>43382.99949074074</v>
      </c>
      <c r="AH1038" s="6" t="str">
        <v>False</v>
      </c>
      <c r="AJ1038" s="6" t="str">
        <v>Dismissed Rumor</v>
      </c>
      <c r="AM1038" s="6" t="str">
        <v>Rumored Deal</v>
      </c>
      <c r="AO1038" s="6" t="str">
        <v>DENMARK - Apple Inc of the US was rumored to be planning to acquire Spektral Experience ApS, a Copenhagen-based software publisher. The terms of the transaction were not disclosed, but according to sources close to the transaction, the value was estimated at DKK 200 mil (USD 30.809 mil). The Current status of this deal is unknown.</v>
      </c>
    </row>
    <row r="1039">
      <c r="A1039" s="6" t="str">
        <v>037833</v>
      </c>
      <c r="B1039" s="6" t="str">
        <v>United States</v>
      </c>
      <c r="C1039" s="6" t="str">
        <v>Apple Inc</v>
      </c>
      <c r="D1039" s="6" t="str">
        <v>Apple Inc</v>
      </c>
      <c r="F1039" s="6" t="str">
        <v>United Kingdom</v>
      </c>
      <c r="G1039" s="6" t="str">
        <v>Dialog Semiconductor PLC-Certain Power Management Assets</v>
      </c>
      <c r="H1039" s="6" t="str">
        <v>Electronic and Electrical Equipment</v>
      </c>
      <c r="I1039" s="6" t="str">
        <v>7H5041</v>
      </c>
      <c r="J1039" s="6" t="str">
        <v>Dialog Semiconductor PLC</v>
      </c>
      <c r="K1039" s="6" t="str">
        <v>Dialog Semiconductor PLC</v>
      </c>
      <c r="L1039" s="7">
        <f>=DATE(2018,10,11)</f>
        <v>43383.99949074074</v>
      </c>
      <c r="M1039" s="7">
        <f>=DATE(2019,4,8)</f>
        <v>43562.99949074074</v>
      </c>
      <c r="N1039" s="8">
        <v>300</v>
      </c>
      <c r="O1039" s="8">
        <v>300</v>
      </c>
      <c r="W1039" s="6" t="str">
        <v>Portable Computers;Mainframes &amp; Super Computers;Other Peripherals;Micro-Computers (PCs);Printers;Disk Drives;Other Software (inq. Games);Monitors/Terminals</v>
      </c>
      <c r="X1039" s="6" t="str">
        <v>Printers;Telecommunications Equipment;Lasers(Excluding Medical);Other Peripherals;Messaging Systems;Modems;Telephone Interconnect Equip;Other Electronics;Disk Drives;Semiconductors;Monitors/Terminals;CD Rom Drives;Scanning Devices;Superconductors;Facsimile Equipment;Data Commun(Exclude networking;Other Telecommunications Equip;Robotics</v>
      </c>
      <c r="Y1039" s="6" t="str">
        <v>Semiconductors;Other Electronics;Printed Circuit Boards</v>
      </c>
      <c r="Z1039" s="6" t="str">
        <v>Other Electronics;Semiconductors;Printed Circuit Boards</v>
      </c>
      <c r="AA1039" s="6" t="str">
        <v>Portable Computers;Monitors/Terminals;Disk Drives;Micro-Computers (PCs);Mainframes &amp; Super Computers;Other Software (inq. Games);Other Peripherals;Printers</v>
      </c>
      <c r="AB1039" s="6" t="str">
        <v>Other Peripherals;Portable Computers;Other Software (inq. Games);Mainframes &amp; Super Computers;Printers;Micro-Computers (PCs);Monitors/Terminals;Disk Drives</v>
      </c>
      <c r="AC1039" s="8">
        <v>300</v>
      </c>
      <c r="AD1039" s="7">
        <f>=DATE(2018,10,11)</f>
        <v>43383.99949074074</v>
      </c>
      <c r="AH1039" s="6" t="str">
        <v>False</v>
      </c>
      <c r="AI1039" s="6" t="str">
        <v>2019</v>
      </c>
      <c r="AJ1039" s="6" t="str">
        <v>Completed</v>
      </c>
      <c r="AM1039" s="6" t="str">
        <v>Divestiture</v>
      </c>
      <c r="AO1039" s="6" t="str">
        <v>UK - Apple Inc of the US acquired certain power management assets of Dialog Semiconductor PLC, a Reading-based manufacturer of semiconductors and related device, for GBP 227.376 mil (USD 300 mil) in cash.</v>
      </c>
    </row>
    <row r="1040">
      <c r="A1040" s="6" t="str">
        <v>037833</v>
      </c>
      <c r="B1040" s="6" t="str">
        <v>United States</v>
      </c>
      <c r="C1040" s="6" t="str">
        <v>Apple Inc</v>
      </c>
      <c r="D1040" s="6" t="str">
        <v>Apple Inc</v>
      </c>
      <c r="F1040" s="6" t="str">
        <v>United States</v>
      </c>
      <c r="G1040" s="6" t="str">
        <v>Asaii Inc</v>
      </c>
      <c r="H1040" s="6" t="str">
        <v>Educational Services</v>
      </c>
      <c r="I1040" s="6" t="str">
        <v>7H5961</v>
      </c>
      <c r="J1040" s="6" t="str">
        <v>Asaii Inc</v>
      </c>
      <c r="K1040" s="6" t="str">
        <v>Asaii Inc</v>
      </c>
      <c r="L1040" s="7">
        <f>=DATE(2018,10,15)</f>
        <v>43387.99949074074</v>
      </c>
      <c r="W1040" s="6" t="str">
        <v>Printers;Portable Computers;Disk Drives;Mainframes &amp; Super Computers;Other Peripherals;Monitors/Terminals;Micro-Computers (PCs);Other Software (inq. Games)</v>
      </c>
      <c r="X1040" s="6" t="str">
        <v>Applications Software(Business;Other Software (inq. Games);Primary Business not Hi-Tech;Communication/Network Software;Desktop Publishing;Utilities/File Mgmt Software;Internet Services &amp; Software;Applications Software(Home)</v>
      </c>
      <c r="Y1040" s="6" t="str">
        <v>Applications Software(Business;Internet Services &amp; Software;Applications Software(Home);Other Software (inq. Games);Desktop Publishing;Primary Business not Hi-Tech;Utilities/File Mgmt Software;Communication/Network Software</v>
      </c>
      <c r="Z1040" s="6" t="str">
        <v>Applications Software(Business;Desktop Publishing;Internet Services &amp; Software;Applications Software(Home);Other Software (inq. Games);Utilities/File Mgmt Software;Primary Business not Hi-Tech;Communication/Network Software</v>
      </c>
      <c r="AA1040" s="6" t="str">
        <v>Other Software (inq. Games);Portable Computers;Printers;Disk Drives;Other Peripherals;Monitors/Terminals;Mainframes &amp; Super Computers;Micro-Computers (PCs)</v>
      </c>
      <c r="AB1040" s="6" t="str">
        <v>Other Peripherals;Printers;Disk Drives;Mainframes &amp; Super Computers;Portable Computers;Other Software (inq. Games);Micro-Computers (PCs);Monitors/Terminals</v>
      </c>
      <c r="AH1040" s="6" t="str">
        <v>False</v>
      </c>
      <c r="AJ1040" s="6" t="str">
        <v>Dismissed Rumor</v>
      </c>
      <c r="AM1040" s="6" t="str">
        <v>Rumored Deal</v>
      </c>
      <c r="AO1040" s="6" t="str">
        <v>US - Apple Inc was rumored to be planning to acquire Asaii Inc, a Berkeley-based archives operator. The Current status of this deal is unknown.</v>
      </c>
    </row>
    <row r="1041">
      <c r="A1041" s="6" t="str">
        <v>8F1020</v>
      </c>
      <c r="B1041" s="6" t="str">
        <v>United States</v>
      </c>
      <c r="C1041" s="6" t="str">
        <v>Alexa Fund</v>
      </c>
      <c r="D1041" s="6" t="str">
        <v>Amazon.com Inc</v>
      </c>
      <c r="F1041" s="6" t="str">
        <v>United States</v>
      </c>
      <c r="G1041" s="6" t="str">
        <v>SevenRooms Inc</v>
      </c>
      <c r="H1041" s="6" t="str">
        <v>Prepackaged Software</v>
      </c>
      <c r="I1041" s="6" t="str">
        <v>7H7287</v>
      </c>
      <c r="J1041" s="6" t="str">
        <v>SevenRooms Inc</v>
      </c>
      <c r="K1041" s="6" t="str">
        <v>SevenRooms Inc</v>
      </c>
      <c r="L1041" s="7">
        <f>=DATE(2018,10,23)</f>
        <v>43395.99949074074</v>
      </c>
      <c r="M1041" s="7">
        <f>=DATE(2018,10,23)</f>
        <v>43395.99949074074</v>
      </c>
      <c r="W1041" s="6" t="str">
        <v>Primary Business not Hi-Tech</v>
      </c>
      <c r="X1041" s="6" t="str">
        <v>Other Software (inq. Games)</v>
      </c>
      <c r="Y1041" s="6" t="str">
        <v>Other Software (inq. Games)</v>
      </c>
      <c r="Z1041" s="6" t="str">
        <v>Other Software (inq. Games)</v>
      </c>
      <c r="AA1041" s="6" t="str">
        <v>Primary Business not Hi-Tech</v>
      </c>
      <c r="AB1041" s="6" t="str">
        <v>Primary Business not Hi-Tech</v>
      </c>
      <c r="AH1041" s="6" t="str">
        <v>False</v>
      </c>
      <c r="AI1041" s="6" t="str">
        <v>2018</v>
      </c>
      <c r="AJ1041" s="6" t="str">
        <v>Completed</v>
      </c>
      <c r="AM1041" s="6" t="str">
        <v>Privately Negotiated Purchase;Financial Acquiror</v>
      </c>
      <c r="AO1041" s="6" t="str">
        <v>US - Alexa Fund, a unit of Amazon.Com Inc, acquired an undisclosed minority stake in Sevenrooms Inc, a New York City-based software publisher, in a privately negotiated transaction.</v>
      </c>
    </row>
    <row r="1042">
      <c r="A1042" s="6" t="str">
        <v>594918</v>
      </c>
      <c r="B1042" s="6" t="str">
        <v>United States</v>
      </c>
      <c r="C1042" s="6" t="str">
        <v>Microsoft Corp</v>
      </c>
      <c r="D1042" s="6" t="str">
        <v>Microsoft Corp</v>
      </c>
      <c r="F1042" s="6" t="str">
        <v>United States</v>
      </c>
      <c r="G1042" s="6" t="str">
        <v>inXile Entertainment Inc</v>
      </c>
      <c r="H1042" s="6" t="str">
        <v>Prepackaged Software</v>
      </c>
      <c r="I1042" s="6" t="str">
        <v>7F2483</v>
      </c>
      <c r="J1042" s="6" t="str">
        <v>inXile Entertainment Inc</v>
      </c>
      <c r="K1042" s="6" t="str">
        <v>inXile Entertainment Inc</v>
      </c>
      <c r="L1042" s="7">
        <f>=DATE(2018,11,10)</f>
        <v>43413.99949074074</v>
      </c>
      <c r="M1042" s="7">
        <f>=DATE(2018,11,10)</f>
        <v>43413.99949074074</v>
      </c>
      <c r="W1042" s="6" t="str">
        <v>Computer Consulting Services;Other Peripherals;Operating Systems;Monitors/Terminals;Internet Services &amp; Software;Applications Software(Business</v>
      </c>
      <c r="X1042" s="6" t="str">
        <v>Other Software (inq. Games)</v>
      </c>
      <c r="Y1042" s="6" t="str">
        <v>Other Software (inq. Games)</v>
      </c>
      <c r="Z1042" s="6" t="str">
        <v>Other Software (inq. Games)</v>
      </c>
      <c r="AA1042" s="6" t="str">
        <v>Applications Software(Business;Operating Systems;Internet Services &amp; Software;Computer Consulting Services;Monitors/Terminals;Other Peripherals</v>
      </c>
      <c r="AB1042" s="6" t="str">
        <v>Monitors/Terminals;Applications Software(Business;Computer Consulting Services;Operating Systems;Other Peripherals;Internet Services &amp; Software</v>
      </c>
      <c r="AH1042" s="6" t="str">
        <v>False</v>
      </c>
      <c r="AI1042" s="6" t="str">
        <v>2018</v>
      </c>
      <c r="AJ1042" s="6" t="str">
        <v>Completed</v>
      </c>
      <c r="AM1042" s="6" t="str">
        <v>Not Applicable</v>
      </c>
      <c r="AO1042" s="6" t="str">
        <v>US - Microsoft Corp acquired inXile Entertainment Inc, a Newport Beach-based video game developer.</v>
      </c>
    </row>
    <row r="1043">
      <c r="A1043" s="6" t="str">
        <v>594918</v>
      </c>
      <c r="B1043" s="6" t="str">
        <v>United States</v>
      </c>
      <c r="C1043" s="6" t="str">
        <v>Microsoft Corp</v>
      </c>
      <c r="D1043" s="6" t="str">
        <v>Microsoft Corp</v>
      </c>
      <c r="F1043" s="6" t="str">
        <v>United States</v>
      </c>
      <c r="G1043" s="6" t="str">
        <v>XOXCO Inc</v>
      </c>
      <c r="H1043" s="6" t="str">
        <v>Prepackaged Software</v>
      </c>
      <c r="I1043" s="6" t="str">
        <v>8H2462</v>
      </c>
      <c r="J1043" s="6" t="str">
        <v>XOXCO Inc</v>
      </c>
      <c r="K1043" s="6" t="str">
        <v>XOXCO Inc</v>
      </c>
      <c r="L1043" s="7">
        <f>=DATE(2018,11,14)</f>
        <v>43417.99949074074</v>
      </c>
      <c r="W1043" s="6" t="str">
        <v>Internet Services &amp; Software;Applications Software(Business;Computer Consulting Services;Other Peripherals;Operating Systems;Monitors/Terminals</v>
      </c>
      <c r="X1043" s="6" t="str">
        <v>Applications Software(Business</v>
      </c>
      <c r="Y1043" s="6" t="str">
        <v>Applications Software(Business</v>
      </c>
      <c r="Z1043" s="6" t="str">
        <v>Applications Software(Business</v>
      </c>
      <c r="AA1043" s="6" t="str">
        <v>Computer Consulting Services;Internet Services &amp; Software;Other Peripherals;Applications Software(Business;Monitors/Terminals;Operating Systems</v>
      </c>
      <c r="AB1043" s="6" t="str">
        <v>Monitors/Terminals;Applications Software(Business;Operating Systems;Other Peripherals;Internet Services &amp; Software;Computer Consulting Services</v>
      </c>
      <c r="AH1043" s="6" t="str">
        <v>False</v>
      </c>
      <c r="AJ1043" s="6" t="str">
        <v>Pending</v>
      </c>
      <c r="AM1043" s="6" t="str">
        <v>Not Applicable</v>
      </c>
      <c r="AO1043" s="6" t="str">
        <v>US - Microsoft Corp agreed to acquire XOXCO Inc, an Austin-based developer of software. Terms were not disclosed.</v>
      </c>
    </row>
    <row r="1044">
      <c r="A1044" s="6" t="str">
        <v>594918</v>
      </c>
      <c r="B1044" s="6" t="str">
        <v>United States</v>
      </c>
      <c r="C1044" s="6" t="str">
        <v>Microsoft Corp</v>
      </c>
      <c r="D1044" s="6" t="str">
        <v>Microsoft Corp</v>
      </c>
      <c r="F1044" s="6" t="str">
        <v>United States</v>
      </c>
      <c r="G1044" s="6" t="str">
        <v>FSLogix Inc</v>
      </c>
      <c r="H1044" s="6" t="str">
        <v>Prepackaged Software</v>
      </c>
      <c r="I1044" s="6" t="str">
        <v>8H3928</v>
      </c>
      <c r="J1044" s="6" t="str">
        <v>FSLogix Inc</v>
      </c>
      <c r="K1044" s="6" t="str">
        <v>FSLogix Inc</v>
      </c>
      <c r="L1044" s="7">
        <f>=DATE(2018,11,19)</f>
        <v>43422.99949074074</v>
      </c>
      <c r="M1044" s="7">
        <f>=DATE(2018,11,19)</f>
        <v>43422.99949074074</v>
      </c>
      <c r="W1044" s="6" t="str">
        <v>Applications Software(Business;Computer Consulting Services;Monitors/Terminals;Internet Services &amp; Software;Other Peripherals;Operating Systems</v>
      </c>
      <c r="X1044" s="6" t="str">
        <v>Applications Software(Business;Other Software (inq. Games);Utilities/File Mgmt Software;Internet Services &amp; Software;Communication/Network Software;Desktop Publishing;Applications Software(Home)</v>
      </c>
      <c r="Y1044" s="6" t="str">
        <v>Internet Services &amp; Software;Other Software (inq. Games);Applications Software(Home);Applications Software(Business;Desktop Publishing;Communication/Network Software;Utilities/File Mgmt Software</v>
      </c>
      <c r="Z1044" s="6" t="str">
        <v>Utilities/File Mgmt Software;Desktop Publishing;Applications Software(Business;Other Software (inq. Games);Communication/Network Software;Applications Software(Home);Internet Services &amp; Software</v>
      </c>
      <c r="AA1044" s="6" t="str">
        <v>Applications Software(Business;Computer Consulting Services;Other Peripherals;Operating Systems;Internet Services &amp; Software;Monitors/Terminals</v>
      </c>
      <c r="AB1044" s="6" t="str">
        <v>Internet Services &amp; Software;Applications Software(Business;Monitors/Terminals;Computer Consulting Services;Other Peripherals;Operating Systems</v>
      </c>
      <c r="AH1044" s="6" t="str">
        <v>False</v>
      </c>
      <c r="AI1044" s="6" t="str">
        <v>2018</v>
      </c>
      <c r="AJ1044" s="6" t="str">
        <v>Completed</v>
      </c>
      <c r="AM1044" s="6" t="str">
        <v>Not Applicable</v>
      </c>
      <c r="AO1044" s="6" t="str">
        <v>US - Microsoft Corp acquired FSLogix Inc, a Suwanee-based provider of virtual desktop solutions.</v>
      </c>
    </row>
    <row r="1045">
      <c r="A1045" s="6" t="str">
        <v>037833</v>
      </c>
      <c r="B1045" s="6" t="str">
        <v>United States</v>
      </c>
      <c r="C1045" s="6" t="str">
        <v>Apple Inc</v>
      </c>
      <c r="D1045" s="6" t="str">
        <v>Apple Inc</v>
      </c>
      <c r="F1045" s="6" t="str">
        <v>United States</v>
      </c>
      <c r="G1045" s="6" t="str">
        <v>Silk Labs Inc</v>
      </c>
      <c r="H1045" s="6" t="str">
        <v>Prepackaged Software</v>
      </c>
      <c r="I1045" s="6" t="str">
        <v>8H3747</v>
      </c>
      <c r="J1045" s="6" t="str">
        <v>Silk Labs Inc</v>
      </c>
      <c r="K1045" s="6" t="str">
        <v>Silk Labs Inc</v>
      </c>
      <c r="L1045" s="7">
        <f>=DATE(2018,11,21)</f>
        <v>43424.99949074074</v>
      </c>
      <c r="W1045" s="6" t="str">
        <v>Disk Drives;Portable Computers;Other Peripherals;Other Software (inq. Games);Mainframes &amp; Super Computers;Monitors/Terminals;Printers;Micro-Computers (PCs)</v>
      </c>
      <c r="X1045" s="6" t="str">
        <v>Other Software (inq. Games)</v>
      </c>
      <c r="Y1045" s="6" t="str">
        <v>Other Software (inq. Games)</v>
      </c>
      <c r="Z1045" s="6" t="str">
        <v>Other Software (inq. Games)</v>
      </c>
      <c r="AA1045" s="6" t="str">
        <v>Micro-Computers (PCs);Disk Drives;Portable Computers;Other Software (inq. Games);Printers;Other Peripherals;Mainframes &amp; Super Computers;Monitors/Terminals</v>
      </c>
      <c r="AB1045" s="6" t="str">
        <v>Mainframes &amp; Super Computers;Other Peripherals;Micro-Computers (PCs);Printers;Other Software (inq. Games);Monitors/Terminals;Portable Computers;Disk Drives</v>
      </c>
      <c r="AH1045" s="6" t="str">
        <v>False</v>
      </c>
      <c r="AJ1045" s="6" t="str">
        <v>Dismissed Rumor</v>
      </c>
      <c r="AM1045" s="6" t="str">
        <v>Rumored Deal</v>
      </c>
      <c r="AO1045" s="6" t="str">
        <v>US - Apple Inc was rumored to be planning to acquire Silk Labs Inc, a San Carlos-based provider of artificial intelligence software. The Current status of this deal is unknown.</v>
      </c>
    </row>
    <row r="1046">
      <c r="A1046" s="6" t="str">
        <v>7J8440</v>
      </c>
      <c r="B1046" s="6" t="str">
        <v>United States</v>
      </c>
      <c r="C1046" s="6" t="str">
        <v>Google LLC</v>
      </c>
      <c r="D1046" s="6" t="str">
        <v>Alphabet Inc</v>
      </c>
      <c r="F1046" s="6" t="str">
        <v>United States</v>
      </c>
      <c r="G1046" s="6" t="str">
        <v>cwist Inc</v>
      </c>
      <c r="H1046" s="6" t="str">
        <v>Educational Services</v>
      </c>
      <c r="I1046" s="6" t="str">
        <v>9H0315</v>
      </c>
      <c r="J1046" s="6" t="str">
        <v>cwist Inc</v>
      </c>
      <c r="K1046" s="6" t="str">
        <v>cwist Inc</v>
      </c>
      <c r="L1046" s="7">
        <f>=DATE(2018,11,27)</f>
        <v>43430.99949074074</v>
      </c>
      <c r="M1046" s="7">
        <f>=DATE(2018,11,27)</f>
        <v>43430.99949074074</v>
      </c>
      <c r="W1046" s="6" t="str">
        <v>Programming Services;Internet Services &amp; Software</v>
      </c>
      <c r="X1046" s="6" t="str">
        <v>Networking Systems (LAN,WAN);Internet Services &amp; Software;Computer Consulting Services;Primary Business not Hi-Tech;Other Computer Related Svcs</v>
      </c>
      <c r="Y1046" s="6" t="str">
        <v>Networking Systems (LAN,WAN);Primary Business not Hi-Tech;Computer Consulting Services;Internet Services &amp; Software;Other Computer Related Svcs</v>
      </c>
      <c r="Z1046" s="6" t="str">
        <v>Primary Business not Hi-Tech;Internet Services &amp; Software;Networking Systems (LAN,WAN);Computer Consulting Services;Other Computer Related Svcs</v>
      </c>
      <c r="AA1046" s="6" t="str">
        <v>Internet Services &amp; Software;Programming Services;Computer Consulting Services;Telecommunications Equipment;Primary Business not Hi-Tech</v>
      </c>
      <c r="AB1046" s="6" t="str">
        <v>Computer Consulting Services;Programming Services;Internet Services &amp; Software;Telecommunications Equipment;Primary Business not Hi-Tech</v>
      </c>
      <c r="AH1046" s="6" t="str">
        <v>False</v>
      </c>
      <c r="AI1046" s="6" t="str">
        <v>2018</v>
      </c>
      <c r="AJ1046" s="6" t="str">
        <v>Completed</v>
      </c>
      <c r="AM1046" s="6" t="str">
        <v>Not Applicable</v>
      </c>
      <c r="AO1046" s="6" t="str">
        <v>US - Google Inc, a unit of Alphabet Inc, acquired cwist Inc, a Baltimore-based provider of educational support services.</v>
      </c>
    </row>
    <row r="1047">
      <c r="A1047" s="6" t="str">
        <v>594918</v>
      </c>
      <c r="B1047" s="6" t="str">
        <v>United States</v>
      </c>
      <c r="C1047" s="6" t="str">
        <v>Microsoft Corp</v>
      </c>
      <c r="D1047" s="6" t="str">
        <v>Microsoft Corp</v>
      </c>
      <c r="F1047" s="6" t="str">
        <v>Morocco</v>
      </c>
      <c r="G1047" s="6" t="str">
        <v>Nokia Morocco</v>
      </c>
      <c r="H1047" s="6" t="str">
        <v>Telecommunications</v>
      </c>
      <c r="I1047" s="6" t="str">
        <v>9H0727</v>
      </c>
      <c r="J1047" s="6" t="str">
        <v>Nokia Oyj</v>
      </c>
      <c r="K1047" s="6" t="str">
        <v>Nokia Oyj</v>
      </c>
      <c r="L1047" s="7">
        <f>=DATE(2018,11,30)</f>
        <v>43433.99949074074</v>
      </c>
      <c r="W1047" s="6" t="str">
        <v>Other Peripherals;Applications Software(Business;Monitors/Terminals;Internet Services &amp; Software;Operating Systems;Computer Consulting Services</v>
      </c>
      <c r="X1047" s="6" t="str">
        <v>Telecommunications Equipment</v>
      </c>
      <c r="Y1047" s="6" t="str">
        <v>Communication/Network Software;Telephone Interconnect Equip;Other Telecommunications Equip;Satellite Communications;Internet Services &amp; Software;Other Software (inq. Games)</v>
      </c>
      <c r="Z1047" s="6" t="str">
        <v>Other Software (inq. Games);Communication/Network Software;Internet Services &amp; Software;Telephone Interconnect Equip;Other Telecommunications Equip;Satellite Communications</v>
      </c>
      <c r="AA1047" s="6" t="str">
        <v>Monitors/Terminals;Operating Systems;Computer Consulting Services;Applications Software(Business;Internet Services &amp; Software;Other Peripherals</v>
      </c>
      <c r="AB1047" s="6" t="str">
        <v>Monitors/Terminals;Internet Services &amp; Software;Applications Software(Business;Operating Systems;Computer Consulting Services;Other Peripherals</v>
      </c>
      <c r="AH1047" s="6" t="str">
        <v>False</v>
      </c>
      <c r="AJ1047" s="6" t="str">
        <v>Pending</v>
      </c>
      <c r="AM1047" s="6" t="str">
        <v>Divestiture</v>
      </c>
      <c r="AO1047" s="6" t="str">
        <v>MOROCCO - Microsoft Corp of the US planned to acquire the entire share capital of Nokia Morocco, wired telecommunications carrier, from Nokia Oyj.</v>
      </c>
    </row>
    <row r="1048">
      <c r="A1048" s="6" t="str">
        <v>7J8440</v>
      </c>
      <c r="B1048" s="6" t="str">
        <v>United States</v>
      </c>
      <c r="C1048" s="6" t="str">
        <v>Google LLC</v>
      </c>
      <c r="D1048" s="6" t="str">
        <v>Alphabet Inc</v>
      </c>
      <c r="F1048" s="6" t="str">
        <v>Japan</v>
      </c>
      <c r="G1048" s="6" t="str">
        <v>ABEJA Inc</v>
      </c>
      <c r="H1048" s="6" t="str">
        <v>Business Services</v>
      </c>
      <c r="I1048" s="6" t="str">
        <v>1C7611</v>
      </c>
      <c r="J1048" s="6" t="str">
        <v>ABEJA Inc</v>
      </c>
      <c r="K1048" s="6" t="str">
        <v>ABEJA Inc</v>
      </c>
      <c r="L1048" s="7">
        <f>=DATE(2018,12,4)</f>
        <v>43437.99949074074</v>
      </c>
      <c r="M1048" s="7">
        <f>=DATE(2018,12,4)</f>
        <v>43437.99949074074</v>
      </c>
      <c r="W1048" s="6" t="str">
        <v>Internet Services &amp; Software;Programming Services</v>
      </c>
      <c r="X1048" s="6" t="str">
        <v>Primary Business not Hi-Tech;Data Processing Services;Other Computer Related Svcs;CAD/CAM/CAE/Graphics Systems;Other Computer Systems;Computer Consulting Services;Database Software/Programming;Communication/Network Software;Networking Systems (LAN,WAN);Data Commun(Exclude networking;Workstations;Programming Services;Operating Systems;Internet Services &amp; Software;Turnkey Systems</v>
      </c>
      <c r="Y1048" s="6" t="str">
        <v>Programming Services;Data Commun(Exclude networking;Communication/Network Software;Database Software/Programming;Other Computer Systems;CAD/CAM/CAE/Graphics Systems;Networking Systems (LAN,WAN);Internet Services &amp; Software;Operating Systems;Other Computer Related Svcs;Primary Business not Hi-Tech;Data Processing Services;Computer Consulting Services;Workstations;Turnkey Systems</v>
      </c>
      <c r="Z1048" s="6" t="str">
        <v>Database Software/Programming;Programming Services;Turnkey Systems;Computer Consulting Services;Data Processing Services;Other Computer Related Svcs;Operating Systems;Primary Business not Hi-Tech;Data Commun(Exclude networking;Other Computer Systems;CAD/CAM/CAE/Graphics Systems;Communication/Network Software;Networking Systems (LAN,WAN);Internet Services &amp; Software;Workstations</v>
      </c>
      <c r="AA1048" s="6" t="str">
        <v>Computer Consulting Services;Internet Services &amp; Software;Telecommunications Equipment;Programming Services;Primary Business not Hi-Tech</v>
      </c>
      <c r="AB1048" s="6" t="str">
        <v>Internet Services &amp; Software;Primary Business not Hi-Tech;Programming Services;Telecommunications Equipment;Computer Consulting Services</v>
      </c>
      <c r="AH1048" s="6" t="str">
        <v>False</v>
      </c>
      <c r="AI1048" s="6" t="str">
        <v>2018</v>
      </c>
      <c r="AJ1048" s="6" t="str">
        <v>Completed</v>
      </c>
      <c r="AM1048" s="6" t="str">
        <v>Privately Negotiated Purchase</v>
      </c>
      <c r="AO1048" s="6" t="str">
        <v>JAPAN - Google Inc of the US, a unit of Alphabet Inc, acquired an undisclosed minority stake in ABEJA Inc, a Minato-Ku, Tokyo-based provider of data processing and hosting services, in a privately negotiated transaction. The terms were not disclosed, but according to sources close to the situation, the deal was valued at an estimated hundreds of millions of Japanese Yen in cash.</v>
      </c>
    </row>
    <row r="1049">
      <c r="A1049" s="6" t="str">
        <v>594918</v>
      </c>
      <c r="B1049" s="6" t="str">
        <v>United States</v>
      </c>
      <c r="C1049" s="6" t="str">
        <v>Microsoft Corp</v>
      </c>
      <c r="D1049" s="6" t="str">
        <v>Microsoft Corp</v>
      </c>
      <c r="F1049" s="6" t="str">
        <v>United States</v>
      </c>
      <c r="G1049" s="6" t="str">
        <v>BrightBytes Inc-DataSense Business</v>
      </c>
      <c r="H1049" s="6" t="str">
        <v>Prepackaged Software</v>
      </c>
      <c r="I1049" s="6" t="str">
        <v>9H1705</v>
      </c>
      <c r="J1049" s="6" t="str">
        <v>BrightBytes Inc</v>
      </c>
      <c r="K1049" s="6" t="str">
        <v>BrightBytes Inc</v>
      </c>
      <c r="L1049" s="7">
        <f>=DATE(2018,12,5)</f>
        <v>43438.99949074074</v>
      </c>
      <c r="M1049" s="7">
        <f>=DATE(2019,2,4)</f>
        <v>43499.99949074074</v>
      </c>
      <c r="W1049" s="6" t="str">
        <v>Internet Services &amp; Software;Other Peripherals;Applications Software(Business;Computer Consulting Services;Operating Systems;Monitors/Terminals</v>
      </c>
      <c r="X1049" s="6" t="str">
        <v>Other Software (inq. Games);Utilities/File Mgmt Software;Internet Services &amp; Software;Communication/Network Software;Desktop Publishing;Applications Software(Home);Applications Software(Business</v>
      </c>
      <c r="Y1049" s="6" t="str">
        <v>Communication/Network Software</v>
      </c>
      <c r="Z1049" s="6" t="str">
        <v>Communication/Network Software</v>
      </c>
      <c r="AA1049" s="6" t="str">
        <v>Computer Consulting Services;Monitors/Terminals;Internet Services &amp; Software;Other Peripherals;Operating Systems;Applications Software(Business</v>
      </c>
      <c r="AB1049" s="6" t="str">
        <v>Applications Software(Business;Operating Systems;Other Peripherals;Monitors/Terminals;Internet Services &amp; Software;Computer Consulting Services</v>
      </c>
      <c r="AH1049" s="6" t="str">
        <v>False</v>
      </c>
      <c r="AI1049" s="6" t="str">
        <v>2019</v>
      </c>
      <c r="AJ1049" s="6" t="str">
        <v>Completed</v>
      </c>
      <c r="AM1049" s="6" t="str">
        <v>Divestiture</v>
      </c>
      <c r="AO1049" s="6" t="str">
        <v>US - Microsoft Corp acquired the DataSense business of BrightBytes Inc, a San Francisco-based software publisher.</v>
      </c>
    </row>
    <row r="1050">
      <c r="A1050" s="6" t="str">
        <v>7J8440</v>
      </c>
      <c r="B1050" s="6" t="str">
        <v>United States</v>
      </c>
      <c r="C1050" s="6" t="str">
        <v>Google LLC</v>
      </c>
      <c r="D1050" s="6" t="str">
        <v>Alphabet Inc</v>
      </c>
      <c r="F1050" s="6" t="str">
        <v>India</v>
      </c>
      <c r="G1050" s="6" t="str">
        <v>Sigmoid Labs Pvt Ltd</v>
      </c>
      <c r="H1050" s="6" t="str">
        <v>Business Services</v>
      </c>
      <c r="I1050" s="6" t="str">
        <v>9H0103</v>
      </c>
      <c r="J1050" s="6" t="str">
        <v>Sigmoid Labs Pvt Ltd</v>
      </c>
      <c r="K1050" s="6" t="str">
        <v>Sigmoid Labs Pvt Ltd</v>
      </c>
      <c r="L1050" s="7">
        <f>=DATE(2018,12,10)</f>
        <v>43443.99949074074</v>
      </c>
      <c r="M1050" s="7">
        <f>=DATE(2018,12,10)</f>
        <v>43443.99949074074</v>
      </c>
      <c r="W1050" s="6" t="str">
        <v>Internet Services &amp; Software;Programming Services</v>
      </c>
      <c r="X1050" s="6" t="str">
        <v>Other Computer Related Svcs;Computer Consulting Services;Data Processing Services;Internet Services &amp; Software</v>
      </c>
      <c r="Y1050" s="6" t="str">
        <v>Other Computer Related Svcs;Data Processing Services;Internet Services &amp; Software;Computer Consulting Services</v>
      </c>
      <c r="Z1050" s="6" t="str">
        <v>Internet Services &amp; Software;Data Processing Services;Other Computer Related Svcs;Computer Consulting Services</v>
      </c>
      <c r="AA1050" s="6" t="str">
        <v>Programming Services;Internet Services &amp; Software;Computer Consulting Services;Primary Business not Hi-Tech;Telecommunications Equipment</v>
      </c>
      <c r="AB1050" s="6" t="str">
        <v>Primary Business not Hi-Tech;Programming Services;Telecommunications Equipment;Internet Services &amp; Software;Computer Consulting Services</v>
      </c>
      <c r="AD1050" s="7">
        <f>=DATE(2018,12,10)</f>
        <v>43443.99949074074</v>
      </c>
      <c r="AH1050" s="6" t="str">
        <v>False</v>
      </c>
      <c r="AI1050" s="6" t="str">
        <v>2018</v>
      </c>
      <c r="AJ1050" s="6" t="str">
        <v>Completed</v>
      </c>
      <c r="AM1050" s="6" t="str">
        <v>Rumored Deal</v>
      </c>
      <c r="AO1050" s="6" t="str">
        <v>INDIA - Google Inc of the US, a unit of Alphabet Inc, acquired Sigmoid Labs Pvt Ltd (Sigmoid Labs), a Bangalore-based provider of data processing and hosting services. The terms of the transaction were not disclosed, but according to sources close to the transaction, the value was estimated at INR 2.821 bil (USD 39.819 mil). Originally, in August 2018, Google Inc was rumored to planning to acquire a minority stake in Sigmoid Labs.</v>
      </c>
    </row>
    <row r="1051">
      <c r="A1051" s="6" t="str">
        <v>9H1420</v>
      </c>
      <c r="B1051" s="6" t="str">
        <v>United States</v>
      </c>
      <c r="C1051" s="6" t="str">
        <v>Google Cloud Platform</v>
      </c>
      <c r="D1051" s="6" t="str">
        <v>Alphabet Inc</v>
      </c>
      <c r="F1051" s="6" t="str">
        <v>United States</v>
      </c>
      <c r="G1051" s="6" t="str">
        <v>DevOps Research &amp; Assessment LLC</v>
      </c>
      <c r="H1051" s="6" t="str">
        <v>Prepackaged Software</v>
      </c>
      <c r="I1051" s="6" t="str">
        <v>9H6933</v>
      </c>
      <c r="J1051" s="6" t="str">
        <v>DevOps Research &amp; Assessment LLC</v>
      </c>
      <c r="K1051" s="6" t="str">
        <v>DevOps Research &amp; Assessment LLC</v>
      </c>
      <c r="L1051" s="7">
        <f>=DATE(2018,12,20)</f>
        <v>43453.99949074074</v>
      </c>
      <c r="M1051" s="7">
        <f>=DATE(2018,12,20)</f>
        <v>43453.99949074074</v>
      </c>
      <c r="W1051" s="6" t="str">
        <v>Other Software (inq. Games)</v>
      </c>
      <c r="X1051" s="6" t="str">
        <v>Data Processing Services;Other Software (inq. Games);Communication/Network Software</v>
      </c>
      <c r="Y1051" s="6" t="str">
        <v>Other Software (inq. Games);Data Processing Services;Communication/Network Software</v>
      </c>
      <c r="Z1051" s="6" t="str">
        <v>Communication/Network Software;Data Processing Services;Other Software (inq. Games)</v>
      </c>
      <c r="AA1051" s="6" t="str">
        <v>Programming Services;Internet Services &amp; Software</v>
      </c>
      <c r="AB1051" s="6" t="str">
        <v>Internet Services &amp; Software;Programming Services;Primary Business not Hi-Tech;Computer Consulting Services;Telecommunications Equipment</v>
      </c>
      <c r="AH1051" s="6" t="str">
        <v>False</v>
      </c>
      <c r="AI1051" s="6" t="str">
        <v>2018</v>
      </c>
      <c r="AJ1051" s="6" t="str">
        <v>Completed</v>
      </c>
      <c r="AM1051" s="6" t="str">
        <v>Not Applicable</v>
      </c>
      <c r="AO1051" s="6" t="str">
        <v>US - Google Cloud Platform, a unit of Google Inc, acquired DevOps Research &amp; Assessment LLC, a Portland-based software publisher.</v>
      </c>
    </row>
    <row r="1052">
      <c r="A1052" s="6" t="str">
        <v>4C7902</v>
      </c>
      <c r="B1052" s="6" t="str">
        <v>United States</v>
      </c>
      <c r="C1052" s="6" t="str">
        <v>Amazon Web Services Inc</v>
      </c>
      <c r="D1052" s="6" t="str">
        <v>Amazon.com Inc</v>
      </c>
      <c r="F1052" s="6" t="str">
        <v>Canada</v>
      </c>
      <c r="G1052" s="6" t="str">
        <v>TSO Logic Inc</v>
      </c>
      <c r="H1052" s="6" t="str">
        <v>Prepackaged Software</v>
      </c>
      <c r="I1052" s="6" t="str">
        <v>0J9104</v>
      </c>
      <c r="J1052" s="6" t="str">
        <v>TSO Logic Inc</v>
      </c>
      <c r="K1052" s="6" t="str">
        <v>TSO Logic Inc</v>
      </c>
      <c r="L1052" s="7">
        <f>=DATE(2018,12,21)</f>
        <v>43454.99949074074</v>
      </c>
      <c r="M1052" s="7">
        <f>=DATE(2018,12,21)</f>
        <v>43454.99949074074</v>
      </c>
      <c r="W1052" s="6" t="str">
        <v>Data Processing Services;Primary Business not Hi-Tech;Other Computer Related Svcs;Computer Consulting Services;Internet Services &amp; Software</v>
      </c>
      <c r="X1052" s="6" t="str">
        <v>Applications Software(Business;Desktop Publishing;Utilities/File Mgmt Software;Internet Services &amp; Software;Applications Software(Home);Communication/Network Software;Other Software (inq. Games)</v>
      </c>
      <c r="Y1052" s="6" t="str">
        <v>Desktop Publishing;Utilities/File Mgmt Software;Internet Services &amp; Software;Applications Software(Home);Other Software (inq. Games);Applications Software(Business;Communication/Network Software</v>
      </c>
      <c r="Z1052" s="6" t="str">
        <v>Applications Software(Business;Other Software (inq. Games);Utilities/File Mgmt Software;Communication/Network Software;Desktop Publishing;Internet Services &amp; Software;Applications Software(Home)</v>
      </c>
      <c r="AA1052" s="6" t="str">
        <v>Primary Business not Hi-Tech</v>
      </c>
      <c r="AB1052" s="6" t="str">
        <v>Primary Business not Hi-Tech</v>
      </c>
      <c r="AH1052" s="6" t="str">
        <v>False</v>
      </c>
      <c r="AI1052" s="6" t="str">
        <v>2018</v>
      </c>
      <c r="AJ1052" s="6" t="str">
        <v>Completed</v>
      </c>
      <c r="AM1052" s="6" t="str">
        <v>Not Applicable</v>
      </c>
      <c r="AO1052" s="6" t="str">
        <v>CANADA - Amazon Web Services Inc of the US, a unit of Amazon.com Inc, acquired TSO Logic Inc, a Vancouver-based software publisher. Terms were not disclosed.</v>
      </c>
    </row>
    <row r="1053">
      <c r="A1053" s="6" t="str">
        <v>037833</v>
      </c>
      <c r="B1053" s="6" t="str">
        <v>United States</v>
      </c>
      <c r="C1053" s="6" t="str">
        <v>Apple Inc</v>
      </c>
      <c r="D1053" s="6" t="str">
        <v>Apple Inc</v>
      </c>
      <c r="F1053" s="6" t="str">
        <v>United States</v>
      </c>
      <c r="G1053" s="6" t="str">
        <v>Laserlike Inc</v>
      </c>
      <c r="H1053" s="6" t="str">
        <v>Prepackaged Software</v>
      </c>
      <c r="I1053" s="6" t="str">
        <v>8K6178</v>
      </c>
      <c r="J1053" s="6" t="str">
        <v>Laserlike Inc</v>
      </c>
      <c r="K1053" s="6" t="str">
        <v>Laserlike Inc</v>
      </c>
      <c r="L1053" s="7">
        <f>=DATE(2018,12,31)</f>
        <v>43464.99949074074</v>
      </c>
      <c r="M1053" s="7">
        <f>=DATE(2018,12,31)</f>
        <v>43464.99949074074</v>
      </c>
      <c r="W1053" s="6" t="str">
        <v>Mainframes &amp; Super Computers;Micro-Computers (PCs);Monitors/Terminals;Other Peripherals;Disk Drives;Other Software (inq. Games);Portable Computers;Printers</v>
      </c>
      <c r="X1053" s="6" t="str">
        <v>Other Software (inq. Games)</v>
      </c>
      <c r="Y1053" s="6" t="str">
        <v>Other Software (inq. Games)</v>
      </c>
      <c r="Z1053" s="6" t="str">
        <v>Other Software (inq. Games)</v>
      </c>
      <c r="AA1053" s="6" t="str">
        <v>Disk Drives;Mainframes &amp; Super Computers;Micro-Computers (PCs);Printers;Other Peripherals;Other Software (inq. Games);Monitors/Terminals;Portable Computers</v>
      </c>
      <c r="AB1053" s="6" t="str">
        <v>Monitors/Terminals;Micro-Computers (PCs);Printers;Mainframes &amp; Super Computers;Portable Computers;Other Software (inq. Games);Disk Drives;Other Peripherals</v>
      </c>
      <c r="AH1053" s="6" t="str">
        <v>False</v>
      </c>
      <c r="AI1053" s="6" t="str">
        <v>2018</v>
      </c>
      <c r="AJ1053" s="6" t="str">
        <v>Completed</v>
      </c>
      <c r="AM1053" s="6" t="str">
        <v>Not Applicable</v>
      </c>
      <c r="AO1053" s="6" t="str">
        <v>US - Apple Inc acquired Laserlike Inc, a Mountain View-based computer software company.</v>
      </c>
    </row>
    <row r="1054">
      <c r="A1054" s="6" t="str">
        <v>4C7902</v>
      </c>
      <c r="B1054" s="6" t="str">
        <v>United States</v>
      </c>
      <c r="C1054" s="6" t="str">
        <v>Amazon Web Services Inc</v>
      </c>
      <c r="D1054" s="6" t="str">
        <v>Amazon.com Inc</v>
      </c>
      <c r="F1054" s="6" t="str">
        <v>Israel</v>
      </c>
      <c r="G1054" s="6" t="str">
        <v>Cloudendure Ltd</v>
      </c>
      <c r="H1054" s="6" t="str">
        <v>Business Services</v>
      </c>
      <c r="I1054" s="6" t="str">
        <v>0J9252</v>
      </c>
      <c r="J1054" s="6" t="str">
        <v>Cloudendure Ltd</v>
      </c>
      <c r="K1054" s="6" t="str">
        <v>Cloudendure Ltd</v>
      </c>
      <c r="L1054" s="7">
        <f>=DATE(2019,1,10)</f>
        <v>43474.99949074074</v>
      </c>
      <c r="M1054" s="7">
        <f>=DATE(2019,1,10)</f>
        <v>43474.99949074074</v>
      </c>
      <c r="W1054" s="6" t="str">
        <v>Data Processing Services;Other Computer Related Svcs;Computer Consulting Services;Primary Business not Hi-Tech;Internet Services &amp; Software</v>
      </c>
      <c r="X1054" s="6" t="str">
        <v>Other Software (inq. Games);CAD/CAM/CAE/Graphics Systems;Operating Systems;Applications Software(Business;Applications Software(Home);Desktop Publishing;Communication/Network Software;Utilities/File Mgmt Software;Internet Services &amp; Software;Turnkey Systems;Networking Systems (LAN,WAN);Computer Consulting Services;Workstations;Data Processing Services;Primary Business not Hi-Tech;Data Commun(Exclude networking;Other Computer Systems;Other Computer Related Svcs</v>
      </c>
      <c r="Y1054" s="6" t="str">
        <v>Other Software (inq. Games);Turnkey Systems;Data Commun(Exclude networking;Networking Systems (LAN,WAN);CAD/CAM/CAE/Graphics Systems;Other Computer Systems;Other Computer Related Svcs;Data Processing Services;Operating Systems;Applications Software(Business;Applications Software(Home);Computer Consulting Services;Primary Business not Hi-Tech;Internet Services &amp; Software;Desktop Publishing;Workstations;Communication/Network Software;Utilities/File Mgmt Software</v>
      </c>
      <c r="Z1054" s="6" t="str">
        <v>Primary Business not Hi-Tech;Networking Systems (LAN,WAN);Data Commun(Exclude networking;Workstations;Operating Systems;Data Processing Services;Applications Software(Business;Other Software (inq. Games);Other Computer Related Svcs;Desktop Publishing;Communication/Network Software;CAD/CAM/CAE/Graphics Systems;Applications Software(Home);Utilities/File Mgmt Software;Other Computer Systems;Computer Consulting Services;Internet Services &amp; Software;Turnkey Systems</v>
      </c>
      <c r="AA1054" s="6" t="str">
        <v>Primary Business not Hi-Tech</v>
      </c>
      <c r="AB1054" s="6" t="str">
        <v>Primary Business not Hi-Tech</v>
      </c>
      <c r="AD1054" s="7">
        <f>=DATE(2019,1,10)</f>
        <v>43474.99949074074</v>
      </c>
      <c r="AH1054" s="6" t="str">
        <v>False</v>
      </c>
      <c r="AI1054" s="6" t="str">
        <v>2019</v>
      </c>
      <c r="AJ1054" s="6" t="str">
        <v>Completed</v>
      </c>
      <c r="AM1054" s="6" t="str">
        <v>Not Applicable</v>
      </c>
      <c r="AO1054" s="6" t="str">
        <v>ISRAEL - Amazon Web Services Inc of the US, a unit of Amazon.com Inc, acquired Cloudendure Ltd, an Yerushalayim-based software publisher. The terms of the transaction were not disclosed, but according to sources close to the transaction, the value was estimated at ILS 733.221 mil (USD 200 mil).</v>
      </c>
    </row>
    <row r="1055">
      <c r="A1055" s="6" t="str">
        <v>594918</v>
      </c>
      <c r="B1055" s="6" t="str">
        <v>United States</v>
      </c>
      <c r="C1055" s="6" t="str">
        <v>Microsoft Corp</v>
      </c>
      <c r="D1055" s="6" t="str">
        <v>Microsoft Corp</v>
      </c>
      <c r="F1055" s="6" t="str">
        <v>United States</v>
      </c>
      <c r="G1055" s="6" t="str">
        <v>Citus Data Inc</v>
      </c>
      <c r="H1055" s="6" t="str">
        <v>Prepackaged Software</v>
      </c>
      <c r="I1055" s="6" t="str">
        <v>0J1910</v>
      </c>
      <c r="J1055" s="6" t="str">
        <v>Citus Data Inc</v>
      </c>
      <c r="K1055" s="6" t="str">
        <v>Citus Data Inc</v>
      </c>
      <c r="L1055" s="7">
        <f>=DATE(2019,1,24)</f>
        <v>43488.99949074074</v>
      </c>
      <c r="M1055" s="7">
        <f>=DATE(2019,1,24)</f>
        <v>43488.99949074074</v>
      </c>
      <c r="W1055" s="6" t="str">
        <v>Computer Consulting Services;Applications Software(Business;Other Peripherals;Internet Services &amp; Software;Operating Systems;Monitors/Terminals</v>
      </c>
      <c r="X1055" s="6" t="str">
        <v>Applications Software(Business;Applications Software(Home);Desktop Publishing;Communication/Network Software;Utilities/File Mgmt Software;Internet Services &amp; Software</v>
      </c>
      <c r="Y1055" s="6" t="str">
        <v>Internet Services &amp; Software;Applications Software(Business;Communication/Network Software;Desktop Publishing;Applications Software(Home);Utilities/File Mgmt Software</v>
      </c>
      <c r="Z1055" s="6" t="str">
        <v>Applications Software(Home);Desktop Publishing;Communication/Network Software;Applications Software(Business;Internet Services &amp; Software;Utilities/File Mgmt Software</v>
      </c>
      <c r="AA1055" s="6" t="str">
        <v>Applications Software(Business;Operating Systems;Computer Consulting Services;Internet Services &amp; Software;Monitors/Terminals;Other Peripherals</v>
      </c>
      <c r="AB1055" s="6" t="str">
        <v>Internet Services &amp; Software;Other Peripherals;Operating Systems;Applications Software(Business;Computer Consulting Services;Monitors/Terminals</v>
      </c>
      <c r="AH1055" s="6" t="str">
        <v>False</v>
      </c>
      <c r="AI1055" s="6" t="str">
        <v>2019</v>
      </c>
      <c r="AJ1055" s="6" t="str">
        <v>Completed</v>
      </c>
      <c r="AM1055" s="6" t="str">
        <v>Not Applicable</v>
      </c>
      <c r="AO1055" s="6" t="str">
        <v>US - Microsoft Corp acquired Citus Data Inc, a San Francisco-based software publisher.</v>
      </c>
    </row>
    <row r="1056">
      <c r="A1056" s="6" t="str">
        <v>00507V</v>
      </c>
      <c r="B1056" s="6" t="str">
        <v>United States</v>
      </c>
      <c r="C1056" s="6" t="str">
        <v>Activision Blizzard Inc</v>
      </c>
      <c r="D1056" s="6" t="str">
        <v>Activision Blizzard Inc</v>
      </c>
      <c r="F1056" s="6" t="str">
        <v>United States</v>
      </c>
      <c r="G1056" s="6" t="str">
        <v>Activision Blizzard Inc</v>
      </c>
      <c r="H1056" s="6" t="str">
        <v>Prepackaged Software</v>
      </c>
      <c r="I1056" s="6" t="str">
        <v>00507V</v>
      </c>
      <c r="J1056" s="6" t="str">
        <v>Activision Blizzard Inc</v>
      </c>
      <c r="K1056" s="6" t="str">
        <v>Activision Blizzard Inc</v>
      </c>
      <c r="L1056" s="7">
        <f>=DATE(2019,1,31)</f>
        <v>43495.99949074074</v>
      </c>
      <c r="N1056" s="8">
        <v>1500</v>
      </c>
      <c r="O1056" s="8">
        <v>1500</v>
      </c>
      <c r="R1056" s="8">
        <v>1528</v>
      </c>
      <c r="S1056" s="8">
        <v>7500</v>
      </c>
      <c r="T1056" s="8">
        <v>-2020</v>
      </c>
      <c r="U1056" s="8">
        <v>-230</v>
      </c>
      <c r="V1056" s="8">
        <v>1790</v>
      </c>
      <c r="W1056" s="6" t="str">
        <v>Operating Systems;Other Software (inq. Games);Other Computer Systems</v>
      </c>
      <c r="X1056" s="6" t="str">
        <v>Operating Systems;Other Software (inq. Games);Other Computer Systems</v>
      </c>
      <c r="Y1056" s="6" t="str">
        <v>Operating Systems;Other Software (inq. Games);Other Computer Systems</v>
      </c>
      <c r="Z1056" s="6" t="str">
        <v>Other Software (inq. Games);Other Computer Systems;Operating Systems</v>
      </c>
      <c r="AA1056" s="6" t="str">
        <v>Other Computer Systems;Operating Systems;Other Software (inq. Games)</v>
      </c>
      <c r="AB1056" s="6" t="str">
        <v>Other Computer Systems;Other Software (inq. Games);Operating Systems</v>
      </c>
      <c r="AC1056" s="8">
        <v>1500</v>
      </c>
      <c r="AD1056" s="7">
        <f>=DATE(2019,1,31)</f>
        <v>43495.99949074074</v>
      </c>
      <c r="AH1056" s="6" t="str">
        <v>True</v>
      </c>
      <c r="AJ1056" s="6" t="str">
        <v>Pending</v>
      </c>
      <c r="AM1056" s="6" t="str">
        <v>Repurchase;Privately Negotiated Purchase;Open Market Purchase</v>
      </c>
      <c r="AN1056" s="8">
        <v>10562</v>
      </c>
      <c r="AO1056" s="6" t="str">
        <v>US - On January 2019, the board of Activision Blizzard Inc, a Santa Monica-based developer and wholesaler of interactive entertainment software, authorized the repurchase of up to USD 1.5 bil of the company's entire share capital, in open market or in a privately negotiated transaction.</v>
      </c>
    </row>
    <row r="1057">
      <c r="A1057" s="6" t="str">
        <v>037833</v>
      </c>
      <c r="B1057" s="6" t="str">
        <v>United States</v>
      </c>
      <c r="C1057" s="6" t="str">
        <v>Apple Inc</v>
      </c>
      <c r="D1057" s="6" t="str">
        <v>Apple Inc</v>
      </c>
      <c r="F1057" s="6" t="str">
        <v>United States</v>
      </c>
      <c r="G1057" s="6" t="str">
        <v>Apple Inc</v>
      </c>
      <c r="H1057" s="6" t="str">
        <v>Computer and Office Equipment</v>
      </c>
      <c r="I1057" s="6" t="str">
        <v>037833</v>
      </c>
      <c r="J1057" s="6" t="str">
        <v>Apple Inc</v>
      </c>
      <c r="K1057" s="6" t="str">
        <v>Apple Inc</v>
      </c>
      <c r="L1057" s="7">
        <f>=DATE(2019,2,3)</f>
        <v>43498.99949074074</v>
      </c>
      <c r="M1057" s="7">
        <f>=DATE(2019,8,31)</f>
        <v>43707.99949074074</v>
      </c>
      <c r="N1057" s="8">
        <v>12000</v>
      </c>
      <c r="O1057" s="8">
        <v>12000</v>
      </c>
      <c r="R1057" s="8">
        <v>58331</v>
      </c>
      <c r="S1057" s="8">
        <v>261612</v>
      </c>
      <c r="T1057" s="8">
        <v>-94051</v>
      </c>
      <c r="U1057" s="8">
        <v>35500</v>
      </c>
      <c r="V1057" s="8">
        <v>75831</v>
      </c>
      <c r="W1057" s="6" t="str">
        <v>Monitors/Terminals;Other Software (inq. Games);Disk Drives;Printers;Mainframes &amp; Super Computers;Portable Computers;Micro-Computers (PCs);Other Peripherals</v>
      </c>
      <c r="X1057" s="6" t="str">
        <v>Other Software (inq. Games);Mainframes &amp; Super Computers;Portable Computers;Other Peripherals;Monitors/Terminals;Micro-Computers (PCs);Disk Drives;Printers</v>
      </c>
      <c r="Y1057" s="6" t="str">
        <v>Other Peripherals;Monitors/Terminals;Portable Computers;Micro-Computers (PCs);Disk Drives;Printers;Mainframes &amp; Super Computers;Other Software (inq. Games)</v>
      </c>
      <c r="Z1057" s="6" t="str">
        <v>Micro-Computers (PCs);Portable Computers;Disk Drives;Printers;Other Peripherals;Other Software (inq. Games);Mainframes &amp; Super Computers;Monitors/Terminals</v>
      </c>
      <c r="AA1057" s="6" t="str">
        <v>Portable Computers;Disk Drives;Other Peripherals;Micro-Computers (PCs);Other Software (inq. Games);Monitors/Terminals;Printers;Mainframes &amp; Super Computers</v>
      </c>
      <c r="AB1057" s="6" t="str">
        <v>Other Software (inq. Games);Portable Computers;Micro-Computers (PCs);Mainframes &amp; Super Computers;Printers;Other Peripherals;Monitors/Terminals;Disk Drives</v>
      </c>
      <c r="AC1057" s="8">
        <v>12000</v>
      </c>
      <c r="AD1057" s="7">
        <f>=DATE(2019,2,2)</f>
        <v>43497.99949074074</v>
      </c>
      <c r="AH1057" s="6" t="str">
        <v>True</v>
      </c>
      <c r="AI1057" s="6" t="str">
        <v>2019</v>
      </c>
      <c r="AJ1057" s="6" t="str">
        <v>Completed</v>
      </c>
      <c r="AM1057" s="6" t="str">
        <v>Open Market Purchase;Repurchase</v>
      </c>
      <c r="AO1057" s="6" t="str">
        <v>US - On February 2019, the board of Apple Inc, a Cupertino-based manufacturer and wholesaler of mobile communication and media devices, completed the repurchase of USD 12 bil of the company's entire share capital, in an accelerated buyback transaction.</v>
      </c>
    </row>
    <row r="1058">
      <c r="A1058" s="6" t="str">
        <v>30303M</v>
      </c>
      <c r="B1058" s="6" t="str">
        <v>United States</v>
      </c>
      <c r="C1058" s="6" t="str">
        <v>Facebook Inc</v>
      </c>
      <c r="D1058" s="6" t="str">
        <v>Facebook Inc</v>
      </c>
      <c r="F1058" s="6" t="str">
        <v>United States</v>
      </c>
      <c r="G1058" s="6" t="str">
        <v>Grokstyle Inc</v>
      </c>
      <c r="H1058" s="6" t="str">
        <v>Prepackaged Software</v>
      </c>
      <c r="I1058" s="6" t="str">
        <v>0J8368</v>
      </c>
      <c r="J1058" s="6" t="str">
        <v>Grokstyle Inc</v>
      </c>
      <c r="K1058" s="6" t="str">
        <v>Grokstyle Inc</v>
      </c>
      <c r="L1058" s="7">
        <f>=DATE(2019,2,8)</f>
        <v>43503.99949074074</v>
      </c>
      <c r="M1058" s="7">
        <f>=DATE(2019,2,8)</f>
        <v>43503.99949074074</v>
      </c>
      <c r="W1058" s="6" t="str">
        <v>Internet Services &amp; Software</v>
      </c>
      <c r="X1058" s="6" t="str">
        <v>Applications Software(Business;Desktop Publishing;Primary Business not Hi-Tech;Other Software (inq. Games);Applications Software(Home);Communication/Network Software;Internet Services &amp; Software;Utilities/File Mgmt Software</v>
      </c>
      <c r="Y1058" s="6" t="str">
        <v>Primary Business not Hi-Tech;Utilities/File Mgmt Software;Other Software (inq. Games);Applications Software(Business;Internet Services &amp; Software;Desktop Publishing;Communication/Network Software;Applications Software(Home)</v>
      </c>
      <c r="Z1058" s="6" t="str">
        <v>Desktop Publishing;Applications Software(Business;Communication/Network Software;Utilities/File Mgmt Software;Internet Services &amp; Software;Other Software (inq. Games);Applications Software(Home);Primary Business not Hi-Tech</v>
      </c>
      <c r="AA1058" s="6" t="str">
        <v>Internet Services &amp; Software</v>
      </c>
      <c r="AB1058" s="6" t="str">
        <v>Internet Services &amp; Software</v>
      </c>
      <c r="AH1058" s="6" t="str">
        <v>False</v>
      </c>
      <c r="AI1058" s="6" t="str">
        <v>2019</v>
      </c>
      <c r="AJ1058" s="6" t="str">
        <v>Completed</v>
      </c>
      <c r="AM1058" s="6" t="str">
        <v>Financial Acquiror</v>
      </c>
      <c r="AO1058" s="6" t="str">
        <v>US - Facebook Inc acquired Grokstyle Inc, a San Francisco-based visual furniture and decor software publisher.</v>
      </c>
    </row>
    <row r="1059">
      <c r="A1059" s="6" t="str">
        <v>3F8100</v>
      </c>
      <c r="B1059" s="6" t="str">
        <v>United States</v>
      </c>
      <c r="C1059" s="6" t="str">
        <v>GV Management Co LLC</v>
      </c>
      <c r="D1059" s="6" t="str">
        <v>Alphabet Inc</v>
      </c>
      <c r="F1059" s="6" t="str">
        <v>United States</v>
      </c>
      <c r="G1059" s="6" t="str">
        <v>Farmers Business Network Inc</v>
      </c>
      <c r="H1059" s="6" t="str">
        <v>Prepackaged Software</v>
      </c>
      <c r="I1059" s="6" t="str">
        <v>9H3927</v>
      </c>
      <c r="J1059" s="6" t="str">
        <v>Farmers Business Network Inc</v>
      </c>
      <c r="K1059" s="6" t="str">
        <v>Farmers Business Network Inc</v>
      </c>
      <c r="L1059" s="7">
        <f>=DATE(2019,2,11)</f>
        <v>43506.99949074074</v>
      </c>
      <c r="M1059" s="7">
        <f>=DATE(2019,2,11)</f>
        <v>43506.99949074074</v>
      </c>
      <c r="W1059" s="6" t="str">
        <v>Primary Business not Hi-Tech</v>
      </c>
      <c r="X1059" s="6" t="str">
        <v>Desktop Publishing;Internet Services &amp; Software;Other Software (inq. Games);Applications Software(Business;Utilities/File Mgmt Software;Communication/Network Software;Applications Software(Home)</v>
      </c>
      <c r="Y1059" s="6" t="str">
        <v>Applications Software(Business;Applications Software(Home);Other Software (inq. Games);Communication/Network Software;Desktop Publishing;Utilities/File Mgmt Software;Internet Services &amp; Software</v>
      </c>
      <c r="Z1059" s="6" t="str">
        <v>Other Software (inq. Games);Desktop Publishing;Internet Services &amp; Software;Applications Software(Business;Applications Software(Home);Communication/Network Software;Utilities/File Mgmt Software</v>
      </c>
      <c r="AA1059" s="6" t="str">
        <v>Internet Services &amp; Software;Programming Services</v>
      </c>
      <c r="AB1059" s="6" t="str">
        <v>Computer Consulting Services;Internet Services &amp; Software;Primary Business not Hi-Tech;Programming Services;Telecommunications Equipment</v>
      </c>
      <c r="AH1059" s="6" t="str">
        <v>True</v>
      </c>
      <c r="AI1059" s="6" t="str">
        <v>2019</v>
      </c>
      <c r="AJ1059" s="6" t="str">
        <v>Completed</v>
      </c>
      <c r="AM1059" s="6" t="str">
        <v>Privately Negotiated Purchase;Financial Acquiror</v>
      </c>
      <c r="AO1059" s="6" t="str">
        <v>US - Google Ventures, a unit of Google Inc, acquired an undisclosed minority stake in Farmers Business Network Inc, a Sioux Falls-based operator of an independent farmer-to-farmer network, in a privately negotiated transaction.</v>
      </c>
    </row>
    <row r="1060">
      <c r="A1060" s="6" t="str">
        <v>023135</v>
      </c>
      <c r="B1060" s="6" t="str">
        <v>United States</v>
      </c>
      <c r="C1060" s="6" t="str">
        <v>Amazon.com Inc</v>
      </c>
      <c r="D1060" s="6" t="str">
        <v>Amazon.com Inc</v>
      </c>
      <c r="F1060" s="6" t="str">
        <v>United States</v>
      </c>
      <c r="G1060" s="6" t="str">
        <v>Eero Inc</v>
      </c>
      <c r="H1060" s="6" t="str">
        <v>Telecommunications</v>
      </c>
      <c r="I1060" s="6" t="str">
        <v>9H4625</v>
      </c>
      <c r="J1060" s="6" t="str">
        <v>Eero Inc</v>
      </c>
      <c r="K1060" s="6" t="str">
        <v>Eero Inc</v>
      </c>
      <c r="L1060" s="7">
        <f>=DATE(2019,2,11)</f>
        <v>43506.99949074074</v>
      </c>
      <c r="W1060" s="6" t="str">
        <v>Primary Business not Hi-Tech</v>
      </c>
      <c r="X1060" s="6" t="str">
        <v>Satellite Communications;Primary Business not Hi-Tech;Telecommunications Equipment</v>
      </c>
      <c r="Y1060" s="6" t="str">
        <v>Telecommunications Equipment;Primary Business not Hi-Tech;Satellite Communications</v>
      </c>
      <c r="Z1060" s="6" t="str">
        <v>Satellite Communications;Primary Business not Hi-Tech;Telecommunications Equipment</v>
      </c>
      <c r="AA1060" s="6" t="str">
        <v>Primary Business not Hi-Tech</v>
      </c>
      <c r="AB1060" s="6" t="str">
        <v>Primary Business not Hi-Tech</v>
      </c>
      <c r="AH1060" s="6" t="str">
        <v>False</v>
      </c>
      <c r="AJ1060" s="6" t="str">
        <v>Pending</v>
      </c>
      <c r="AM1060" s="6" t="str">
        <v>Not Applicable</v>
      </c>
      <c r="AO1060" s="6" t="str">
        <v>US - Amazon.Com Inc definitively agreed to merge with Eero Inc, a San Francisco-based wireless telecommunications carrier.</v>
      </c>
    </row>
    <row r="1061">
      <c r="A1061" s="6" t="str">
        <v>037833</v>
      </c>
      <c r="B1061" s="6" t="str">
        <v>United States</v>
      </c>
      <c r="C1061" s="6" t="str">
        <v>Apple Inc</v>
      </c>
      <c r="D1061" s="6" t="str">
        <v>Apple Inc</v>
      </c>
      <c r="F1061" s="6" t="str">
        <v>United Kingdom</v>
      </c>
      <c r="G1061" s="6" t="str">
        <v>Operatedata Ltd</v>
      </c>
      <c r="H1061" s="6" t="str">
        <v>Business Services</v>
      </c>
      <c r="I1061" s="6" t="str">
        <v>1J9879</v>
      </c>
      <c r="J1061" s="6" t="str">
        <v>Operatedata Ltd</v>
      </c>
      <c r="K1061" s="6" t="str">
        <v>Operatedata Ltd</v>
      </c>
      <c r="L1061" s="7">
        <f>=DATE(2019,2,14)</f>
        <v>43509.99949074074</v>
      </c>
      <c r="M1061" s="7">
        <f>=DATE(2019,2,14)</f>
        <v>43509.99949074074</v>
      </c>
      <c r="W1061" s="6" t="str">
        <v>Other Software (inq. Games);Disk Drives;Other Peripherals;Mainframes &amp; Super Computers;Portable Computers;Micro-Computers (PCs);Monitors/Terminals;Printers</v>
      </c>
      <c r="X1061" s="6" t="str">
        <v>Other Software (inq. Games);Other Computer Related Svcs;Data Processing Services;Computer Consulting Services</v>
      </c>
      <c r="Y1061" s="6" t="str">
        <v>Other Software (inq. Games);Computer Consulting Services;Data Processing Services;Other Computer Related Svcs</v>
      </c>
      <c r="Z1061" s="6" t="str">
        <v>Computer Consulting Services;Other Software (inq. Games);Other Computer Related Svcs;Data Processing Services</v>
      </c>
      <c r="AA1061" s="6" t="str">
        <v>Micro-Computers (PCs);Printers;Disk Drives;Other Software (inq. Games);Monitors/Terminals;Other Peripherals;Mainframes &amp; Super Computers;Portable Computers</v>
      </c>
      <c r="AB1061" s="6" t="str">
        <v>Other Peripherals;Printers;Other Software (inq. Games);Monitors/Terminals;Disk Drives;Portable Computers;Micro-Computers (PCs);Mainframes &amp; Super Computers</v>
      </c>
      <c r="AH1061" s="6" t="str">
        <v>False</v>
      </c>
      <c r="AI1061" s="6" t="str">
        <v>2019</v>
      </c>
      <c r="AJ1061" s="6" t="str">
        <v>Completed</v>
      </c>
      <c r="AM1061" s="6" t="str">
        <v>Not Applicable</v>
      </c>
      <c r="AO1061" s="6" t="str">
        <v>UK - Apple Inc of the US acquired Operatedata Ltd, a London-based software publisher.</v>
      </c>
    </row>
    <row r="1062">
      <c r="A1062" s="6" t="str">
        <v>037833</v>
      </c>
      <c r="B1062" s="6" t="str">
        <v>United States</v>
      </c>
      <c r="C1062" s="6" t="str">
        <v>Apple Inc</v>
      </c>
      <c r="D1062" s="6" t="str">
        <v>Apple Inc</v>
      </c>
      <c r="F1062" s="6" t="str">
        <v>United States</v>
      </c>
      <c r="G1062" s="6" t="str">
        <v>PullString Inc</v>
      </c>
      <c r="H1062" s="6" t="str">
        <v>Prepackaged Software</v>
      </c>
      <c r="I1062" s="6" t="str">
        <v>0J9908</v>
      </c>
      <c r="J1062" s="6" t="str">
        <v>PullString Inc</v>
      </c>
      <c r="K1062" s="6" t="str">
        <v>PullString Inc</v>
      </c>
      <c r="L1062" s="7">
        <f>=DATE(2019,2,16)</f>
        <v>43511.99949074074</v>
      </c>
      <c r="M1062" s="7">
        <f>=DATE(2019,2,16)</f>
        <v>43511.99949074074</v>
      </c>
      <c r="W1062" s="6" t="str">
        <v>Portable Computers;Other Peripherals;Printers;Other Software (inq. Games);Monitors/Terminals;Micro-Computers (PCs);Mainframes &amp; Super Computers;Disk Drives</v>
      </c>
      <c r="X1062" s="6" t="str">
        <v>Other Software (inq. Games)</v>
      </c>
      <c r="Y1062" s="6" t="str">
        <v>Other Software (inq. Games)</v>
      </c>
      <c r="Z1062" s="6" t="str">
        <v>Other Software (inq. Games)</v>
      </c>
      <c r="AA1062" s="6" t="str">
        <v>Portable Computers;Monitors/Terminals;Printers;Mainframes &amp; Super Computers;Micro-Computers (PCs);Other Peripherals;Disk Drives;Other Software (inq. Games)</v>
      </c>
      <c r="AB1062" s="6" t="str">
        <v>Monitors/Terminals;Printers;Other Peripherals;Other Software (inq. Games);Mainframes &amp; Super Computers;Disk Drives;Micro-Computers (PCs);Portable Computers</v>
      </c>
      <c r="AH1062" s="6" t="str">
        <v>False</v>
      </c>
      <c r="AI1062" s="6" t="str">
        <v>2019</v>
      </c>
      <c r="AJ1062" s="6" t="str">
        <v>Completed</v>
      </c>
      <c r="AM1062" s="6" t="str">
        <v>Not Applicable</v>
      </c>
      <c r="AO1062" s="6" t="str">
        <v>US - Apple Inc acquired PullString Inc, a San Francisco-based developer of voice recognition software.</v>
      </c>
    </row>
    <row r="1063">
      <c r="A1063" s="6" t="str">
        <v>9H1420</v>
      </c>
      <c r="B1063" s="6" t="str">
        <v>United States</v>
      </c>
      <c r="C1063" s="6" t="str">
        <v>Google Cloud Platform</v>
      </c>
      <c r="D1063" s="6" t="str">
        <v>Alphabet Inc</v>
      </c>
      <c r="F1063" s="6" t="str">
        <v>United States</v>
      </c>
      <c r="G1063" s="6" t="str">
        <v>Alooma Inc</v>
      </c>
      <c r="H1063" s="6" t="str">
        <v>Prepackaged Software</v>
      </c>
      <c r="I1063" s="6" t="str">
        <v>0J9924</v>
      </c>
      <c r="J1063" s="6" t="str">
        <v>Alooma Inc</v>
      </c>
      <c r="K1063" s="6" t="str">
        <v>Alooma Inc</v>
      </c>
      <c r="L1063" s="7">
        <f>=DATE(2019,2,19)</f>
        <v>43514.99949074074</v>
      </c>
      <c r="M1063" s="7">
        <f>=DATE(2019,2,19)</f>
        <v>43514.99949074074</v>
      </c>
      <c r="W1063" s="6" t="str">
        <v>Other Software (inq. Games)</v>
      </c>
      <c r="X1063" s="6" t="str">
        <v>Other Software (inq. Games)</v>
      </c>
      <c r="Y1063" s="6" t="str">
        <v>Other Software (inq. Games)</v>
      </c>
      <c r="Z1063" s="6" t="str">
        <v>Other Software (inq. Games)</v>
      </c>
      <c r="AA1063" s="6" t="str">
        <v>Programming Services;Internet Services &amp; Software</v>
      </c>
      <c r="AB1063" s="6" t="str">
        <v>Primary Business not Hi-Tech;Internet Services &amp; Software;Telecommunications Equipment;Programming Services;Computer Consulting Services</v>
      </c>
      <c r="AD1063" s="7">
        <f>=DATE(2019,2,19)</f>
        <v>43514.99949074074</v>
      </c>
      <c r="AH1063" s="6" t="str">
        <v>False</v>
      </c>
      <c r="AI1063" s="6" t="str">
        <v>2019</v>
      </c>
      <c r="AJ1063" s="6" t="str">
        <v>Completed</v>
      </c>
      <c r="AM1063" s="6" t="str">
        <v>Not Applicable</v>
      </c>
      <c r="AO1063" s="6" t="str">
        <v>US - Google Cloud Platform, a unit of Google Inc, agreed to acquire Alooma Inc, a Redwood City-based developer of cloud software. The terms of the transaction were not disclosed, but according to sources close to the transaction, the value was estimated at USD 150 mil.</v>
      </c>
    </row>
    <row r="1064">
      <c r="A1064" s="6" t="str">
        <v>037833</v>
      </c>
      <c r="B1064" s="6" t="str">
        <v>United States</v>
      </c>
      <c r="C1064" s="6" t="str">
        <v>Apple Inc</v>
      </c>
      <c r="D1064" s="6" t="str">
        <v>Apple Inc</v>
      </c>
      <c r="F1064" s="6" t="str">
        <v>United Kingdom</v>
      </c>
      <c r="G1064" s="6" t="str">
        <v>Stamplay Ltd</v>
      </c>
      <c r="H1064" s="6" t="str">
        <v>Business Services</v>
      </c>
      <c r="I1064" s="6" t="str">
        <v>1J9928</v>
      </c>
      <c r="J1064" s="6" t="str">
        <v>Stamplay Ltd</v>
      </c>
      <c r="K1064" s="6" t="str">
        <v>Stamplay Ltd</v>
      </c>
      <c r="L1064" s="7">
        <f>=DATE(2019,3,22)</f>
        <v>43545.99949074074</v>
      </c>
      <c r="M1064" s="7">
        <f>=DATE(2019,3,22)</f>
        <v>43545.99949074074</v>
      </c>
      <c r="N1064" s="8">
        <v>5.63995019332853</v>
      </c>
      <c r="O1064" s="8">
        <v>5.63995019332853</v>
      </c>
      <c r="W1064" s="6" t="str">
        <v>Disk Drives;Monitors/Terminals;Micro-Computers (PCs);Portable Computers;Other Peripherals;Mainframes &amp; Super Computers;Printers;Other Software (inq. Games)</v>
      </c>
      <c r="X1064" s="6" t="str">
        <v>Internet Services &amp; Software;Communication/Network Software;Utilities/File Mgmt Software;Applications Software(Home);Programming Services;Other Software (inq. Games);Desktop Publishing;Database Software/Programming;Applications Software(Business</v>
      </c>
      <c r="Y1064" s="6" t="str">
        <v>Internet Services &amp; Software;Applications Software(Business;Database Software/Programming;Other Software (inq. Games);Desktop Publishing;Utilities/File Mgmt Software;Applications Software(Home);Communication/Network Software;Programming Services</v>
      </c>
      <c r="Z1064" s="6" t="str">
        <v>Programming Services;Other Software (inq. Games);Communication/Network Software;Applications Software(Business;Desktop Publishing;Utilities/File Mgmt Software;Database Software/Programming;Applications Software(Home);Internet Services &amp; Software</v>
      </c>
      <c r="AA1064" s="6" t="str">
        <v>Micro-Computers (PCs);Other Peripherals;Disk Drives;Monitors/Terminals;Mainframes &amp; Super Computers;Other Software (inq. Games);Printers;Portable Computers</v>
      </c>
      <c r="AB1064" s="6" t="str">
        <v>Other Peripherals;Micro-Computers (PCs);Mainframes &amp; Super Computers;Other Software (inq. Games);Portable Computers;Monitors/Terminals;Disk Drives;Printers</v>
      </c>
      <c r="AC1064" s="8">
        <v>5.63995019332853</v>
      </c>
      <c r="AD1064" s="7">
        <f>=DATE(2019,3,22)</f>
        <v>43545.99949074074</v>
      </c>
      <c r="AH1064" s="6" t="str">
        <v>False</v>
      </c>
      <c r="AI1064" s="6" t="str">
        <v>2019</v>
      </c>
      <c r="AJ1064" s="6" t="str">
        <v>Completed</v>
      </c>
      <c r="AM1064" s="6" t="str">
        <v>Not Applicable</v>
      </c>
      <c r="AO1064" s="6" t="str">
        <v>UK - Apple Inc of the US acquired Stamplay Ltd, a London-based provider of custom computer programming services, for a total GBP 4.303 mil (USD 5.64 mil).</v>
      </c>
    </row>
    <row r="1065">
      <c r="A1065" s="6" t="str">
        <v>023135</v>
      </c>
      <c r="B1065" s="6" t="str">
        <v>United States</v>
      </c>
      <c r="C1065" s="6" t="str">
        <v>Amazon.com Inc</v>
      </c>
      <c r="D1065" s="6" t="str">
        <v>Amazon.com Inc</v>
      </c>
      <c r="F1065" s="6" t="str">
        <v>United States</v>
      </c>
      <c r="G1065" s="6" t="str">
        <v>Canvas Technology LLC</v>
      </c>
      <c r="H1065" s="6" t="str">
        <v>Business Services</v>
      </c>
      <c r="I1065" s="6" t="str">
        <v>2J7601</v>
      </c>
      <c r="J1065" s="6" t="str">
        <v>Canvas Technology LLC</v>
      </c>
      <c r="K1065" s="6" t="str">
        <v>Canvas Technology LLC</v>
      </c>
      <c r="L1065" s="7">
        <f>=DATE(2019,4,10)</f>
        <v>43564.99949074074</v>
      </c>
      <c r="M1065" s="7">
        <f>=DATE(2019,4,10)</f>
        <v>43564.99949074074</v>
      </c>
      <c r="W1065" s="6" t="str">
        <v>Primary Business not Hi-Tech</v>
      </c>
      <c r="X1065" s="6" t="str">
        <v>Communication/Network Software;Networking Systems (LAN,WAN);Workstations;Internet Services &amp; Software;Other Computer Related Svcs;Computer Consulting Services;CAD/CAM/CAE/Graphics Systems;Turnkey Systems;Other Computer Systems;Data Commun(Exclude networking;Operating Systems</v>
      </c>
      <c r="Y1065" s="6" t="str">
        <v>Networking Systems (LAN,WAN);Data Commun(Exclude networking;Other Computer Related Svcs;Workstations;Computer Consulting Services;Turnkey Systems;Operating Systems;Other Computer Systems;CAD/CAM/CAE/Graphics Systems;Communication/Network Software;Internet Services &amp; Software</v>
      </c>
      <c r="Z1065" s="6" t="str">
        <v>CAD/CAM/CAE/Graphics Systems;Workstations;Networking Systems (LAN,WAN);Internet Services &amp; Software;Communication/Network Software;Turnkey Systems;Computer Consulting Services;Data Commun(Exclude networking;Operating Systems;Other Computer Related Svcs;Other Computer Systems</v>
      </c>
      <c r="AA1065" s="6" t="str">
        <v>Primary Business not Hi-Tech</v>
      </c>
      <c r="AB1065" s="6" t="str">
        <v>Primary Business not Hi-Tech</v>
      </c>
      <c r="AH1065" s="6" t="str">
        <v>False</v>
      </c>
      <c r="AI1065" s="6" t="str">
        <v>2019</v>
      </c>
      <c r="AJ1065" s="6" t="str">
        <v>Completed</v>
      </c>
      <c r="AM1065" s="6" t="str">
        <v>Not Applicable</v>
      </c>
      <c r="AO1065" s="6" t="str">
        <v>US - Amazon.com Inc acquired Canvas Technology LLC, a Boulder-based provider of industrial automation services.</v>
      </c>
    </row>
    <row r="1066">
      <c r="A1066" s="6" t="str">
        <v>594918</v>
      </c>
      <c r="B1066" s="6" t="str">
        <v>United States</v>
      </c>
      <c r="C1066" s="6" t="str">
        <v>Microsoft Corp</v>
      </c>
      <c r="D1066" s="6" t="str">
        <v>Microsoft Corp</v>
      </c>
      <c r="F1066" s="6" t="str">
        <v>United States</v>
      </c>
      <c r="G1066" s="6" t="str">
        <v>Express Logic Inc</v>
      </c>
      <c r="H1066" s="6" t="str">
        <v>Prepackaged Software</v>
      </c>
      <c r="I1066" s="6" t="str">
        <v>2J8760</v>
      </c>
      <c r="J1066" s="6" t="str">
        <v>Express Logic Inc</v>
      </c>
      <c r="K1066" s="6" t="str">
        <v>Express Logic Inc</v>
      </c>
      <c r="L1066" s="7">
        <f>=DATE(2019,4,18)</f>
        <v>43572.99949074074</v>
      </c>
      <c r="M1066" s="7">
        <f>=DATE(2019,4,18)</f>
        <v>43572.99949074074</v>
      </c>
      <c r="W1066" s="6" t="str">
        <v>Computer Consulting Services;Applications Software(Business;Other Peripherals;Monitors/Terminals;Operating Systems;Internet Services &amp; Software</v>
      </c>
      <c r="X1066" s="6" t="str">
        <v>Other Software (inq. Games)</v>
      </c>
      <c r="Y1066" s="6" t="str">
        <v>Other Software (inq. Games)</v>
      </c>
      <c r="Z1066" s="6" t="str">
        <v>Other Software (inq. Games)</v>
      </c>
      <c r="AA1066" s="6" t="str">
        <v>Operating Systems;Applications Software(Business;Computer Consulting Services;Monitors/Terminals;Internet Services &amp; Software;Other Peripherals</v>
      </c>
      <c r="AB1066" s="6" t="str">
        <v>Other Peripherals;Computer Consulting Services;Operating Systems;Applications Software(Business;Monitors/Terminals;Internet Services &amp; Software</v>
      </c>
      <c r="AH1066" s="6" t="str">
        <v>False</v>
      </c>
      <c r="AI1066" s="6" t="str">
        <v>2019</v>
      </c>
      <c r="AJ1066" s="6" t="str">
        <v>Completed</v>
      </c>
      <c r="AM1066" s="6" t="str">
        <v>Not Applicable</v>
      </c>
      <c r="AO1066" s="6" t="str">
        <v>US - Microsoft Corp acquired Express Logic Inc, a San Diego-based developer and wholesaler of real-time operating systems and middleware products.</v>
      </c>
    </row>
    <row r="1067">
      <c r="A1067" s="6" t="str">
        <v>023135</v>
      </c>
      <c r="B1067" s="6" t="str">
        <v>United States</v>
      </c>
      <c r="C1067" s="6" t="str">
        <v>Amazon.com Inc</v>
      </c>
      <c r="D1067" s="6" t="str">
        <v>Amazon.com Inc</v>
      </c>
      <c r="E1067" s="6" t="str">
        <v>YCOR</v>
      </c>
      <c r="F1067" s="6" t="str">
        <v>United States</v>
      </c>
      <c r="G1067" s="6" t="str">
        <v>Sizmek Inc-Sizmek Ad Server &amp; Sizmek Dynamic Creative Optimization Business</v>
      </c>
      <c r="H1067" s="6" t="str">
        <v>Business Services</v>
      </c>
      <c r="I1067" s="6" t="str">
        <v>3J9627</v>
      </c>
      <c r="J1067" s="6" t="str">
        <v>Bpost SA</v>
      </c>
      <c r="K1067" s="6" t="str">
        <v>Sizmek Inc</v>
      </c>
      <c r="L1067" s="7">
        <f>=DATE(2019,5,31)</f>
        <v>43615.99949074074</v>
      </c>
      <c r="W1067" s="6" t="str">
        <v>Primary Business not Hi-Tech</v>
      </c>
      <c r="X1067" s="6" t="str">
        <v>Other Computer Related Svcs;Programming Services;Database Software/Programming</v>
      </c>
      <c r="Y1067" s="6" t="str">
        <v>Primary Business not Hi-Tech</v>
      </c>
      <c r="Z1067" s="6" t="str">
        <v>Primary Business not Hi-Tech</v>
      </c>
      <c r="AA1067" s="6" t="str">
        <v>Primary Business not Hi-Tech</v>
      </c>
      <c r="AB1067" s="6" t="str">
        <v>Primary Business not Hi-Tech</v>
      </c>
      <c r="AH1067" s="6" t="str">
        <v>False</v>
      </c>
      <c r="AJ1067" s="6" t="str">
        <v>Pending</v>
      </c>
      <c r="AM1067" s="6" t="str">
        <v>Divestiture;Restructuring;Bankruptcy Acquisition</v>
      </c>
      <c r="AO1067" s="6" t="str">
        <v>US - Amazon.com Inc definitvely agreed to acquire the Sizmek Ad Server &amp; Sizmek Dynamic Creative Optimization business of the bankrupt Sizmek Inc (Sizmek),  an Austin-based display advertising agency. Concurrently, Ycor planned to acquire the Sizmek ad server &amp; the dynamic creative optimization business.</v>
      </c>
    </row>
    <row r="1068">
      <c r="A1068" s="6" t="str">
        <v>7J8440</v>
      </c>
      <c r="B1068" s="6" t="str">
        <v>United States</v>
      </c>
      <c r="C1068" s="6" t="str">
        <v>Google LLC</v>
      </c>
      <c r="D1068" s="6" t="str">
        <v>Alphabet Inc</v>
      </c>
      <c r="F1068" s="6" t="str">
        <v>United States</v>
      </c>
      <c r="G1068" s="6" t="str">
        <v>Looker Data Sciences Inc</v>
      </c>
      <c r="H1068" s="6" t="str">
        <v>Prepackaged Software</v>
      </c>
      <c r="I1068" s="6" t="str">
        <v>8H8322</v>
      </c>
      <c r="J1068" s="6" t="str">
        <v>Looker Data Sciences Inc</v>
      </c>
      <c r="K1068" s="6" t="str">
        <v>Looker Data Sciences Inc</v>
      </c>
      <c r="L1068" s="7">
        <f>=DATE(2019,6,6)</f>
        <v>43621.99949074074</v>
      </c>
      <c r="M1068" s="7">
        <f>=DATE(2020,2,12)</f>
        <v>43872.99949074074</v>
      </c>
      <c r="N1068" s="8">
        <v>2600</v>
      </c>
      <c r="O1068" s="8">
        <v>2600</v>
      </c>
      <c r="W1068" s="6" t="str">
        <v>Programming Services;Internet Services &amp; Software</v>
      </c>
      <c r="X1068" s="6" t="str">
        <v>Internet Services &amp; Software;Utilities/File Mgmt Software;Communication/Network Software;Desktop Publishing;Database Software/Programming;Other Software (inq. Games);Applications Software(Home);Applications Software(Business;Programming Services</v>
      </c>
      <c r="Y1068" s="6" t="str">
        <v>Utilities/File Mgmt Software;Other Software (inq. Games);Applications Software(Home);Database Software/Programming;Programming Services;Communication/Network Software;Internet Services &amp; Software;Desktop Publishing;Applications Software(Business</v>
      </c>
      <c r="Z1068" s="6" t="str">
        <v>Desktop Publishing;Utilities/File Mgmt Software;Internet Services &amp; Software;Applications Software(Business;Communication/Network Software;Applications Software(Home);Programming Services;Database Software/Programming;Other Software (inq. Games)</v>
      </c>
      <c r="AA1068" s="6" t="str">
        <v>Internet Services &amp; Software;Telecommunications Equipment;Programming Services;Computer Consulting Services;Primary Business not Hi-Tech</v>
      </c>
      <c r="AB1068" s="6" t="str">
        <v>Internet Services &amp; Software;Computer Consulting Services;Telecommunications Equipment;Programming Services;Primary Business not Hi-Tech</v>
      </c>
      <c r="AC1068" s="8">
        <v>2600</v>
      </c>
      <c r="AD1068" s="7">
        <f>=DATE(2019,6,6)</f>
        <v>43621.99949074074</v>
      </c>
      <c r="AH1068" s="6" t="str">
        <v>True</v>
      </c>
      <c r="AI1068" s="6" t="str">
        <v>2020</v>
      </c>
      <c r="AJ1068" s="6" t="str">
        <v>Completed</v>
      </c>
      <c r="AM1068" s="6" t="str">
        <v>Not Applicable</v>
      </c>
      <c r="AO1068" s="6" t="str">
        <v>US - Google Inc, a unit of Alphabet Inc, acquired the undisclosed remaining interest, which it did not already own, in Looker Data Sciences Inc, a Santa Cruz-based developer of business intelligence, data applications and embedded analytics platform, from Cross Creek Advisors LLC, Goldman Sachs Group Inc, Kleiner Perkins Caufield &amp; Byers LLC, MeriTech Capital Partners, Premji Invest, Redpoint Ventures and other shareholders, for USD 2.6 bil in cash.</v>
      </c>
    </row>
    <row r="1069">
      <c r="A1069" s="6" t="str">
        <v>59476P</v>
      </c>
      <c r="B1069" s="6" t="str">
        <v>United States</v>
      </c>
      <c r="C1069" s="6" t="str">
        <v>Microsoft Game Studios</v>
      </c>
      <c r="D1069" s="6" t="str">
        <v>Microsoft Corp</v>
      </c>
      <c r="F1069" s="6" t="str">
        <v>United States</v>
      </c>
      <c r="G1069" s="6" t="str">
        <v>Double Fine Productions Inc</v>
      </c>
      <c r="H1069" s="6" t="str">
        <v>Prepackaged Software</v>
      </c>
      <c r="I1069" s="6" t="str">
        <v>6J5947</v>
      </c>
      <c r="J1069" s="6" t="str">
        <v>Double Fine Productions Inc</v>
      </c>
      <c r="K1069" s="6" t="str">
        <v>Double Fine Productions Inc</v>
      </c>
      <c r="L1069" s="7">
        <f>=DATE(2019,6,9)</f>
        <v>43624.99949074074</v>
      </c>
      <c r="M1069" s="7">
        <f>=DATE(2019,6,9)</f>
        <v>43624.99949074074</v>
      </c>
      <c r="W1069" s="6" t="str">
        <v>Other Software (inq. Games);Applications Software(Business;Applications Software(Home);Utilities/File Mgmt Software;Internet Services &amp; Software;Communication/Network Software;Desktop Publishing</v>
      </c>
      <c r="X1069" s="6" t="str">
        <v>Applications Software(Home);Communication/Network Software;Applications Software(Business</v>
      </c>
      <c r="Y1069" s="6" t="str">
        <v>Applications Software(Business;Communication/Network Software;Applications Software(Home)</v>
      </c>
      <c r="Z1069" s="6" t="str">
        <v>Applications Software(Business;Applications Software(Home);Communication/Network Software</v>
      </c>
      <c r="AA1069" s="6" t="str">
        <v>Applications Software(Business;Computer Consulting Services;Operating Systems;Internet Services &amp; Software;Monitors/Terminals;Other Peripherals</v>
      </c>
      <c r="AB1069" s="6" t="str">
        <v>Operating Systems;Internet Services &amp; Software;Monitors/Terminals;Applications Software(Business;Computer Consulting Services;Other Peripherals</v>
      </c>
      <c r="AH1069" s="6" t="str">
        <v>False</v>
      </c>
      <c r="AI1069" s="6" t="str">
        <v>2019</v>
      </c>
      <c r="AJ1069" s="6" t="str">
        <v>Completed</v>
      </c>
      <c r="AM1069" s="6" t="str">
        <v>Not Applicable</v>
      </c>
      <c r="AO1069" s="6" t="str">
        <v>US - Microsoft Game Studios, a unit of Microsoft Corp, acquired Double Fine Productions Inc, a San Francisco-based game developer.</v>
      </c>
    </row>
    <row r="1070">
      <c r="A1070" s="6" t="str">
        <v>37657R</v>
      </c>
      <c r="B1070" s="6" t="str">
        <v>United States</v>
      </c>
      <c r="C1070" s="6" t="str">
        <v>GitHub Inc</v>
      </c>
      <c r="D1070" s="6" t="str">
        <v>Microsoft Corp</v>
      </c>
      <c r="F1070" s="6" t="str">
        <v>United States</v>
      </c>
      <c r="G1070" s="6" t="str">
        <v>Good Software LLC</v>
      </c>
      <c r="H1070" s="6" t="str">
        <v>Prepackaged Software</v>
      </c>
      <c r="I1070" s="6" t="str">
        <v>4J4163</v>
      </c>
      <c r="J1070" s="6" t="str">
        <v>Good Software LLC</v>
      </c>
      <c r="K1070" s="6" t="str">
        <v>Good Software LLC</v>
      </c>
      <c r="L1070" s="7">
        <f>=DATE(2019,6,17)</f>
        <v>43632.99949074074</v>
      </c>
      <c r="M1070" s="7">
        <f>=DATE(2019,6,17)</f>
        <v>43632.99949074074</v>
      </c>
      <c r="W1070" s="6" t="str">
        <v>Internet Services &amp; Software</v>
      </c>
      <c r="X1070" s="6" t="str">
        <v>Other Software (inq. Games);Internet Services &amp; Software;Utilities/File Mgmt Software</v>
      </c>
      <c r="Y1070" s="6" t="str">
        <v>Internet Services &amp; Software;Other Software (inq. Games);Utilities/File Mgmt Software</v>
      </c>
      <c r="Z1070" s="6" t="str">
        <v>Utilities/File Mgmt Software;Internet Services &amp; Software;Other Software (inq. Games)</v>
      </c>
      <c r="AA1070" s="6" t="str">
        <v>Applications Software(Business;Operating Systems;Monitors/Terminals;Other Peripherals;Computer Consulting Services;Internet Services &amp; Software</v>
      </c>
      <c r="AB1070" s="6" t="str">
        <v>Operating Systems;Other Peripherals;Monitors/Terminals;Computer Consulting Services;Applications Software(Business;Internet Services &amp; Software</v>
      </c>
      <c r="AH1070" s="6" t="str">
        <v>False</v>
      </c>
      <c r="AI1070" s="6" t="str">
        <v>2019</v>
      </c>
      <c r="AJ1070" s="6" t="str">
        <v>Completed</v>
      </c>
      <c r="AM1070" s="6" t="str">
        <v>Not Applicable</v>
      </c>
      <c r="AO1070" s="6" t="str">
        <v>US - GitHub Inc, a unit of Microsoft Corp, acquired Good Software LLC, a Henderson-based software publisher. Terms were not disclosed.</v>
      </c>
    </row>
    <row r="1071">
      <c r="A1071" s="6" t="str">
        <v>037833</v>
      </c>
      <c r="B1071" s="6" t="str">
        <v>United States</v>
      </c>
      <c r="C1071" s="6" t="str">
        <v>Apple Inc</v>
      </c>
      <c r="D1071" s="6" t="str">
        <v>Apple Inc</v>
      </c>
      <c r="F1071" s="6" t="str">
        <v>United States</v>
      </c>
      <c r="G1071" s="6" t="str">
        <v>Drive.ai Inc</v>
      </c>
      <c r="H1071" s="6" t="str">
        <v>Prepackaged Software</v>
      </c>
      <c r="I1071" s="6" t="str">
        <v>4J7013</v>
      </c>
      <c r="J1071" s="6" t="str">
        <v>Drive.ai Inc</v>
      </c>
      <c r="K1071" s="6" t="str">
        <v>Drive.ai Inc</v>
      </c>
      <c r="L1071" s="7">
        <f>=DATE(2019,6,25)</f>
        <v>43640.99949074074</v>
      </c>
      <c r="M1071" s="7">
        <f>=DATE(2019,6,25)</f>
        <v>43640.99949074074</v>
      </c>
      <c r="W1071" s="6" t="str">
        <v>Portable Computers;Other Software (inq. Games);Monitors/Terminals;Other Peripherals;Mainframes &amp; Super Computers;Printers;Micro-Computers (PCs);Disk Drives</v>
      </c>
      <c r="X1071" s="6" t="str">
        <v>Other Software (inq. Games)</v>
      </c>
      <c r="Y1071" s="6" t="str">
        <v>Other Software (inq. Games)</v>
      </c>
      <c r="Z1071" s="6" t="str">
        <v>Other Software (inq. Games)</v>
      </c>
      <c r="AA1071" s="6" t="str">
        <v>Monitors/Terminals;Portable Computers;Printers;Disk Drives;Micro-Computers (PCs);Mainframes &amp; Super Computers;Other Peripherals;Other Software (inq. Games)</v>
      </c>
      <c r="AB1071" s="6" t="str">
        <v>Micro-Computers (PCs);Mainframes &amp; Super Computers;Other Peripherals;Printers;Other Software (inq. Games);Disk Drives;Portable Computers;Monitors/Terminals</v>
      </c>
      <c r="AH1071" s="6" t="str">
        <v>False</v>
      </c>
      <c r="AI1071" s="6" t="str">
        <v>2019</v>
      </c>
      <c r="AJ1071" s="6" t="str">
        <v>Completed</v>
      </c>
      <c r="AM1071" s="6" t="str">
        <v>Rumored Deal</v>
      </c>
      <c r="AO1071" s="6" t="str">
        <v>US - Apple Inc (Apple) acquired Drive.ai Inc (Drive.ai), a Mountain View-based developer of artificial intelligence software. Originally, in June 2019, Apple was rumored to be planning to acquire Drive.ai.</v>
      </c>
    </row>
    <row r="1072">
      <c r="A1072" s="6" t="str">
        <v>037833</v>
      </c>
      <c r="B1072" s="6" t="str">
        <v>United States</v>
      </c>
      <c r="C1072" s="6" t="str">
        <v>Apple Inc</v>
      </c>
      <c r="D1072" s="6" t="str">
        <v>Apple Inc</v>
      </c>
      <c r="F1072" s="6" t="str">
        <v>United States</v>
      </c>
      <c r="G1072" s="6" t="str">
        <v>Intel Corp-Smartphone modem chip business</v>
      </c>
      <c r="H1072" s="6" t="str">
        <v>Communications Equipment</v>
      </c>
      <c r="I1072" s="6" t="str">
        <v>3J0816</v>
      </c>
      <c r="J1072" s="6" t="str">
        <v>Intel Corp</v>
      </c>
      <c r="K1072" s="6" t="str">
        <v>Intel Corp</v>
      </c>
      <c r="L1072" s="7">
        <f>=DATE(2019,7,25)</f>
        <v>43670.99949074074</v>
      </c>
      <c r="M1072" s="7">
        <f>=DATE(2019,12,2)</f>
        <v>43800.99949074074</v>
      </c>
      <c r="N1072" s="8">
        <v>1000</v>
      </c>
      <c r="O1072" s="8">
        <v>1000</v>
      </c>
      <c r="W1072" s="6" t="str">
        <v>Mainframes &amp; Super Computers;Micro-Computers (PCs);Disk Drives;Printers;Portable Computers;Other Software (inq. Games);Monitors/Terminals;Other Peripherals</v>
      </c>
      <c r="X1072" s="6" t="str">
        <v>Telecommunications Equipment;Modems;Primary Business not Hi-Tech;Telephone Interconnect Equip;Other Telecommunications Equip</v>
      </c>
      <c r="Y1072" s="6" t="str">
        <v>Other Electronics;Telecommunications Equipment;Semiconductors;Other Peripherals</v>
      </c>
      <c r="Z1072" s="6" t="str">
        <v>Other Electronics;Telecommunications Equipment;Other Peripherals;Semiconductors</v>
      </c>
      <c r="AA1072" s="6" t="str">
        <v>Printers;Micro-Computers (PCs);Portable Computers;Monitors/Terminals;Disk Drives;Other Peripherals;Other Software (inq. Games);Mainframes &amp; Super Computers</v>
      </c>
      <c r="AB1072" s="6" t="str">
        <v>Other Software (inq. Games);Other Peripherals;Micro-Computers (PCs);Portable Computers;Mainframes &amp; Super Computers;Printers;Monitors/Terminals;Disk Drives</v>
      </c>
      <c r="AC1072" s="8">
        <v>1000</v>
      </c>
      <c r="AD1072" s="7">
        <f>=DATE(2019,7,25)</f>
        <v>43670.99949074074</v>
      </c>
      <c r="AH1072" s="6" t="str">
        <v>False</v>
      </c>
      <c r="AI1072" s="6" t="str">
        <v>2019</v>
      </c>
      <c r="AJ1072" s="6" t="str">
        <v>Completed</v>
      </c>
      <c r="AM1072" s="6" t="str">
        <v>Divestiture;Rumored Deal</v>
      </c>
      <c r="AO1072" s="6" t="str">
        <v>US - Apple Inc (Apple) acquired an undisclosed majority ownership interest in the Smartphone modem chip business of Intel Corp (Intel), a Santa Clara-based manufacturer of semiconductors and related device, for USD 1 bil. Originally, in April 2019, Apple was rumored to be planning to acquire the smartphone modem chip business of Intel.</v>
      </c>
    </row>
    <row r="1073">
      <c r="A1073" s="6" t="str">
        <v>594918</v>
      </c>
      <c r="B1073" s="6" t="str">
        <v>United States</v>
      </c>
      <c r="C1073" s="6" t="str">
        <v>Microsoft Corp</v>
      </c>
      <c r="D1073" s="6" t="str">
        <v>Microsoft Corp</v>
      </c>
      <c r="F1073" s="6" t="str">
        <v>United States</v>
      </c>
      <c r="G1073" s="6" t="str">
        <v>BlueTalon Inc</v>
      </c>
      <c r="H1073" s="6" t="str">
        <v>Business Services</v>
      </c>
      <c r="I1073" s="6" t="str">
        <v>8E8808</v>
      </c>
      <c r="J1073" s="6" t="str">
        <v>BlueTalon Inc</v>
      </c>
      <c r="K1073" s="6" t="str">
        <v>BlueTalon Inc</v>
      </c>
      <c r="L1073" s="7">
        <f>=DATE(2019,7,29)</f>
        <v>43674.99949074074</v>
      </c>
      <c r="M1073" s="7">
        <f>=DATE(2019,7,29)</f>
        <v>43674.99949074074</v>
      </c>
      <c r="W1073" s="6" t="str">
        <v>Computer Consulting Services;Monitors/Terminals;Internet Services &amp; Software;Applications Software(Business;Other Peripherals;Operating Systems</v>
      </c>
      <c r="X1073" s="6" t="str">
        <v>Data Processing Services</v>
      </c>
      <c r="Y1073" s="6" t="str">
        <v>Data Processing Services</v>
      </c>
      <c r="Z1073" s="6" t="str">
        <v>Data Processing Services</v>
      </c>
      <c r="AA1073" s="6" t="str">
        <v>Applications Software(Business;Computer Consulting Services;Internet Services &amp; Software;Other Peripherals;Monitors/Terminals;Operating Systems</v>
      </c>
      <c r="AB1073" s="6" t="str">
        <v>Internet Services &amp; Software;Applications Software(Business;Operating Systems;Other Peripherals;Monitors/Terminals;Computer Consulting Services</v>
      </c>
      <c r="AH1073" s="6" t="str">
        <v>False</v>
      </c>
      <c r="AI1073" s="6" t="str">
        <v>2019</v>
      </c>
      <c r="AJ1073" s="6" t="str">
        <v>Completed</v>
      </c>
      <c r="AM1073" s="6" t="str">
        <v>Not Applicable</v>
      </c>
      <c r="AO1073" s="6" t="str">
        <v>US - Microsoft Corp acquired BlueTalon Inc, a Redwood City-based provider of data processing and hosting services.</v>
      </c>
    </row>
    <row r="1074">
      <c r="A1074" s="6" t="str">
        <v>594918</v>
      </c>
      <c r="B1074" s="6" t="str">
        <v>United States</v>
      </c>
      <c r="C1074" s="6" t="str">
        <v>Microsoft Corp</v>
      </c>
      <c r="D1074" s="6" t="str">
        <v>Microsoft Corp</v>
      </c>
      <c r="F1074" s="6" t="str">
        <v>United States</v>
      </c>
      <c r="G1074" s="6" t="str">
        <v>Spotfront Inc</v>
      </c>
      <c r="H1074" s="6" t="str">
        <v>Business Services</v>
      </c>
      <c r="I1074" s="6" t="str">
        <v>6J2269</v>
      </c>
      <c r="J1074" s="6" t="str">
        <v>Microsoft Corp</v>
      </c>
      <c r="K1074" s="6" t="str">
        <v>Microsoft Corp</v>
      </c>
      <c r="L1074" s="7">
        <f>=DATE(2019,8,5)</f>
        <v>43681.99949074074</v>
      </c>
      <c r="M1074" s="7">
        <f>=DATE(2019,8,5)</f>
        <v>43681.99949074074</v>
      </c>
      <c r="W1074" s="6" t="str">
        <v>Monitors/Terminals;Other Peripherals;Operating Systems;Internet Services &amp; Software;Applications Software(Business;Computer Consulting Services</v>
      </c>
      <c r="X1074" s="6" t="str">
        <v>Internet Services &amp; Software</v>
      </c>
      <c r="Y1074" s="6" t="str">
        <v>Applications Software(Business;Operating Systems;Internet Services &amp; Software;Other Peripherals;Computer Consulting Services;Monitors/Terminals</v>
      </c>
      <c r="Z1074" s="6" t="str">
        <v>Operating Systems;Internet Services &amp; Software;Other Peripherals;Computer Consulting Services;Applications Software(Business;Monitors/Terminals</v>
      </c>
      <c r="AA1074" s="6" t="str">
        <v>Computer Consulting Services;Internet Services &amp; Software;Other Peripherals;Operating Systems;Applications Software(Business;Monitors/Terminals</v>
      </c>
      <c r="AB1074" s="6" t="str">
        <v>Computer Consulting Services;Monitors/Terminals;Internet Services &amp; Software;Other Peripherals;Operating Systems;Applications Software(Business</v>
      </c>
      <c r="AH1074" s="6" t="str">
        <v>False</v>
      </c>
      <c r="AI1074" s="6" t="str">
        <v>2019</v>
      </c>
      <c r="AJ1074" s="6" t="str">
        <v>Completed</v>
      </c>
      <c r="AM1074" s="6" t="str">
        <v>Divestiture</v>
      </c>
      <c r="AO1074" s="6" t="str">
        <v>US - Microsoft Corp acquired Spotfront Inc, a New York City-based internet service provider.</v>
      </c>
    </row>
    <row r="1075">
      <c r="A1075" s="6" t="str">
        <v>594918</v>
      </c>
      <c r="B1075" s="6" t="str">
        <v>United States</v>
      </c>
      <c r="C1075" s="6" t="str">
        <v>Microsoft Corp</v>
      </c>
      <c r="D1075" s="6" t="str">
        <v>Microsoft Corp</v>
      </c>
      <c r="F1075" s="6" t="str">
        <v>United Kingdom</v>
      </c>
      <c r="G1075" s="6" t="str">
        <v>Jclarity Ltd</v>
      </c>
      <c r="H1075" s="6" t="str">
        <v>Prepackaged Software</v>
      </c>
      <c r="I1075" s="6" t="str">
        <v>6J0497</v>
      </c>
      <c r="J1075" s="6" t="str">
        <v>Jclarity Ltd</v>
      </c>
      <c r="K1075" s="6" t="str">
        <v>Jclarity Ltd</v>
      </c>
      <c r="L1075" s="7">
        <f>=DATE(2019,8,19)</f>
        <v>43695.99949074074</v>
      </c>
      <c r="M1075" s="7">
        <f>=DATE(2019,8,19)</f>
        <v>43695.99949074074</v>
      </c>
      <c r="W1075" s="6" t="str">
        <v>Computer Consulting Services;Internet Services &amp; Software;Monitors/Terminals;Applications Software(Business;Operating Systems;Other Peripherals</v>
      </c>
      <c r="X1075" s="6" t="str">
        <v>Other Software (inq. Games)</v>
      </c>
      <c r="Y1075" s="6" t="str">
        <v>Other Software (inq. Games)</v>
      </c>
      <c r="Z1075" s="6" t="str">
        <v>Other Software (inq. Games)</v>
      </c>
      <c r="AA1075" s="6" t="str">
        <v>Applications Software(Business;Other Peripherals;Monitors/Terminals;Operating Systems;Internet Services &amp; Software;Computer Consulting Services</v>
      </c>
      <c r="AB1075" s="6" t="str">
        <v>Internet Services &amp; Software;Computer Consulting Services;Applications Software(Business;Operating Systems;Monitors/Terminals;Other Peripherals</v>
      </c>
      <c r="AH1075" s="6" t="str">
        <v>False</v>
      </c>
      <c r="AI1075" s="6" t="str">
        <v>2019</v>
      </c>
      <c r="AJ1075" s="6" t="str">
        <v>Completed</v>
      </c>
      <c r="AM1075" s="6" t="str">
        <v>Not Applicable</v>
      </c>
      <c r="AO1075" s="6" t="str">
        <v>UK - Microsoft Corp of the US acquired Jclarity Ltd, a London-based software publisher. Terms of transaction were not disclosed.</v>
      </c>
    </row>
    <row r="1076">
      <c r="A1076" s="6" t="str">
        <v>3F8100</v>
      </c>
      <c r="B1076" s="6" t="str">
        <v>United States</v>
      </c>
      <c r="C1076" s="6" t="str">
        <v>GV Management Co LLC</v>
      </c>
      <c r="D1076" s="6" t="str">
        <v>Alphabet Inc</v>
      </c>
      <c r="F1076" s="6" t="str">
        <v>United States</v>
      </c>
      <c r="G1076" s="6" t="str">
        <v>Ethos Technologies Inc</v>
      </c>
      <c r="H1076" s="6" t="str">
        <v>Prepackaged Software</v>
      </c>
      <c r="I1076" s="6" t="str">
        <v>7H8660</v>
      </c>
      <c r="J1076" s="6" t="str">
        <v>Ethos Technologies Inc</v>
      </c>
      <c r="K1076" s="6" t="str">
        <v>Ethos Technologies Inc</v>
      </c>
      <c r="L1076" s="7">
        <f>=DATE(2019,8,27)</f>
        <v>43703.99949074074</v>
      </c>
      <c r="M1076" s="7">
        <f>=DATE(2019,8,27)</f>
        <v>43703.99949074074</v>
      </c>
      <c r="N1076" s="8">
        <v>60</v>
      </c>
      <c r="O1076" s="8">
        <v>60</v>
      </c>
      <c r="W1076" s="6" t="str">
        <v>Primary Business not Hi-Tech</v>
      </c>
      <c r="X1076" s="6" t="str">
        <v>Other Software (inq. Games)</v>
      </c>
      <c r="Y1076" s="6" t="str">
        <v>Other Software (inq. Games)</v>
      </c>
      <c r="Z1076" s="6" t="str">
        <v>Other Software (inq. Games)</v>
      </c>
      <c r="AA1076" s="6" t="str">
        <v>Programming Services;Internet Services &amp; Software</v>
      </c>
      <c r="AB1076" s="6" t="str">
        <v>Primary Business not Hi-Tech;Internet Services &amp; Software;Telecommunications Equipment;Computer Consulting Services;Programming Services</v>
      </c>
      <c r="AC1076" s="8">
        <v>60</v>
      </c>
      <c r="AD1076" s="7">
        <f>=DATE(2019,8,27)</f>
        <v>43703.99949074074</v>
      </c>
      <c r="AH1076" s="6" t="str">
        <v>True</v>
      </c>
      <c r="AI1076" s="6" t="str">
        <v>2019</v>
      </c>
      <c r="AJ1076" s="6" t="str">
        <v>Completed</v>
      </c>
      <c r="AM1076" s="6" t="str">
        <v>Privately Negotiated Purchase;Financial Acquiror</v>
      </c>
      <c r="AO1076" s="6" t="str">
        <v>US - GV Management Co LLC, a unit of Google Inc, acquired an undisclosed minority stake in Ethos Technologies Inc, a San Francisco-based direct life insurance carrier, for a total USD 60 mil, in a privately negotiated transaction.</v>
      </c>
    </row>
    <row r="1077">
      <c r="A1077" s="6" t="str">
        <v>9H9297</v>
      </c>
      <c r="B1077" s="6" t="str">
        <v>United States</v>
      </c>
      <c r="C1077" s="6" t="str">
        <v>Microsoft Azure</v>
      </c>
      <c r="D1077" s="6" t="str">
        <v>Microsoft Corp</v>
      </c>
      <c r="F1077" s="6" t="str">
        <v>United States</v>
      </c>
      <c r="G1077" s="6" t="str">
        <v>Movere Inc</v>
      </c>
      <c r="H1077" s="6" t="str">
        <v>Business Services</v>
      </c>
      <c r="I1077" s="6" t="str">
        <v>7J2819</v>
      </c>
      <c r="J1077" s="6" t="str">
        <v>Movere Inc</v>
      </c>
      <c r="K1077" s="6" t="str">
        <v>Movere Inc</v>
      </c>
      <c r="L1077" s="7">
        <f>=DATE(2019,9,4)</f>
        <v>43711.99949074074</v>
      </c>
      <c r="M1077" s="7">
        <f>=DATE(2019,9,4)</f>
        <v>43711.99949074074</v>
      </c>
      <c r="W1077" s="6" t="str">
        <v>Computer Consulting Services;Internet Services &amp; Software;Data Processing Services;Other Computer Related Svcs;Primary Business not Hi-Tech</v>
      </c>
      <c r="X1077" s="6" t="str">
        <v>Internet Services &amp; Software;Primary Business not Hi-Tech;Data Processing Services;Computer Consulting Services;Other Computer Related Svcs</v>
      </c>
      <c r="Y1077" s="6" t="str">
        <v>Other Computer Related Svcs;Data Processing Services;Internet Services &amp; Software;Primary Business not Hi-Tech;Computer Consulting Services</v>
      </c>
      <c r="Z1077" s="6" t="str">
        <v>Other Computer Related Svcs;Primary Business not Hi-Tech;Computer Consulting Services;Data Processing Services;Internet Services &amp; Software</v>
      </c>
      <c r="AA1077" s="6" t="str">
        <v>Monitors/Terminals;Applications Software(Business;Operating Systems;Computer Consulting Services;Other Peripherals;Internet Services &amp; Software</v>
      </c>
      <c r="AB1077" s="6" t="str">
        <v>Monitors/Terminals;Computer Consulting Services;Applications Software(Business;Other Peripherals;Operating Systems;Internet Services &amp; Software</v>
      </c>
      <c r="AH1077" s="6" t="str">
        <v>False</v>
      </c>
      <c r="AI1077" s="6" t="str">
        <v>2019</v>
      </c>
      <c r="AJ1077" s="6" t="str">
        <v>Completed</v>
      </c>
      <c r="AM1077" s="6" t="str">
        <v>Not Applicable</v>
      </c>
      <c r="AO1077" s="6" t="str">
        <v>US - Microsoft Azure acquired Movere Inc, a Bellevue-based provider of data processing and hosting services.</v>
      </c>
    </row>
    <row r="1078">
      <c r="A1078" s="6" t="str">
        <v>0C6551</v>
      </c>
      <c r="B1078" s="6" t="str">
        <v>United States</v>
      </c>
      <c r="C1078" s="6" t="str">
        <v>Twitch Interactive Inc</v>
      </c>
      <c r="D1078" s="6" t="str">
        <v>Amazon.com Inc</v>
      </c>
      <c r="F1078" s="6" t="str">
        <v>Sweden</v>
      </c>
      <c r="G1078" s="6" t="str">
        <v>8 Dudes In A Garage AB</v>
      </c>
      <c r="H1078" s="6" t="str">
        <v>Business Services</v>
      </c>
      <c r="I1078" s="6" t="str">
        <v>6J8469</v>
      </c>
      <c r="J1078" s="6" t="str">
        <v>8 Dudes In A Garage AB</v>
      </c>
      <c r="K1078" s="6" t="str">
        <v>8 Dudes In A Garage AB</v>
      </c>
      <c r="L1078" s="7">
        <f>=DATE(2019,9,17)</f>
        <v>43724.99949074074</v>
      </c>
      <c r="M1078" s="7">
        <f>=DATE(2019,9,17)</f>
        <v>43724.99949074074</v>
      </c>
      <c r="W1078" s="6" t="str">
        <v>Internet Services &amp; Software</v>
      </c>
      <c r="X1078" s="6" t="str">
        <v>Other Software (inq. Games);Communication/Network Software;Programming Services;Internet Services &amp; Software;Other Computer Related Svcs</v>
      </c>
      <c r="Y1078" s="6" t="str">
        <v>Other Software (inq. Games);Other Computer Related Svcs;Programming Services;Communication/Network Software;Internet Services &amp; Software</v>
      </c>
      <c r="Z1078" s="6" t="str">
        <v>Other Computer Related Svcs;Other Software (inq. Games);Communication/Network Software;Internet Services &amp; Software;Programming Services</v>
      </c>
      <c r="AA1078" s="6" t="str">
        <v>Primary Business not Hi-Tech</v>
      </c>
      <c r="AB1078" s="6" t="str">
        <v>Primary Business not Hi-Tech</v>
      </c>
      <c r="AH1078" s="6" t="str">
        <v>False</v>
      </c>
      <c r="AI1078" s="6" t="str">
        <v>2019</v>
      </c>
      <c r="AJ1078" s="6" t="str">
        <v>Completed</v>
      </c>
      <c r="AM1078" s="6" t="str">
        <v>Not Applicable</v>
      </c>
      <c r="AO1078" s="6" t="str">
        <v>SWEDEN - Twitch Interactive Inc of the US, a unit of Amazon.com Inc, acquired 8 Dudes In A Garage AB, a Gothenburg-based internet portal operator.</v>
      </c>
    </row>
    <row r="1079">
      <c r="A1079" s="6" t="str">
        <v>594918</v>
      </c>
      <c r="B1079" s="6" t="str">
        <v>United States</v>
      </c>
      <c r="C1079" s="6" t="str">
        <v>Microsoft Corp</v>
      </c>
      <c r="D1079" s="6" t="str">
        <v>Microsoft Corp</v>
      </c>
      <c r="F1079" s="6" t="str">
        <v>United States</v>
      </c>
      <c r="G1079" s="6" t="str">
        <v>Microsoft Corp</v>
      </c>
      <c r="H1079" s="6" t="str">
        <v>Prepackaged Software</v>
      </c>
      <c r="I1079" s="6" t="str">
        <v>594918</v>
      </c>
      <c r="J1079" s="6" t="str">
        <v>Microsoft Corp</v>
      </c>
      <c r="K1079" s="6" t="str">
        <v>Microsoft Corp</v>
      </c>
      <c r="L1079" s="7">
        <f>=DATE(2019,9,18)</f>
        <v>43725.99949074074</v>
      </c>
      <c r="N1079" s="8">
        <v>40000</v>
      </c>
      <c r="O1079" s="8">
        <v>40000</v>
      </c>
      <c r="R1079" s="8">
        <v>39397</v>
      </c>
      <c r="S1079" s="8">
        <v>125843</v>
      </c>
      <c r="T1079" s="8">
        <v>-36887</v>
      </c>
      <c r="U1079" s="8">
        <v>-15773</v>
      </c>
      <c r="V1079" s="8">
        <v>52185</v>
      </c>
      <c r="W1079" s="6" t="str">
        <v>Internet Services &amp; Software;Other Peripherals;Applications Software(Business;Operating Systems;Computer Consulting Services;Monitors/Terminals</v>
      </c>
      <c r="X1079" s="6" t="str">
        <v>Computer Consulting Services;Operating Systems;Applications Software(Business;Monitors/Terminals;Other Peripherals;Internet Services &amp; Software</v>
      </c>
      <c r="Y1079" s="6" t="str">
        <v>Monitors/Terminals;Internet Services &amp; Software;Applications Software(Business;Operating Systems;Other Peripherals;Computer Consulting Services</v>
      </c>
      <c r="Z1079" s="6" t="str">
        <v>Operating Systems;Monitors/Terminals;Internet Services &amp; Software;Applications Software(Business;Other Peripherals;Computer Consulting Services</v>
      </c>
      <c r="AA1079" s="6" t="str">
        <v>Applications Software(Business;Internet Services &amp; Software;Other Peripherals;Monitors/Terminals;Operating Systems;Computer Consulting Services</v>
      </c>
      <c r="AB1079" s="6" t="str">
        <v>Internet Services &amp; Software;Applications Software(Business;Monitors/Terminals;Operating Systems;Computer Consulting Services;Other Peripherals</v>
      </c>
      <c r="AC1079" s="8">
        <v>40000</v>
      </c>
      <c r="AD1079" s="7">
        <f>=DATE(2019,9,18)</f>
        <v>43725.99949074074</v>
      </c>
      <c r="AH1079" s="6" t="str">
        <v>True</v>
      </c>
      <c r="AJ1079" s="6" t="str">
        <v>Pending</v>
      </c>
      <c r="AM1079" s="6" t="str">
        <v>Repurchase;Open Market Purchase</v>
      </c>
      <c r="AN1079" s="8">
        <v>49776</v>
      </c>
      <c r="AO1079" s="6" t="str">
        <v>US - On 18 September 2019, the board of Microsoft Corp, a Redmond-based developer and wholesaler of computer software products, authorized the repurchase of up to USD 40 bil of the company's entire share capital through open market transactions. As of 30 June 2021 the company had purchased 166.395 million shares at a total cost of USD 34.159 bil.</v>
      </c>
    </row>
    <row r="1080">
      <c r="A1080" s="6" t="str">
        <v>37657R</v>
      </c>
      <c r="B1080" s="6" t="str">
        <v>United States</v>
      </c>
      <c r="C1080" s="6" t="str">
        <v>GitHub Inc</v>
      </c>
      <c r="D1080" s="6" t="str">
        <v>Microsoft Corp</v>
      </c>
      <c r="F1080" s="6" t="str">
        <v>United States</v>
      </c>
      <c r="G1080" s="6" t="str">
        <v>Semmle Inc</v>
      </c>
      <c r="H1080" s="6" t="str">
        <v>Prepackaged Software</v>
      </c>
      <c r="I1080" s="6" t="str">
        <v>7H2669</v>
      </c>
      <c r="J1080" s="6" t="str">
        <v>Semmle Inc</v>
      </c>
      <c r="K1080" s="6" t="str">
        <v>Semmle Inc</v>
      </c>
      <c r="L1080" s="7">
        <f>=DATE(2019,9,18)</f>
        <v>43725.99949074074</v>
      </c>
      <c r="M1080" s="7">
        <f>=DATE(2019,9,18)</f>
        <v>43725.99949074074</v>
      </c>
      <c r="W1080" s="6" t="str">
        <v>Internet Services &amp; Software</v>
      </c>
      <c r="X1080" s="6" t="str">
        <v>Other Software (inq. Games)</v>
      </c>
      <c r="Y1080" s="6" t="str">
        <v>Other Software (inq. Games)</v>
      </c>
      <c r="Z1080" s="6" t="str">
        <v>Other Software (inq. Games)</v>
      </c>
      <c r="AA1080" s="6" t="str">
        <v>Computer Consulting Services;Applications Software(Business;Other Peripherals;Internet Services &amp; Software;Operating Systems;Monitors/Terminals</v>
      </c>
      <c r="AB1080" s="6" t="str">
        <v>Computer Consulting Services;Monitors/Terminals;Applications Software(Business;Other Peripherals;Operating Systems;Internet Services &amp; Software</v>
      </c>
      <c r="AH1080" s="6" t="str">
        <v>False</v>
      </c>
      <c r="AI1080" s="6" t="str">
        <v>2019</v>
      </c>
      <c r="AJ1080" s="6" t="str">
        <v>Completed</v>
      </c>
      <c r="AM1080" s="6" t="str">
        <v>Not Applicable</v>
      </c>
      <c r="AO1080" s="6" t="str">
        <v>US - GitHub Inc, a unit of Microsoft Corp, acquired Semmle Inc, a San Francisco-based software publisher.</v>
      </c>
    </row>
    <row r="1081">
      <c r="A1081" s="6" t="str">
        <v>30303M</v>
      </c>
      <c r="B1081" s="6" t="str">
        <v>United States</v>
      </c>
      <c r="C1081" s="6" t="str">
        <v>Facebook Inc</v>
      </c>
      <c r="D1081" s="6" t="str">
        <v>Facebook Inc</v>
      </c>
      <c r="F1081" s="6" t="str">
        <v>Israel</v>
      </c>
      <c r="G1081" s="6" t="str">
        <v>Servicefriend Ltd</v>
      </c>
      <c r="H1081" s="6" t="str">
        <v>Prepackaged Software</v>
      </c>
      <c r="I1081" s="6" t="str">
        <v>7J0473</v>
      </c>
      <c r="J1081" s="6" t="str">
        <v>Servicefriend Ltd</v>
      </c>
      <c r="K1081" s="6" t="str">
        <v>Servicefriend Ltd</v>
      </c>
      <c r="L1081" s="7">
        <f>=DATE(2019,9,22)</f>
        <v>43729.99949074074</v>
      </c>
      <c r="M1081" s="7">
        <f>=DATE(2019,9,22)</f>
        <v>43729.99949074074</v>
      </c>
      <c r="W1081" s="6" t="str">
        <v>Internet Services &amp; Software</v>
      </c>
      <c r="X1081" s="6" t="str">
        <v>Other Software (inq. Games);Internet Services &amp; Software;Utilities/File Mgmt Software;Applications Software(Business;Communication/Network Software;Desktop Publishing;Applications Software(Home)</v>
      </c>
      <c r="Y1081" s="6" t="str">
        <v>Desktop Publishing;Utilities/File Mgmt Software;Applications Software(Home);Applications Software(Business;Communication/Network Software;Internet Services &amp; Software;Other Software (inq. Games)</v>
      </c>
      <c r="Z1081" s="6" t="str">
        <v>Internet Services &amp; Software;Communication/Network Software;Applications Software(Business;Desktop Publishing;Other Software (inq. Games);Utilities/File Mgmt Software;Applications Software(Home)</v>
      </c>
      <c r="AA1081" s="6" t="str">
        <v>Internet Services &amp; Software</v>
      </c>
      <c r="AB1081" s="6" t="str">
        <v>Internet Services &amp; Software</v>
      </c>
      <c r="AH1081" s="6" t="str">
        <v>False</v>
      </c>
      <c r="AI1081" s="6" t="str">
        <v>2019</v>
      </c>
      <c r="AJ1081" s="6" t="str">
        <v>Completed</v>
      </c>
      <c r="AM1081" s="6" t="str">
        <v>Financial Acquiror</v>
      </c>
      <c r="AO1081" s="6" t="str">
        <v>ISRAEL - Facebook Inc of the US acquired Servicefriend Ltd, a Bene Berak-based software publisher. Terms were not disclosed.</v>
      </c>
    </row>
    <row r="1082">
      <c r="A1082" s="6" t="str">
        <v>30303M</v>
      </c>
      <c r="B1082" s="6" t="str">
        <v>United States</v>
      </c>
      <c r="C1082" s="6" t="str">
        <v>Facebook Inc</v>
      </c>
      <c r="D1082" s="6" t="str">
        <v>Facebook Inc</v>
      </c>
      <c r="F1082" s="6" t="str">
        <v>United States</v>
      </c>
      <c r="G1082" s="6" t="str">
        <v>CTRL-Labs Corp</v>
      </c>
      <c r="H1082" s="6" t="str">
        <v>Prepackaged Software</v>
      </c>
      <c r="I1082" s="6" t="str">
        <v>6J9290</v>
      </c>
      <c r="J1082" s="6" t="str">
        <v>CTRL-Labs Corp</v>
      </c>
      <c r="K1082" s="6" t="str">
        <v>CTRL-Labs Corp</v>
      </c>
      <c r="L1082" s="7">
        <f>=DATE(2019,9,23)</f>
        <v>43730.99949074074</v>
      </c>
      <c r="M1082" s="7">
        <f>=DATE(2019,9,23)</f>
        <v>43730.99949074074</v>
      </c>
      <c r="W1082" s="6" t="str">
        <v>Internet Services &amp; Software</v>
      </c>
      <c r="X1082" s="6" t="str">
        <v>Communication/Network Software;Internet Services &amp; Software;Applications Software(Business;Primary Business not Hi-Tech;Applications Software(Home);Desktop Publishing;Utilities/File Mgmt Software;Other Software (inq. Games)</v>
      </c>
      <c r="Y1082" s="6" t="str">
        <v>Applications Software(Home);Internet Services &amp; Software;Other Software (inq. Games);Applications Software(Business;Desktop Publishing;Primary Business not Hi-Tech;Utilities/File Mgmt Software;Communication/Network Software</v>
      </c>
      <c r="Z1082" s="6" t="str">
        <v>Communication/Network Software;Other Software (inq. Games);Utilities/File Mgmt Software;Internet Services &amp; Software;Applications Software(Business;Primary Business not Hi-Tech;Applications Software(Home);Desktop Publishing</v>
      </c>
      <c r="AA1082" s="6" t="str">
        <v>Internet Services &amp; Software</v>
      </c>
      <c r="AB1082" s="6" t="str">
        <v>Internet Services &amp; Software</v>
      </c>
      <c r="AD1082" s="7">
        <f>=DATE(2019,9,23)</f>
        <v>43730.99949074074</v>
      </c>
      <c r="AH1082" s="6" t="str">
        <v>False</v>
      </c>
      <c r="AI1082" s="6" t="str">
        <v>2019</v>
      </c>
      <c r="AJ1082" s="6" t="str">
        <v>Completed</v>
      </c>
      <c r="AM1082" s="6" t="str">
        <v>Rumored Deal;Financial Acquiror</v>
      </c>
      <c r="AO1082" s="6" t="str">
        <v>US - Facebook Inc acquired CTRL-Labs Corp (CTRL-Labs), a New York City-based developer of neural interface technology. The terms of the transaction were not disclosed, but according to sources close to the transaction, the value was estimated at USD 1 bil. Originally, in September 2019, as rumored to be planning to acquire CTRL-Labs.</v>
      </c>
    </row>
    <row r="1083">
      <c r="A1083" s="6" t="str">
        <v>7J8440</v>
      </c>
      <c r="B1083" s="6" t="str">
        <v>United States</v>
      </c>
      <c r="C1083" s="6" t="str">
        <v>Google LLC</v>
      </c>
      <c r="D1083" s="6" t="str">
        <v>Alphabet Inc</v>
      </c>
      <c r="F1083" s="6" t="str">
        <v>United States</v>
      </c>
      <c r="G1083" s="6" t="str">
        <v>Loop Now Technologies Inc</v>
      </c>
      <c r="H1083" s="6" t="str">
        <v>Prepackaged Software</v>
      </c>
      <c r="I1083" s="6" t="str">
        <v>7J3450</v>
      </c>
      <c r="J1083" s="6" t="str">
        <v>Loop Now Technologies Inc</v>
      </c>
      <c r="K1083" s="6" t="str">
        <v>Loop Now Technologies Inc</v>
      </c>
      <c r="L1083" s="7">
        <f>=DATE(2019,10,4)</f>
        <v>43741.99949074074</v>
      </c>
      <c r="W1083" s="6" t="str">
        <v>Programming Services;Internet Services &amp; Software</v>
      </c>
      <c r="X1083" s="6" t="str">
        <v>Other Software (inq. Games)</v>
      </c>
      <c r="Y1083" s="6" t="str">
        <v>Other Software (inq. Games)</v>
      </c>
      <c r="Z1083" s="6" t="str">
        <v>Other Software (inq. Games)</v>
      </c>
      <c r="AA1083" s="6" t="str">
        <v>Telecommunications Equipment;Programming Services;Internet Services &amp; Software;Computer Consulting Services;Primary Business not Hi-Tech</v>
      </c>
      <c r="AB1083" s="6" t="str">
        <v>Programming Services;Primary Business not Hi-Tech;Computer Consulting Services;Telecommunications Equipment;Internet Services &amp; Software</v>
      </c>
      <c r="AH1083" s="6" t="str">
        <v>False</v>
      </c>
      <c r="AJ1083" s="6" t="str">
        <v>Dismissed Rumor</v>
      </c>
      <c r="AM1083" s="6" t="str">
        <v>Rumored Deal</v>
      </c>
      <c r="AO1083" s="6" t="str">
        <v>US - Google Inc, a unit of Alphabet Inc, was rumored to be planning to acquire Loop Now Technologies Inc, a Redwood City-based producer of motion pictures and videos. The Current status of this deal is unknown.</v>
      </c>
    </row>
    <row r="1084">
      <c r="A1084" s="6" t="str">
        <v>037833</v>
      </c>
      <c r="B1084" s="6" t="str">
        <v>United States</v>
      </c>
      <c r="C1084" s="6" t="str">
        <v>Apple Inc</v>
      </c>
      <c r="D1084" s="6" t="str">
        <v>Apple Inc</v>
      </c>
      <c r="F1084" s="6" t="str">
        <v>United Kingdom</v>
      </c>
      <c r="G1084" s="6" t="str">
        <v>IKINEMA Ltd</v>
      </c>
      <c r="H1084" s="6" t="str">
        <v>Motion Picture Production and Distribution</v>
      </c>
      <c r="I1084" s="6" t="str">
        <v>7J3755</v>
      </c>
      <c r="J1084" s="6" t="str">
        <v>IKINEMA Ltd</v>
      </c>
      <c r="K1084" s="6" t="str">
        <v>IKINEMA Ltd</v>
      </c>
      <c r="L1084" s="7">
        <f>=DATE(2019,10,4)</f>
        <v>43741.99949074074</v>
      </c>
      <c r="M1084" s="7">
        <f>=DATE(2019,10,4)</f>
        <v>43741.99949074074</v>
      </c>
      <c r="W1084" s="6" t="str">
        <v>Other Software (inq. Games);Disk Drives;Portable Computers;Mainframes &amp; Super Computers;Printers;Monitors/Terminals;Other Peripherals;Micro-Computers (PCs)</v>
      </c>
      <c r="X1084" s="6" t="str">
        <v>Primary Business not Hi-Tech;Other Software (inq. Games);Internet Services &amp; Software;Applications Software(Business;Applications Software(Home);Utilities/File Mgmt Software;Communication/Network Software;Desktop Publishing</v>
      </c>
      <c r="Y1084" s="6" t="str">
        <v>Utilities/File Mgmt Software;Other Software (inq. Games);Primary Business not Hi-Tech;Communication/Network Software;Applications Software(Business;Applications Software(Home);Internet Services &amp; Software;Desktop Publishing</v>
      </c>
      <c r="Z1084" s="6" t="str">
        <v>Other Software (inq. Games);Internet Services &amp; Software;Primary Business not Hi-Tech;Utilities/File Mgmt Software;Communication/Network Software;Desktop Publishing;Applications Software(Home);Applications Software(Business</v>
      </c>
      <c r="AA1084" s="6" t="str">
        <v>Mainframes &amp; Super Computers;Portable Computers;Disk Drives;Micro-Computers (PCs);Printers;Other Peripherals;Monitors/Terminals;Other Software (inq. Games)</v>
      </c>
      <c r="AB1084" s="6" t="str">
        <v>Other Software (inq. Games);Other Peripherals;Disk Drives;Printers;Monitors/Terminals;Portable Computers;Micro-Computers (PCs);Mainframes &amp; Super Computers</v>
      </c>
      <c r="AH1084" s="6" t="str">
        <v>False</v>
      </c>
      <c r="AI1084" s="6" t="str">
        <v>2019</v>
      </c>
      <c r="AJ1084" s="6" t="str">
        <v>Completed</v>
      </c>
      <c r="AM1084" s="6" t="str">
        <v>Rumored Deal</v>
      </c>
      <c r="AO1084" s="6" t="str">
        <v>UK - Apple Inc of the US acquired IKINEMA Ltd, a Farnham-based provider of 3D animation services. Terms were not disclosed. Originally, in October 2019 Apple Inc was rumored to be planning to acquire IKINEMA Ltd.</v>
      </c>
    </row>
    <row r="1085">
      <c r="A1085" s="6" t="str">
        <v>73959W</v>
      </c>
      <c r="B1085" s="6" t="str">
        <v>United States</v>
      </c>
      <c r="C1085" s="6" t="str">
        <v>PowerSchool Group LLC</v>
      </c>
      <c r="D1085" s="6" t="str">
        <v>PowerSchool Holdings Inc</v>
      </c>
      <c r="F1085" s="6" t="str">
        <v>United States</v>
      </c>
      <c r="G1085" s="6" t="str">
        <v>AccelaSchool LLC</v>
      </c>
      <c r="H1085" s="6" t="str">
        <v>Prepackaged Software</v>
      </c>
      <c r="I1085" s="6" t="str">
        <v>9J6254</v>
      </c>
      <c r="J1085" s="6" t="str">
        <v>AccelaSchool LLC</v>
      </c>
      <c r="K1085" s="6" t="str">
        <v>AccelaSchool LLC</v>
      </c>
      <c r="L1085" s="7">
        <f>=DATE(2019,10,15)</f>
        <v>43752.99949074074</v>
      </c>
      <c r="M1085" s="7">
        <f>=DATE(2019,10,15)</f>
        <v>43752.99949074074</v>
      </c>
      <c r="W1085" s="6" t="str">
        <v>Other Software (inq. Games)</v>
      </c>
      <c r="X1085" s="6" t="str">
        <v>Applications Software(Business</v>
      </c>
      <c r="Y1085" s="6" t="str">
        <v>Applications Software(Business</v>
      </c>
      <c r="Z1085" s="6" t="str">
        <v>Applications Software(Business</v>
      </c>
      <c r="AA1085" s="6" t="str">
        <v>Other Software (inq. Games);Internet Services &amp; Software;Utilities/File Mgmt Software;Desktop Publishing;Applications Software(Home);Primary Business not Hi-Tech;Applications Software(Business;Communication/Network Software</v>
      </c>
      <c r="AB1085" s="6" t="str">
        <v>Desktop Publishing;Applications Software(Business;Primary Business not Hi-Tech;Other Software (inq. Games);Internet Services &amp; Software;Applications Software(Home);Utilities/File Mgmt Software;Communication/Network Software</v>
      </c>
      <c r="AH1085" s="6" t="str">
        <v>True</v>
      </c>
      <c r="AI1085" s="6" t="str">
        <v>2019</v>
      </c>
      <c r="AJ1085" s="6" t="str">
        <v>Completed</v>
      </c>
      <c r="AM1085" s="6" t="str">
        <v>Not Applicable</v>
      </c>
      <c r="AO1085" s="6" t="str">
        <v>US - PowerSchool Group LLC acquired AccelaSchool LLC, a Pittsburgh-based reproducer of software.</v>
      </c>
    </row>
    <row r="1086">
      <c r="A1086" s="6" t="str">
        <v>5J9777</v>
      </c>
      <c r="B1086" s="6" t="str">
        <v>United States</v>
      </c>
      <c r="C1086" s="6" t="str">
        <v>Xandr Inc</v>
      </c>
      <c r="D1086" s="6" t="str">
        <v>AT&amp;T Inc</v>
      </c>
      <c r="F1086" s="6" t="str">
        <v>United States</v>
      </c>
      <c r="G1086" s="6" t="str">
        <v>Clypd Inc</v>
      </c>
      <c r="H1086" s="6" t="str">
        <v>Advertising Services</v>
      </c>
      <c r="I1086" s="6" t="str">
        <v>4J1459</v>
      </c>
      <c r="J1086" s="6" t="str">
        <v>Clypd Inc</v>
      </c>
      <c r="K1086" s="6" t="str">
        <v>Clypd Inc</v>
      </c>
      <c r="L1086" s="7">
        <f>=DATE(2019,10,18)</f>
        <v>43755.99949074074</v>
      </c>
      <c r="M1086" s="7">
        <f>=DATE(2019,10,18)</f>
        <v>43755.99949074074</v>
      </c>
      <c r="W1086" s="6" t="str">
        <v>Other Software (inq. Games)</v>
      </c>
      <c r="X1086" s="6" t="str">
        <v>Desktop Publishing;Applications Software(Business;Utilities/File Mgmt Software;Internet Services &amp; Software;Communication/Network Software;Other Software (inq. Games);Applications Software(Home);Primary Business not Hi-Tech</v>
      </c>
      <c r="Y1086" s="6" t="str">
        <v>Applications Software(Home);Utilities/File Mgmt Software;Communication/Network Software;Primary Business not Hi-Tech;Other Software (inq. Games);Applications Software(Business;Desktop Publishing;Internet Services &amp; Software</v>
      </c>
      <c r="Z1086" s="6" t="str">
        <v>Internet Services &amp; Software;Communication/Network Software;Applications Software(Business;Desktop Publishing;Applications Software(Home);Utilities/File Mgmt Software;Primary Business not Hi-Tech;Other Software (inq. Games)</v>
      </c>
      <c r="AA1086" s="6" t="str">
        <v>Data Commun(Exclude networking;Internet Services &amp; Software;Satellite Communications;Cellular Communications;Networking Systems (LAN,WAN)</v>
      </c>
      <c r="AB1086" s="6" t="str">
        <v>Satellite Communications;Internet Services &amp; Software;Cellular Communications;Data Commun(Exclude networking;Networking Systems (LAN,WAN)</v>
      </c>
      <c r="AH1086" s="6" t="str">
        <v>False</v>
      </c>
      <c r="AI1086" s="6" t="str">
        <v>2019</v>
      </c>
      <c r="AJ1086" s="6" t="str">
        <v>Completed</v>
      </c>
      <c r="AM1086" s="6" t="str">
        <v>Not Applicable</v>
      </c>
      <c r="AO1086" s="6" t="str">
        <v>US - Xandr, a unit of AT&amp;T Inc, acquired Clypd Inc, a Somerville-based advertising agency.</v>
      </c>
    </row>
    <row r="1087">
      <c r="A1087" s="6" t="str">
        <v>594918</v>
      </c>
      <c r="B1087" s="6" t="str">
        <v>United States</v>
      </c>
      <c r="C1087" s="6" t="str">
        <v>Microsoft Corp</v>
      </c>
      <c r="D1087" s="6" t="str">
        <v>Microsoft Corp</v>
      </c>
      <c r="F1087" s="6" t="str">
        <v>Canada</v>
      </c>
      <c r="G1087" s="6" t="str">
        <v>Mover Inc</v>
      </c>
      <c r="H1087" s="6" t="str">
        <v>Business Services</v>
      </c>
      <c r="I1087" s="6" t="str">
        <v>7J7073</v>
      </c>
      <c r="J1087" s="6" t="str">
        <v>Mover Inc</v>
      </c>
      <c r="K1087" s="6" t="str">
        <v>Mover Inc</v>
      </c>
      <c r="L1087" s="7">
        <f>=DATE(2019,10,21)</f>
        <v>43758.99949074074</v>
      </c>
      <c r="M1087" s="7">
        <f>=DATE(2019,10,21)</f>
        <v>43758.99949074074</v>
      </c>
      <c r="W1087" s="6" t="str">
        <v>Internet Services &amp; Software;Monitors/Terminals;Computer Consulting Services;Operating Systems;Applications Software(Business;Other Peripherals</v>
      </c>
      <c r="X1087" s="6" t="str">
        <v>Other Software (inq. Games);Data Processing Services;Other Computer Related Svcs;Computer Consulting Services</v>
      </c>
      <c r="Y1087" s="6" t="str">
        <v>Other Software (inq. Games);Computer Consulting Services;Data Processing Services;Other Computer Related Svcs</v>
      </c>
      <c r="Z1087" s="6" t="str">
        <v>Other Computer Related Svcs;Data Processing Services;Computer Consulting Services;Other Software (inq. Games)</v>
      </c>
      <c r="AA1087" s="6" t="str">
        <v>Operating Systems;Applications Software(Business;Other Peripherals;Monitors/Terminals;Internet Services &amp; Software;Computer Consulting Services</v>
      </c>
      <c r="AB1087" s="6" t="str">
        <v>Computer Consulting Services;Monitors/Terminals;Internet Services &amp; Software;Other Peripherals;Operating Systems;Applications Software(Business</v>
      </c>
      <c r="AH1087" s="6" t="str">
        <v>False</v>
      </c>
      <c r="AI1087" s="6" t="str">
        <v>2019</v>
      </c>
      <c r="AJ1087" s="6" t="str">
        <v>Completed</v>
      </c>
      <c r="AM1087" s="6" t="str">
        <v>Not Applicable</v>
      </c>
      <c r="AO1087" s="6" t="str">
        <v>CANADA - Microsoft Corp of the US acquired Mover Inc, an Edmonton-based software publisher.</v>
      </c>
    </row>
    <row r="1088">
      <c r="A1088" s="6" t="str">
        <v>023135</v>
      </c>
      <c r="B1088" s="6" t="str">
        <v>United States</v>
      </c>
      <c r="C1088" s="6" t="str">
        <v>Amazon.com Inc</v>
      </c>
      <c r="D1088" s="6" t="str">
        <v>Amazon.com Inc</v>
      </c>
      <c r="F1088" s="6" t="str">
        <v>United States</v>
      </c>
      <c r="G1088" s="6" t="str">
        <v>Health Navigator Inc</v>
      </c>
      <c r="H1088" s="6" t="str">
        <v>Prepackaged Software</v>
      </c>
      <c r="I1088" s="6" t="str">
        <v>7J8512</v>
      </c>
      <c r="J1088" s="6" t="str">
        <v>Health Navigator Inc</v>
      </c>
      <c r="K1088" s="6" t="str">
        <v>Health Navigator Inc</v>
      </c>
      <c r="L1088" s="7">
        <f>=DATE(2019,10,23)</f>
        <v>43760.99949074074</v>
      </c>
      <c r="M1088" s="7">
        <f>=DATE(2019,10,23)</f>
        <v>43760.99949074074</v>
      </c>
      <c r="W1088" s="6" t="str">
        <v>Primary Business not Hi-Tech</v>
      </c>
      <c r="X1088" s="6" t="str">
        <v>Other Software (inq. Games)</v>
      </c>
      <c r="Y1088" s="6" t="str">
        <v>Other Software (inq. Games)</v>
      </c>
      <c r="Z1088" s="6" t="str">
        <v>Other Software (inq. Games)</v>
      </c>
      <c r="AA1088" s="6" t="str">
        <v>Primary Business not Hi-Tech</v>
      </c>
      <c r="AB1088" s="6" t="str">
        <v>Primary Business not Hi-Tech</v>
      </c>
      <c r="AH1088" s="6" t="str">
        <v>False</v>
      </c>
      <c r="AI1088" s="6" t="str">
        <v>2019</v>
      </c>
      <c r="AJ1088" s="6" t="str">
        <v>Completed</v>
      </c>
      <c r="AM1088" s="6" t="str">
        <v>Not Applicable</v>
      </c>
      <c r="AO1088" s="6" t="str">
        <v>US - Amazon.com Inc acquired Health Navigator Inc, a La Grange-based software publisher.</v>
      </c>
    </row>
    <row r="1089">
      <c r="A1089" s="6" t="str">
        <v>73959W</v>
      </c>
      <c r="B1089" s="6" t="str">
        <v>United States</v>
      </c>
      <c r="C1089" s="6" t="str">
        <v>PowerSchool Group LLC</v>
      </c>
      <c r="D1089" s="6" t="str">
        <v>PowerSchool Holdings Inc</v>
      </c>
      <c r="F1089" s="6" t="str">
        <v>United States</v>
      </c>
      <c r="G1089" s="6" t="str">
        <v>Schoology Inc</v>
      </c>
      <c r="H1089" s="6" t="str">
        <v>Educational Services</v>
      </c>
      <c r="I1089" s="6" t="str">
        <v>7J7555</v>
      </c>
      <c r="J1089" s="6" t="str">
        <v>Schoology Inc</v>
      </c>
      <c r="K1089" s="6" t="str">
        <v>Schoology Inc</v>
      </c>
      <c r="L1089" s="7">
        <f>=DATE(2019,10,24)</f>
        <v>43761.99949074074</v>
      </c>
      <c r="M1089" s="7">
        <f>=DATE(2019,11,25)</f>
        <v>43793.99949074074</v>
      </c>
      <c r="W1089" s="6" t="str">
        <v>Other Software (inq. Games)</v>
      </c>
      <c r="X1089" s="6" t="str">
        <v>Internet Services &amp; Software</v>
      </c>
      <c r="Y1089" s="6" t="str">
        <v>Internet Services &amp; Software</v>
      </c>
      <c r="Z1089" s="6" t="str">
        <v>Internet Services &amp; Software</v>
      </c>
      <c r="AA1089" s="6" t="str">
        <v>Other Software (inq. Games);Primary Business not Hi-Tech;Internet Services &amp; Software;Applications Software(Business;Utilities/File Mgmt Software;Applications Software(Home);Desktop Publishing;Communication/Network Software</v>
      </c>
      <c r="AB1089" s="6" t="str">
        <v>Communication/Network Software;Primary Business not Hi-Tech;Internet Services &amp; Software;Other Software (inq. Games);Utilities/File Mgmt Software;Desktop Publishing;Applications Software(Business;Applications Software(Home)</v>
      </c>
      <c r="AH1089" s="6" t="str">
        <v>True</v>
      </c>
      <c r="AI1089" s="6" t="str">
        <v>2019</v>
      </c>
      <c r="AJ1089" s="6" t="str">
        <v>Completed</v>
      </c>
      <c r="AM1089" s="6" t="str">
        <v>Not Applicable</v>
      </c>
      <c r="AO1089" s="6" t="str">
        <v>US - PowerSchool Group LLC acquired Schoology Inc, a New York City-based provider of educational support services.</v>
      </c>
    </row>
    <row r="1090">
      <c r="A1090" s="6" t="str">
        <v>3H3084</v>
      </c>
      <c r="B1090" s="6" t="str">
        <v>United States</v>
      </c>
      <c r="C1090" s="6" t="str">
        <v>Tenor Inc</v>
      </c>
      <c r="D1090" s="6" t="str">
        <v>Alphabet Inc</v>
      </c>
      <c r="F1090" s="6" t="str">
        <v>United States</v>
      </c>
      <c r="G1090" s="6" t="str">
        <v>Zya Inc</v>
      </c>
      <c r="H1090" s="6" t="str">
        <v>Prepackaged Software</v>
      </c>
      <c r="I1090" s="6" t="str">
        <v>9J7405</v>
      </c>
      <c r="J1090" s="6" t="str">
        <v>Zya Inc</v>
      </c>
      <c r="K1090" s="6" t="str">
        <v>Zya Inc</v>
      </c>
      <c r="L1090" s="7">
        <f>=DATE(2019,10,25)</f>
        <v>43762.99949074074</v>
      </c>
      <c r="M1090" s="7">
        <f>=DATE(2019,10,25)</f>
        <v>43762.99949074074</v>
      </c>
      <c r="W1090" s="6" t="str">
        <v>Applications Software(Business;Applications Software(Home);Desktop Publishing;Communication/Network Software;Utilities/File Mgmt Software;Other Software (inq. Games);Internet Services &amp; Software</v>
      </c>
      <c r="X1090" s="6" t="str">
        <v>Applications Software(Home);Communication/Network Software;Applications Software(Business;Utilities/File Mgmt Software;Internet Services &amp; Software;Desktop Publishing;Other Software (inq. Games)</v>
      </c>
      <c r="Y1090" s="6" t="str">
        <v>Applications Software(Business;Internet Services &amp; Software;Other Software (inq. Games);Utilities/File Mgmt Software;Communication/Network Software;Desktop Publishing;Applications Software(Home)</v>
      </c>
      <c r="Z1090" s="6" t="str">
        <v>Applications Software(Home);Desktop Publishing;Applications Software(Business;Utilities/File Mgmt Software;Other Software (inq. Games);Communication/Network Software;Internet Services &amp; Software</v>
      </c>
      <c r="AA1090" s="6" t="str">
        <v>Programming Services;Internet Services &amp; Software</v>
      </c>
      <c r="AB1090" s="6" t="str">
        <v>Computer Consulting Services;Telecommunications Equipment;Internet Services &amp; Software;Programming Services;Primary Business not Hi-Tech</v>
      </c>
      <c r="AH1090" s="6" t="str">
        <v>False</v>
      </c>
      <c r="AI1090" s="6" t="str">
        <v>2019</v>
      </c>
      <c r="AJ1090" s="6" t="str">
        <v>Completed</v>
      </c>
      <c r="AM1090" s="6" t="str">
        <v>Not Applicable</v>
      </c>
      <c r="AO1090" s="6" t="str">
        <v>US - Tenor Inc, a unit of Google Inc, acquired Zya Inc, a Calabasas-based software publisher.</v>
      </c>
    </row>
    <row r="1091">
      <c r="A1091" s="6" t="str">
        <v>594918</v>
      </c>
      <c r="B1091" s="6" t="str">
        <v>United States</v>
      </c>
      <c r="C1091" s="6" t="str">
        <v>Microsoft Corp</v>
      </c>
      <c r="D1091" s="6" t="str">
        <v>Microsoft Corp</v>
      </c>
      <c r="F1091" s="6" t="str">
        <v>India</v>
      </c>
      <c r="G1091" s="6" t="str">
        <v>ANI Technologies Pvt Ltd</v>
      </c>
      <c r="H1091" s="6" t="str">
        <v>Transportation and Shipping (except air)</v>
      </c>
      <c r="I1091" s="6" t="str">
        <v>3C7940</v>
      </c>
      <c r="J1091" s="6" t="str">
        <v>ANI Technologies Pvt Ltd</v>
      </c>
      <c r="K1091" s="6" t="str">
        <v>ANI Technologies Pvt Ltd</v>
      </c>
      <c r="L1091" s="7">
        <f>=DATE(2019,10,29)</f>
        <v>43766.99949074074</v>
      </c>
      <c r="R1091" s="8">
        <v>-374.8091934085</v>
      </c>
      <c r="S1091" s="8">
        <v>367.682856316855</v>
      </c>
      <c r="W1091" s="6" t="str">
        <v>Computer Consulting Services;Applications Software(Business;Operating Systems;Other Peripherals;Internet Services &amp; Software;Monitors/Terminals</v>
      </c>
      <c r="X1091" s="6" t="str">
        <v>Applications Software(Business;Internet Services &amp; Software</v>
      </c>
      <c r="Y1091" s="6" t="str">
        <v>Internet Services &amp; Software;Applications Software(Business</v>
      </c>
      <c r="Z1091" s="6" t="str">
        <v>Applications Software(Business;Internet Services &amp; Software</v>
      </c>
      <c r="AA1091" s="6" t="str">
        <v>Computer Consulting Services;Applications Software(Business;Operating Systems;Monitors/Terminals;Other Peripherals;Internet Services &amp; Software</v>
      </c>
      <c r="AB1091" s="6" t="str">
        <v>Computer Consulting Services;Monitors/Terminals;Other Peripherals;Internet Services &amp; Software;Applications Software(Business;Operating Systems</v>
      </c>
      <c r="AD1091" s="7">
        <f>=DATE(2019,10,29)</f>
        <v>43766.99949074074</v>
      </c>
      <c r="AH1091" s="6" t="str">
        <v>True</v>
      </c>
      <c r="AJ1091" s="6" t="str">
        <v>Dismissed Rumor</v>
      </c>
      <c r="AM1091" s="6" t="str">
        <v>Rumored Deal</v>
      </c>
      <c r="AN1091" s="8">
        <v>112.11910956924</v>
      </c>
      <c r="AO1091" s="6" t="str">
        <v>INDIA - Microsoft Corp of the US was rumored to be planning to acquire an undisclosed minority stake in Ani Technologies Pvt Ltd, a Bangalore-based provider of taxi services. The terms of the transaction were not disclosed, but according to sources close to the transaction, the value was estimated at INR 14 bil (USD 197.904 mil). The Current status of this deal is unknown.</v>
      </c>
    </row>
    <row r="1092">
      <c r="A1092" s="6" t="str">
        <v>7J8440</v>
      </c>
      <c r="B1092" s="6" t="str">
        <v>United States</v>
      </c>
      <c r="C1092" s="6" t="str">
        <v>Google LLC</v>
      </c>
      <c r="D1092" s="6" t="str">
        <v>Alphabet Inc</v>
      </c>
      <c r="F1092" s="6" t="str">
        <v>United States</v>
      </c>
      <c r="G1092" s="6" t="str">
        <v>Fitbit Inc</v>
      </c>
      <c r="H1092" s="6" t="str">
        <v>Computer and Office Equipment</v>
      </c>
      <c r="I1092" s="6" t="str">
        <v>33812L</v>
      </c>
      <c r="J1092" s="6" t="str">
        <v>Fitbit Inc</v>
      </c>
      <c r="K1092" s="6" t="str">
        <v>Fitbit Inc</v>
      </c>
      <c r="L1092" s="7">
        <f>=DATE(2019,11,1)</f>
        <v>43769.99949074074</v>
      </c>
      <c r="M1092" s="7">
        <f>=DATE(2021,1,14)</f>
        <v>44209.99949074074</v>
      </c>
      <c r="N1092" s="8">
        <v>2113.374</v>
      </c>
      <c r="O1092" s="8">
        <v>2113.374</v>
      </c>
      <c r="P1092" s="8" t="str">
        <v>1,477.06</v>
      </c>
      <c r="R1092" s="8">
        <v>-184.504</v>
      </c>
      <c r="S1092" s="8">
        <v>1503.845</v>
      </c>
      <c r="T1092" s="8">
        <v>-2.613</v>
      </c>
      <c r="U1092" s="8">
        <v>-38.764</v>
      </c>
      <c r="V1092" s="8">
        <v>-73.429</v>
      </c>
      <c r="W1092" s="6" t="str">
        <v>Internet Services &amp; Software;Programming Services</v>
      </c>
      <c r="X1092" s="6" t="str">
        <v>Portable Computers;Medical Monitoring Systems;Primary Business not Hi-Tech</v>
      </c>
      <c r="Y1092" s="6" t="str">
        <v>Primary Business not Hi-Tech;Portable Computers;Medical Monitoring Systems</v>
      </c>
      <c r="Z1092" s="6" t="str">
        <v>Primary Business not Hi-Tech;Medical Monitoring Systems;Portable Computers</v>
      </c>
      <c r="AA1092" s="6" t="str">
        <v>Internet Services &amp; Software;Primary Business not Hi-Tech;Telecommunications Equipment;Programming Services;Computer Consulting Services</v>
      </c>
      <c r="AB1092" s="6" t="str">
        <v>Computer Consulting Services;Internet Services &amp; Software;Programming Services;Telecommunications Equipment;Primary Business not Hi-Tech</v>
      </c>
      <c r="AC1092" s="8">
        <v>2113.374</v>
      </c>
      <c r="AD1092" s="7">
        <f>=DATE(2019,11,1)</f>
        <v>43769.99949074074</v>
      </c>
      <c r="AE1092" s="8">
        <v>2161.09160715</v>
      </c>
      <c r="AF1092" s="8" t="str">
        <v>1,477.15</v>
      </c>
      <c r="AG1092" s="8" t="str">
        <v>1,477.06</v>
      </c>
      <c r="AH1092" s="6" t="str">
        <v>True</v>
      </c>
      <c r="AI1092" s="6" t="str">
        <v>2021</v>
      </c>
      <c r="AJ1092" s="6" t="str">
        <v>Completed</v>
      </c>
      <c r="AK1092" s="8">
        <v>2161.09160715</v>
      </c>
      <c r="AL1092" s="8">
        <v>294.026069</v>
      </c>
      <c r="AM1092" s="6" t="str">
        <v>Rumored Deal</v>
      </c>
      <c r="AN1092" s="8">
        <v>78.498</v>
      </c>
      <c r="AO1092" s="6" t="str">
        <v>US - Google LLC, a unit of Alphabet Inc (Alphabet), merged with Fitbit Inc (Fitbit), a San Francisco-based manufacturer of fitness activity products, for USD 7.35 in cash per share, or a total value of USD 2.113 bil. Originally, in September 2019, Fitbit was rumored to be seeking a buyer for its entire share capital. Alphabet was named as rumored potential bidder.</v>
      </c>
    </row>
    <row r="1093">
      <c r="A1093" s="6" t="str">
        <v>9H1420</v>
      </c>
      <c r="B1093" s="6" t="str">
        <v>United States</v>
      </c>
      <c r="C1093" s="6" t="str">
        <v>Google Cloud Platform</v>
      </c>
      <c r="D1093" s="6" t="str">
        <v>Alphabet Inc</v>
      </c>
      <c r="F1093" s="6" t="str">
        <v>United States</v>
      </c>
      <c r="G1093" s="6" t="str">
        <v>Cloudsimple Inc</v>
      </c>
      <c r="H1093" s="6" t="str">
        <v>Business Services</v>
      </c>
      <c r="I1093" s="6" t="str">
        <v>6J2802</v>
      </c>
      <c r="J1093" s="6" t="str">
        <v>Cloudsimple Inc</v>
      </c>
      <c r="K1093" s="6" t="str">
        <v>Cloudsimple Inc</v>
      </c>
      <c r="L1093" s="7">
        <f>=DATE(2019,11,19)</f>
        <v>43787.99949074074</v>
      </c>
      <c r="M1093" s="7">
        <f>=DATE(2019,11,19)</f>
        <v>43787.99949074074</v>
      </c>
      <c r="W1093" s="6" t="str">
        <v>Other Software (inq. Games)</v>
      </c>
      <c r="X1093" s="6" t="str">
        <v>Database Software/Programming;Programming Services</v>
      </c>
      <c r="Y1093" s="6" t="str">
        <v>Database Software/Programming;Programming Services</v>
      </c>
      <c r="Z1093" s="6" t="str">
        <v>Database Software/Programming;Programming Services</v>
      </c>
      <c r="AA1093" s="6" t="str">
        <v>Internet Services &amp; Software;Programming Services</v>
      </c>
      <c r="AB1093" s="6" t="str">
        <v>Internet Services &amp; Software;Computer Consulting Services;Primary Business not Hi-Tech;Telecommunications Equipment;Programming Services</v>
      </c>
      <c r="AH1093" s="6" t="str">
        <v>False</v>
      </c>
      <c r="AI1093" s="6" t="str">
        <v>2019</v>
      </c>
      <c r="AJ1093" s="6" t="str">
        <v>Completed</v>
      </c>
      <c r="AM1093" s="6" t="str">
        <v>Not Applicable</v>
      </c>
      <c r="AO1093" s="6" t="str">
        <v>US - Google Cloud Platform, a unit of Alphabet Inc, acquired Cloudsimple Inc, a Santa Clara-based provider of custom computer programming services.</v>
      </c>
    </row>
    <row r="1094">
      <c r="A1094" s="6" t="str">
        <v>30303M</v>
      </c>
      <c r="B1094" s="6" t="str">
        <v>United States</v>
      </c>
      <c r="C1094" s="6" t="str">
        <v>Facebook Inc</v>
      </c>
      <c r="D1094" s="6" t="str">
        <v>Facebook Inc</v>
      </c>
      <c r="F1094" s="6" t="str">
        <v>Czech Republic</v>
      </c>
      <c r="G1094" s="6" t="str">
        <v>Beat Games S.R.O.</v>
      </c>
      <c r="H1094" s="6" t="str">
        <v>Prepackaged Software</v>
      </c>
      <c r="I1094" s="6" t="str">
        <v>8J5430</v>
      </c>
      <c r="J1094" s="6" t="str">
        <v>Beat Games S.R.O.</v>
      </c>
      <c r="K1094" s="6" t="str">
        <v>Beat Games S.R.O.</v>
      </c>
      <c r="L1094" s="7">
        <f>=DATE(2019,11,26)</f>
        <v>43794.99949074074</v>
      </c>
      <c r="M1094" s="7">
        <f>=DATE(2019,11,26)</f>
        <v>43794.99949074074</v>
      </c>
      <c r="W1094" s="6" t="str">
        <v>Internet Services &amp; Software</v>
      </c>
      <c r="X1094" s="6" t="str">
        <v>Other Software (inq. Games);Applications Software(Business;Applications Software(Home);Utilities/File Mgmt Software;Desktop Publishing;Communication/Network Software;Primary Business not Hi-Tech;Internet Services &amp; Software;Networking Systems (LAN,WAN);Other Computer Related Svcs;Computer Consulting Services</v>
      </c>
      <c r="Y1094" s="6" t="str">
        <v>Applications Software(Business;Other Software (inq. Games);Utilities/File Mgmt Software;Other Computer Related Svcs;Networking Systems (LAN,WAN);Applications Software(Home);Primary Business not Hi-Tech;Desktop Publishing;Internet Services &amp; Software;Communication/Network Software;Computer Consulting Services</v>
      </c>
      <c r="Z1094" s="6" t="str">
        <v>Networking Systems (LAN,WAN);Desktop Publishing;Primary Business not Hi-Tech;Communication/Network Software;Utilities/File Mgmt Software;Applications Software(Home);Internet Services &amp; Software;Other Software (inq. Games);Computer Consulting Services;Other Computer Related Svcs;Applications Software(Business</v>
      </c>
      <c r="AA1094" s="6" t="str">
        <v>Internet Services &amp; Software</v>
      </c>
      <c r="AB1094" s="6" t="str">
        <v>Internet Services &amp; Software</v>
      </c>
      <c r="AH1094" s="6" t="str">
        <v>False</v>
      </c>
      <c r="AI1094" s="6" t="str">
        <v>2019</v>
      </c>
      <c r="AJ1094" s="6" t="str">
        <v>Completed</v>
      </c>
      <c r="AM1094" s="6" t="str">
        <v>Financial Acquiror</v>
      </c>
      <c r="AO1094" s="6" t="str">
        <v>CZECH REPUBLIC - Facebook Inc of the US acquired Beat Games S.R.O. a Prague-based software publisher.</v>
      </c>
    </row>
    <row r="1095">
      <c r="A1095" s="6" t="str">
        <v>037833</v>
      </c>
      <c r="B1095" s="6" t="str">
        <v>United States</v>
      </c>
      <c r="C1095" s="6" t="str">
        <v>Apple Inc</v>
      </c>
      <c r="D1095" s="6" t="str">
        <v>Apple Inc</v>
      </c>
      <c r="F1095" s="6" t="str">
        <v>United States</v>
      </c>
      <c r="G1095" s="6" t="str">
        <v>Apple Inc</v>
      </c>
      <c r="H1095" s="6" t="str">
        <v>Computer and Office Equipment</v>
      </c>
      <c r="I1095" s="6" t="str">
        <v>037833</v>
      </c>
      <c r="J1095" s="6" t="str">
        <v>Apple Inc</v>
      </c>
      <c r="K1095" s="6" t="str">
        <v>Apple Inc</v>
      </c>
      <c r="L1095" s="7">
        <f>=DATE(2019,11,30)</f>
        <v>43798.99949074074</v>
      </c>
      <c r="M1095" s="7">
        <f>=DATE(2020,5,31)</f>
        <v>43981.99949074074</v>
      </c>
      <c r="N1095" s="8">
        <v>10000</v>
      </c>
      <c r="O1095" s="8">
        <v>10000</v>
      </c>
      <c r="P1095" s="8" t="str">
        <v>1,269,781.19</v>
      </c>
      <c r="R1095" s="8">
        <v>55256</v>
      </c>
      <c r="S1095" s="8">
        <v>260174</v>
      </c>
      <c r="T1095" s="8">
        <v>-90976</v>
      </c>
      <c r="U1095" s="8">
        <v>45896</v>
      </c>
      <c r="V1095" s="8">
        <v>69391</v>
      </c>
      <c r="W1095" s="6" t="str">
        <v>Other Peripherals;Monitors/Terminals;Micro-Computers (PCs);Disk Drives;Printers;Other Software (inq. Games);Portable Computers;Mainframes &amp; Super Computers</v>
      </c>
      <c r="X1095" s="6" t="str">
        <v>Micro-Computers (PCs);Printers;Other Software (inq. Games);Monitors/Terminals;Mainframes &amp; Super Computers;Other Peripherals;Portable Computers;Disk Drives</v>
      </c>
      <c r="Y1095" s="6" t="str">
        <v>Monitors/Terminals;Micro-Computers (PCs);Portable Computers;Disk Drives;Other Peripherals;Mainframes &amp; Super Computers;Printers;Other Software (inq. Games)</v>
      </c>
      <c r="Z1095" s="6" t="str">
        <v>Portable Computers;Monitors/Terminals;Micro-Computers (PCs);Other Peripherals;Printers;Disk Drives;Other Software (inq. Games);Mainframes &amp; Super Computers</v>
      </c>
      <c r="AA1095" s="6" t="str">
        <v>Mainframes &amp; Super Computers;Micro-Computers (PCs);Monitors/Terminals;Other Peripherals;Other Software (inq. Games);Printers;Disk Drives;Portable Computers</v>
      </c>
      <c r="AB1095" s="6" t="str">
        <v>Mainframes &amp; Super Computers;Disk Drives;Micro-Computers (PCs);Monitors/Terminals;Portable Computers;Other Peripherals;Other Software (inq. Games);Printers</v>
      </c>
      <c r="AC1095" s="8">
        <v>10000</v>
      </c>
      <c r="AD1095" s="7">
        <f>=DATE(2019,11,30)</f>
        <v>43798.99949074074</v>
      </c>
      <c r="AF1095" s="8" t="str">
        <v>1,269,781.19</v>
      </c>
      <c r="AG1095" s="8" t="str">
        <v>1,269,781.19</v>
      </c>
      <c r="AH1095" s="6" t="str">
        <v>True</v>
      </c>
      <c r="AI1095" s="6" t="str">
        <v>2020</v>
      </c>
      <c r="AJ1095" s="6" t="str">
        <v>Completed</v>
      </c>
      <c r="AL1095" s="8">
        <v>35.2</v>
      </c>
      <c r="AM1095" s="6" t="str">
        <v>Open Market Purchase;Repurchase</v>
      </c>
      <c r="AO1095" s="6" t="str">
        <v>US - On 31 May 2020, the board of Apple Inc, a Cupertino-based electronic computer manufacturer, completed the repurchase of up to USD 10 bil of the company's entire share capital in an accelerated share repurchase program.</v>
      </c>
    </row>
    <row r="1096">
      <c r="A1096" s="6" t="str">
        <v>2F3138</v>
      </c>
      <c r="B1096" s="6" t="str">
        <v>United States</v>
      </c>
      <c r="C1096" s="6" t="str">
        <v>CapitalG Management Co LLC</v>
      </c>
      <c r="D1096" s="6" t="str">
        <v>Alphabet Inc</v>
      </c>
      <c r="F1096" s="6" t="str">
        <v>United States</v>
      </c>
      <c r="G1096" s="6" t="str">
        <v>Duolingo Inc</v>
      </c>
      <c r="H1096" s="6" t="str">
        <v>Educational Services</v>
      </c>
      <c r="I1096" s="6" t="str">
        <v>26603R</v>
      </c>
      <c r="J1096" s="6" t="str">
        <v>Alphabet Inc</v>
      </c>
      <c r="K1096" s="6" t="str">
        <v>CapitalG Management Co LLC</v>
      </c>
      <c r="L1096" s="7">
        <f>=DATE(2019,12,4)</f>
        <v>43802.99949074074</v>
      </c>
      <c r="M1096" s="7">
        <f>=DATE(2019,12,4)</f>
        <v>43802.99949074074</v>
      </c>
      <c r="N1096" s="8">
        <v>30</v>
      </c>
      <c r="O1096" s="8">
        <v>30</v>
      </c>
      <c r="R1096" s="8">
        <v>-22.697</v>
      </c>
      <c r="S1096" s="8">
        <v>118.315</v>
      </c>
      <c r="T1096" s="8">
        <v>30.97</v>
      </c>
      <c r="U1096" s="8">
        <v>2.431</v>
      </c>
      <c r="V1096" s="8">
        <v>2.152</v>
      </c>
      <c r="W1096" s="6" t="str">
        <v>Primary Business not Hi-Tech</v>
      </c>
      <c r="X1096" s="6" t="str">
        <v>Applications Software(Home);Communication/Network Software;Primary Business not Hi-Tech;Other Software (inq. Games)</v>
      </c>
      <c r="Y1096" s="6" t="str">
        <v>Primary Business not Hi-Tech</v>
      </c>
      <c r="Z1096" s="6" t="str">
        <v>Programming Services;Computer Consulting Services;Telecommunications Equipment;Primary Business not Hi-Tech;Internet Services &amp; Software</v>
      </c>
      <c r="AA1096" s="6" t="str">
        <v>Internet Services &amp; Software;Programming Services</v>
      </c>
      <c r="AB1096" s="6" t="str">
        <v>Internet Services &amp; Software;Computer Consulting Services;Telecommunications Equipment;Primary Business not Hi-Tech;Programming Services</v>
      </c>
      <c r="AC1096" s="8">
        <v>30</v>
      </c>
      <c r="AD1096" s="7">
        <f>=DATE(2019,12,4)</f>
        <v>43802.99949074074</v>
      </c>
      <c r="AH1096" s="6" t="str">
        <v>True</v>
      </c>
      <c r="AI1096" s="6" t="str">
        <v>2019</v>
      </c>
      <c r="AJ1096" s="6" t="str">
        <v>Completed</v>
      </c>
      <c r="AM1096" s="6" t="str">
        <v>Privately Negotiated Purchase;Financial Acquiror</v>
      </c>
      <c r="AO1096" s="6" t="str">
        <v>US - CapitalG Management Co LLC, a unit of Google Inc, acquired an undisclosed minority stake in Duolingo Inc, a Pittsburgh-based government administration establishment for education, for a total USD 30 mil, in a privately negotiated transaction.</v>
      </c>
    </row>
    <row r="1097">
      <c r="A1097" s="6" t="str">
        <v>037833</v>
      </c>
      <c r="B1097" s="6" t="str">
        <v>United States</v>
      </c>
      <c r="C1097" s="6" t="str">
        <v>Apple Inc</v>
      </c>
      <c r="D1097" s="6" t="str">
        <v>Apple Inc</v>
      </c>
      <c r="F1097" s="6" t="str">
        <v>United Kingdom</v>
      </c>
      <c r="G1097" s="6" t="str">
        <v>SPECTRAL EDGE LTD</v>
      </c>
      <c r="H1097" s="6" t="str">
        <v>Prepackaged Software</v>
      </c>
      <c r="I1097" s="6" t="str">
        <v>8K6183</v>
      </c>
      <c r="J1097" s="6" t="str">
        <v>SPECTRAL EDGE LTD</v>
      </c>
      <c r="K1097" s="6" t="str">
        <v>SPECTRAL EDGE LTD</v>
      </c>
      <c r="L1097" s="7">
        <f>=DATE(2019,12,12)</f>
        <v>43810.99949074074</v>
      </c>
      <c r="M1097" s="7">
        <f>=DATE(2019,12,12)</f>
        <v>43810.99949074074</v>
      </c>
      <c r="W1097" s="6" t="str">
        <v>Monitors/Terminals;Other Peripherals;Mainframes &amp; Super Computers;Micro-Computers (PCs);Portable Computers;Printers;Other Software (inq. Games);Disk Drives</v>
      </c>
      <c r="X1097" s="6" t="str">
        <v>Desktop Publishing;Applications Software(Business;Internet Services &amp; Software;Applications Software(Home);Communication/Network Software;Utilities/File Mgmt Software;Other Software (inq. Games)</v>
      </c>
      <c r="Y1097" s="6" t="str">
        <v>Applications Software(Business;Internet Services &amp; Software;Other Software (inq. Games);Utilities/File Mgmt Software;Applications Software(Home);Desktop Publishing;Communication/Network Software</v>
      </c>
      <c r="Z1097" s="6" t="str">
        <v>Utilities/File Mgmt Software;Desktop Publishing;Applications Software(Home);Other Software (inq. Games);Internet Services &amp; Software;Applications Software(Business;Communication/Network Software</v>
      </c>
      <c r="AA1097" s="6" t="str">
        <v>Mainframes &amp; Super Computers;Printers;Other Software (inq. Games);Micro-Computers (PCs);Portable Computers;Disk Drives;Monitors/Terminals;Other Peripherals</v>
      </c>
      <c r="AB1097" s="6" t="str">
        <v>Mainframes &amp; Super Computers;Printers;Other Software (inq. Games);Other Peripherals;Disk Drives;Monitors/Terminals;Portable Computers;Micro-Computers (PCs)</v>
      </c>
      <c r="AH1097" s="6" t="str">
        <v>False</v>
      </c>
      <c r="AI1097" s="6" t="str">
        <v>2019</v>
      </c>
      <c r="AJ1097" s="6" t="str">
        <v>Completed</v>
      </c>
      <c r="AM1097" s="6" t="str">
        <v>Not Applicable</v>
      </c>
      <c r="AO1097" s="6" t="str">
        <v>UK - Apple Inc of the US acquired SPECTRAL EDGE LTD, software publisher. Terms were not disclosed.</v>
      </c>
    </row>
    <row r="1098">
      <c r="A1098" s="6" t="str">
        <v>30303M</v>
      </c>
      <c r="B1098" s="6" t="str">
        <v>United States</v>
      </c>
      <c r="C1098" s="6" t="str">
        <v>Facebook Inc</v>
      </c>
      <c r="D1098" s="6" t="str">
        <v>Facebook Inc</v>
      </c>
      <c r="F1098" s="6" t="str">
        <v>United Kingdom</v>
      </c>
      <c r="G1098" s="6" t="str">
        <v>Papers With Code</v>
      </c>
      <c r="H1098" s="6" t="str">
        <v>Business Services</v>
      </c>
      <c r="I1098" s="6" t="str">
        <v>9J5421</v>
      </c>
      <c r="J1098" s="6" t="str">
        <v>Papers With Code</v>
      </c>
      <c r="K1098" s="6" t="str">
        <v>Papers With Code</v>
      </c>
      <c r="L1098" s="7">
        <f>=DATE(2019,12,14)</f>
        <v>43812.99949074074</v>
      </c>
      <c r="M1098" s="7">
        <f>=DATE(2019,12,14)</f>
        <v>43812.99949074074</v>
      </c>
      <c r="W1098" s="6" t="str">
        <v>Internet Services &amp; Software</v>
      </c>
      <c r="X1098" s="6" t="str">
        <v>Other Software (inq. Games);Data Processing Services;Computer Consulting Services;Other Computer Related Svcs</v>
      </c>
      <c r="Y1098" s="6" t="str">
        <v>Other Software (inq. Games);Other Computer Related Svcs;Computer Consulting Services;Data Processing Services</v>
      </c>
      <c r="Z1098" s="6" t="str">
        <v>Other Software (inq. Games);Computer Consulting Services;Other Computer Related Svcs;Data Processing Services</v>
      </c>
      <c r="AA1098" s="6" t="str">
        <v>Internet Services &amp; Software</v>
      </c>
      <c r="AB1098" s="6" t="str">
        <v>Internet Services &amp; Software</v>
      </c>
      <c r="AH1098" s="6" t="str">
        <v>False</v>
      </c>
      <c r="AI1098" s="6" t="str">
        <v>2019</v>
      </c>
      <c r="AJ1098" s="6" t="str">
        <v>Completed</v>
      </c>
      <c r="AM1098" s="6" t="str">
        <v>Financial Acquiror</v>
      </c>
      <c r="AO1098" s="6" t="str">
        <v>UK - Facebook Inc of the US acquired Papers With Code, software publisher.</v>
      </c>
    </row>
    <row r="1099">
      <c r="A1099" s="6" t="str">
        <v>023135</v>
      </c>
      <c r="B1099" s="6" t="str">
        <v>United States</v>
      </c>
      <c r="C1099" s="6" t="str">
        <v>Amazon.com Inc</v>
      </c>
      <c r="D1099" s="6" t="str">
        <v>Amazon.com Inc</v>
      </c>
      <c r="F1099" s="6" t="str">
        <v>Sweden</v>
      </c>
      <c r="G1099" s="6" t="str">
        <v>Net Insight AB-Sye Consumer Streaming Business</v>
      </c>
      <c r="H1099" s="6" t="str">
        <v>Business Services</v>
      </c>
      <c r="I1099" s="6" t="str">
        <v>9J6762</v>
      </c>
      <c r="J1099" s="6" t="str">
        <v>Net Insight AB</v>
      </c>
      <c r="K1099" s="6" t="str">
        <v>Net Insight AB</v>
      </c>
      <c r="L1099" s="7">
        <f>=DATE(2019,12,17)</f>
        <v>43815.99949074074</v>
      </c>
      <c r="M1099" s="7">
        <f>=DATE(2020,1,3)</f>
        <v>43832.99949074074</v>
      </c>
      <c r="N1099" s="8">
        <v>37.3891678239504</v>
      </c>
      <c r="O1099" s="8">
        <v>37.3891678239504</v>
      </c>
      <c r="W1099" s="6" t="str">
        <v>Primary Business not Hi-Tech</v>
      </c>
      <c r="X1099" s="6" t="str">
        <v>Other Computer Related Svcs;Internet Services &amp; Software;Data Processing Services</v>
      </c>
      <c r="Y1099" s="6" t="str">
        <v>Other Telecommunications Equip;Networking Systems (LAN,WAN);Telephone Interconnect Equip</v>
      </c>
      <c r="Z1099" s="6" t="str">
        <v>Networking Systems (LAN,WAN);Telephone Interconnect Equip;Other Telecommunications Equip</v>
      </c>
      <c r="AA1099" s="6" t="str">
        <v>Primary Business not Hi-Tech</v>
      </c>
      <c r="AB1099" s="6" t="str">
        <v>Primary Business not Hi-Tech</v>
      </c>
      <c r="AC1099" s="8">
        <v>37.3891678239504</v>
      </c>
      <c r="AD1099" s="7">
        <f>=DATE(2019,12,17)</f>
        <v>43815.99949074074</v>
      </c>
      <c r="AH1099" s="6" t="str">
        <v>False</v>
      </c>
      <c r="AI1099" s="6" t="str">
        <v>2020</v>
      </c>
      <c r="AJ1099" s="6" t="str">
        <v>Completed</v>
      </c>
      <c r="AM1099" s="6" t="str">
        <v>Divestiture</v>
      </c>
      <c r="AO1099" s="6" t="str">
        <v>SWEDEN - Amazon.com Inc of the US acquired Sye consumer streaming business of Net Insight AB, a Stockholm-based manufacturer of wireless communications equipment, for a total SEK 350 mil (USD 37.389 mil).</v>
      </c>
    </row>
    <row r="1100">
      <c r="A1100" s="6" t="str">
        <v>30303M</v>
      </c>
      <c r="B1100" s="6" t="str">
        <v>United States</v>
      </c>
      <c r="C1100" s="6" t="str">
        <v>Facebook Inc</v>
      </c>
      <c r="D1100" s="6" t="str">
        <v>Facebook Inc</v>
      </c>
      <c r="F1100" s="6" t="str">
        <v>Spain</v>
      </c>
      <c r="G1100" s="6" t="str">
        <v>PLAYGIGA SL</v>
      </c>
      <c r="H1100" s="6" t="str">
        <v>Prepackaged Software</v>
      </c>
      <c r="I1100" s="6" t="str">
        <v>9J3021</v>
      </c>
      <c r="J1100" s="6" t="str">
        <v>PLAYGIGA SL</v>
      </c>
      <c r="K1100" s="6" t="str">
        <v>PLAYGIGA SL</v>
      </c>
      <c r="L1100" s="7">
        <f>=DATE(2019,12,18)</f>
        <v>43816.99949074074</v>
      </c>
      <c r="M1100" s="7">
        <f>=DATE(2019,12,18)</f>
        <v>43816.99949074074</v>
      </c>
      <c r="R1100" s="8">
        <v>-2.25364712358932</v>
      </c>
      <c r="S1100" s="8">
        <v>3.37645655564731</v>
      </c>
      <c r="W1100" s="6" t="str">
        <v>Internet Services &amp; Software</v>
      </c>
      <c r="X1100" s="6" t="str">
        <v>Other Software (inq. Games)</v>
      </c>
      <c r="Y1100" s="6" t="str">
        <v>Other Software (inq. Games)</v>
      </c>
      <c r="Z1100" s="6" t="str">
        <v>Other Software (inq. Games)</v>
      </c>
      <c r="AA1100" s="6" t="str">
        <v>Internet Services &amp; Software</v>
      </c>
      <c r="AB1100" s="6" t="str">
        <v>Internet Services &amp; Software</v>
      </c>
      <c r="AH1100" s="6" t="str">
        <v>True</v>
      </c>
      <c r="AI1100" s="6" t="str">
        <v>2019</v>
      </c>
      <c r="AJ1100" s="6" t="str">
        <v>Completed</v>
      </c>
      <c r="AM1100" s="6" t="str">
        <v>Financial Acquiror;Rumored Deal</v>
      </c>
      <c r="AN1100" s="8">
        <v>5.00963391136802</v>
      </c>
      <c r="AO1100" s="6" t="str">
        <v>SPAIN - Facebook Inc (Facebook) of the US acquired PLAYGIGA SL (PLAYGIGA), a Madrid-based software publisher. Originally on December 2019, Facebook was rumored to be planning to acquire PLAYGIGA.</v>
      </c>
    </row>
    <row r="1101">
      <c r="A1101" s="6" t="str">
        <v>30303M</v>
      </c>
      <c r="B1101" s="6" t="str">
        <v>United States</v>
      </c>
      <c r="C1101" s="6" t="str">
        <v>Facebook Inc</v>
      </c>
      <c r="D1101" s="6" t="str">
        <v>Facebook Inc</v>
      </c>
      <c r="F1101" s="6" t="str">
        <v>United States</v>
      </c>
      <c r="G1101" s="6" t="str">
        <v>Packagd Corp</v>
      </c>
      <c r="H1101" s="6" t="str">
        <v>Prepackaged Software</v>
      </c>
      <c r="I1101" s="6" t="str">
        <v>9J9399</v>
      </c>
      <c r="J1101" s="6" t="str">
        <v>Packagd Corp</v>
      </c>
      <c r="K1101" s="6" t="str">
        <v>Packagd Corp</v>
      </c>
      <c r="L1101" s="7">
        <f>=DATE(2019,12,19)</f>
        <v>43817.99949074074</v>
      </c>
      <c r="M1101" s="7">
        <f>=DATE(2019,12,19)</f>
        <v>43817.99949074074</v>
      </c>
      <c r="W1101" s="6" t="str">
        <v>Internet Services &amp; Software</v>
      </c>
      <c r="X1101" s="6" t="str">
        <v>Other Software (inq. Games)</v>
      </c>
      <c r="Y1101" s="6" t="str">
        <v>Other Software (inq. Games)</v>
      </c>
      <c r="Z1101" s="6" t="str">
        <v>Other Software (inq. Games)</v>
      </c>
      <c r="AA1101" s="6" t="str">
        <v>Internet Services &amp; Software</v>
      </c>
      <c r="AB1101" s="6" t="str">
        <v>Internet Services &amp; Software</v>
      </c>
      <c r="AH1101" s="6" t="str">
        <v>False</v>
      </c>
      <c r="AI1101" s="6" t="str">
        <v>2019</v>
      </c>
      <c r="AJ1101" s="6" t="str">
        <v>Completed</v>
      </c>
      <c r="AM1101" s="6" t="str">
        <v>Financial Acquiror</v>
      </c>
      <c r="AO1101" s="6" t="str">
        <v>US - Facebook Inc acquired Packagd Corp, a Menlo Park-based software publisher.</v>
      </c>
    </row>
    <row r="1102">
      <c r="A1102" s="6" t="str">
        <v>3F2082</v>
      </c>
      <c r="B1102" s="6" t="str">
        <v>United States</v>
      </c>
      <c r="C1102" s="6" t="str">
        <v>M12 Venture</v>
      </c>
      <c r="D1102" s="6" t="str">
        <v>Microsoft Corp</v>
      </c>
      <c r="F1102" s="6" t="str">
        <v>United Kingdom</v>
      </c>
      <c r="G1102" s="6" t="str">
        <v>SuperAwesome Ltd</v>
      </c>
      <c r="H1102" s="6" t="str">
        <v>Business Services</v>
      </c>
      <c r="I1102" s="6" t="str">
        <v>9A0227</v>
      </c>
      <c r="J1102" s="6" t="str">
        <v>SuperAwesome Ltd</v>
      </c>
      <c r="K1102" s="6" t="str">
        <v>SuperAwesome Ltd</v>
      </c>
      <c r="L1102" s="7">
        <f>=DATE(2019,12,24)</f>
        <v>43822.99949074074</v>
      </c>
      <c r="R1102" s="8">
        <v>-5.95371740572537</v>
      </c>
      <c r="S1102" s="8">
        <v>27.0449558605909</v>
      </c>
      <c r="W1102" s="6" t="str">
        <v>Primary Business not Hi-Tech</v>
      </c>
      <c r="X1102" s="6" t="str">
        <v>Applications Software(Business;Communication/Network Software;Applications Software(Home)</v>
      </c>
      <c r="Y1102" s="6" t="str">
        <v>Communication/Network Software;Applications Software(Business;Applications Software(Home)</v>
      </c>
      <c r="Z1102" s="6" t="str">
        <v>Applications Software(Home);Applications Software(Business;Communication/Network Software</v>
      </c>
      <c r="AA1102" s="6" t="str">
        <v>Applications Software(Business;Computer Consulting Services;Monitors/Terminals;Other Peripherals;Internet Services &amp; Software;Operating Systems</v>
      </c>
      <c r="AB1102" s="6" t="str">
        <v>Applications Software(Business;Internet Services &amp; Software;Other Peripherals;Computer Consulting Services;Monitors/Terminals;Operating Systems</v>
      </c>
      <c r="AH1102" s="6" t="str">
        <v>True</v>
      </c>
      <c r="AJ1102" s="6" t="str">
        <v>Dismissed Rumor</v>
      </c>
      <c r="AM1102" s="6" t="str">
        <v>Rumored Deal</v>
      </c>
      <c r="AN1102" s="8">
        <v>0.454151145583508</v>
      </c>
      <c r="AO1102" s="6" t="str">
        <v>UK - M12 of the US, a unit of Microsoft Corp, was rumored to be planning to acquire an undisclosed minority stake in SuperAwesome Ltd, a London-based internet portal operator. The Current status of this deal is unknown.</v>
      </c>
    </row>
    <row r="1103">
      <c r="A1103" s="6" t="str">
        <v>9J7201</v>
      </c>
      <c r="B1103" s="6" t="str">
        <v>United States</v>
      </c>
      <c r="C1103" s="6" t="str">
        <v>Armis Inc SPV</v>
      </c>
      <c r="D1103" s="6" t="str">
        <v>Insight Holdings Group LLC</v>
      </c>
      <c r="F1103" s="6" t="str">
        <v>United States</v>
      </c>
      <c r="G1103" s="6" t="str">
        <v>Armis Inc</v>
      </c>
      <c r="H1103" s="6" t="str">
        <v>Business Services</v>
      </c>
      <c r="I1103" s="6" t="str">
        <v>3H5923</v>
      </c>
      <c r="J1103" s="6" t="str">
        <v>Armis Inc</v>
      </c>
      <c r="K1103" s="6" t="str">
        <v>Armis Inc</v>
      </c>
      <c r="L1103" s="7">
        <f>=DATE(2020,1,6)</f>
        <v>43835.99949074074</v>
      </c>
      <c r="M1103" s="7">
        <f>=DATE(2020,2,11)</f>
        <v>43871.99949074074</v>
      </c>
      <c r="N1103" s="8">
        <v>1100</v>
      </c>
      <c r="O1103" s="8">
        <v>1100</v>
      </c>
      <c r="W1103" s="6" t="str">
        <v>Primary Business not Hi-Tech</v>
      </c>
      <c r="X1103" s="6" t="str">
        <v>Programming Services;Computer Consulting Services;Data Processing Services;Database Software/Programming;Other Computer Related Svcs;Internet Services &amp; Software</v>
      </c>
      <c r="Y1103" s="6" t="str">
        <v>Other Computer Related Svcs;Data Processing Services;Database Software/Programming;Computer Consulting Services;Internet Services &amp; Software;Programming Services</v>
      </c>
      <c r="Z1103" s="6" t="str">
        <v>Other Computer Related Svcs;Computer Consulting Services;Database Software/Programming;Programming Services;Data Processing Services;Internet Services &amp; Software</v>
      </c>
      <c r="AA1103" s="6" t="str">
        <v>Primary Business not Hi-Tech</v>
      </c>
      <c r="AB1103" s="6" t="str">
        <v>Primary Business not Hi-Tech</v>
      </c>
      <c r="AC1103" s="8">
        <v>1100</v>
      </c>
      <c r="AD1103" s="7">
        <f>=DATE(2020,1,6)</f>
        <v>43835.99949074074</v>
      </c>
      <c r="AH1103" s="6" t="str">
        <v>False</v>
      </c>
      <c r="AI1103" s="6" t="str">
        <v>2020</v>
      </c>
      <c r="AJ1103" s="6" t="str">
        <v>Completed</v>
      </c>
      <c r="AM1103" s="6" t="str">
        <v>Leveraged Buyout;Financial Acquiror;Rumored Deal;Institutional Buyout</v>
      </c>
      <c r="AO1103" s="6" t="str">
        <v>US - Armis Inc SPV, a special purpose acquisition vehicle formed by Insight Venture Management LLC (Insight Partners) and CapitalG Management Co LLC acquired Armis Inc (Armis), a Palo Alto-based provider of Internet of things (IoT) security solution, for a total value of USD 1.1 bil in cash, in a leveraged buyout transaction. Originally, in January 2020, Armis was rumored to be planning to divest the company to an undisclosed acquiror.  Insight Partners was rumored as a potential bidder.</v>
      </c>
    </row>
    <row r="1104">
      <c r="A1104" s="6" t="str">
        <v>7J8440</v>
      </c>
      <c r="B1104" s="6" t="str">
        <v>United States</v>
      </c>
      <c r="C1104" s="6" t="str">
        <v>Google LLC</v>
      </c>
      <c r="D1104" s="6" t="str">
        <v>Alphabet Inc</v>
      </c>
      <c r="F1104" s="6" t="str">
        <v>Ireland</v>
      </c>
      <c r="G1104" s="6" t="str">
        <v>Pomo Search Ltd</v>
      </c>
      <c r="H1104" s="6" t="str">
        <v>Prepackaged Software</v>
      </c>
      <c r="I1104" s="6" t="str">
        <v>0K0169</v>
      </c>
      <c r="J1104" s="6" t="str">
        <v>Pomo Search Ltd</v>
      </c>
      <c r="K1104" s="6" t="str">
        <v>Pomo Search Ltd</v>
      </c>
      <c r="L1104" s="7">
        <f>=DATE(2020,1,14)</f>
        <v>43843.99949074074</v>
      </c>
      <c r="M1104" s="7">
        <f>=DATE(2020,1,14)</f>
        <v>43843.99949074074</v>
      </c>
      <c r="R1104" s="8">
        <v>-8.99715265789297</v>
      </c>
      <c r="S1104" s="8">
        <v>1.98192946662781</v>
      </c>
      <c r="W1104" s="6" t="str">
        <v>Programming Services;Internet Services &amp; Software</v>
      </c>
      <c r="X1104" s="6" t="str">
        <v>Utilities/File Mgmt Software;Semiconductors;Superconductors;Communication/Network Software;Internet Services &amp; Software;Printed Circuit Boards;Desktop Publishing;Applications Software(Home);Applications Software(Business;Other Software (inq. Games)</v>
      </c>
      <c r="Y1104" s="6" t="str">
        <v>Applications Software(Home);Utilities/File Mgmt Software;Semiconductors;Desktop Publishing;Communication/Network Software;Other Software (inq. Games);Applications Software(Business;Printed Circuit Boards;Internet Services &amp; Software;Superconductors</v>
      </c>
      <c r="Z1104" s="6" t="str">
        <v>Internet Services &amp; Software;Semiconductors;Printed Circuit Boards;Utilities/File Mgmt Software;Superconductors;Communication/Network Software;Desktop Publishing;Other Software (inq. Games);Applications Software(Business;Applications Software(Home)</v>
      </c>
      <c r="AA1104" s="6" t="str">
        <v>Programming Services;Computer Consulting Services;Telecommunications Equipment;Internet Services &amp; Software;Primary Business not Hi-Tech</v>
      </c>
      <c r="AB1104" s="6" t="str">
        <v>Telecommunications Equipment;Internet Services &amp; Software;Programming Services;Computer Consulting Services;Primary Business not Hi-Tech</v>
      </c>
      <c r="AD1104" s="7">
        <f>=DATE(2020,1,20)</f>
        <v>43849.99949074074</v>
      </c>
      <c r="AH1104" s="6" t="str">
        <v>True</v>
      </c>
      <c r="AI1104" s="6" t="str">
        <v>2020</v>
      </c>
      <c r="AJ1104" s="6" t="str">
        <v>Completed</v>
      </c>
      <c r="AM1104" s="6" t="str">
        <v>Not Applicable</v>
      </c>
      <c r="AO1104" s="6" t="str">
        <v>IRELAND - Google Inc of the US, a unit of Alphabet Inc, acquired Pomo Search Ltd, a Dublin-based software publisher. The terms of the transaction were not disclosed, but according to sources close to the transaction, the value was estimated at EUR 147.418 mil (USD 163.457 mil).</v>
      </c>
    </row>
    <row r="1105">
      <c r="A1105" s="6" t="str">
        <v>7J8440</v>
      </c>
      <c r="B1105" s="6" t="str">
        <v>United States</v>
      </c>
      <c r="C1105" s="6" t="str">
        <v>Google LLC</v>
      </c>
      <c r="D1105" s="6" t="str">
        <v>Alphabet Inc</v>
      </c>
      <c r="F1105" s="6" t="str">
        <v>United States</v>
      </c>
      <c r="G1105" s="6" t="str">
        <v>AppSheet Inc</v>
      </c>
      <c r="H1105" s="6" t="str">
        <v>Prepackaged Software</v>
      </c>
      <c r="I1105" s="6" t="str">
        <v>3J8307</v>
      </c>
      <c r="J1105" s="6" t="str">
        <v>AppSheet Inc</v>
      </c>
      <c r="K1105" s="6" t="str">
        <v>AppSheet Inc</v>
      </c>
      <c r="L1105" s="7">
        <f>=DATE(2020,1,14)</f>
        <v>43843.99949074074</v>
      </c>
      <c r="M1105" s="7">
        <f>=DATE(2020,1,14)</f>
        <v>43843.99949074074</v>
      </c>
      <c r="W1105" s="6" t="str">
        <v>Programming Services;Internet Services &amp; Software</v>
      </c>
      <c r="X1105" s="6" t="str">
        <v>Other Software (inq. Games)</v>
      </c>
      <c r="Y1105" s="6" t="str">
        <v>Other Software (inq. Games)</v>
      </c>
      <c r="Z1105" s="6" t="str">
        <v>Other Software (inq. Games)</v>
      </c>
      <c r="AA1105" s="6" t="str">
        <v>Internet Services &amp; Software;Computer Consulting Services;Primary Business not Hi-Tech;Telecommunications Equipment;Programming Services</v>
      </c>
      <c r="AB1105" s="6" t="str">
        <v>Telecommunications Equipment;Computer Consulting Services;Programming Services;Internet Services &amp; Software;Primary Business not Hi-Tech</v>
      </c>
      <c r="AH1105" s="6" t="str">
        <v>False</v>
      </c>
      <c r="AI1105" s="6" t="str">
        <v>2020</v>
      </c>
      <c r="AJ1105" s="6" t="str">
        <v>Completed</v>
      </c>
      <c r="AM1105" s="6" t="str">
        <v>Not Applicable</v>
      </c>
      <c r="AO1105" s="6" t="str">
        <v>US - Google Inc, a unit of Alphabet Inc, acquired AppSheet Inc, a Seattle-based software publisher.</v>
      </c>
    </row>
    <row r="1106">
      <c r="A1106" s="6" t="str">
        <v>037833</v>
      </c>
      <c r="B1106" s="6" t="str">
        <v>United States</v>
      </c>
      <c r="C1106" s="6" t="str">
        <v>Apple Inc</v>
      </c>
      <c r="D1106" s="6" t="str">
        <v>Apple Inc</v>
      </c>
      <c r="F1106" s="6" t="str">
        <v>United States</v>
      </c>
      <c r="G1106" s="6" t="str">
        <v>Xnor.Ai Inc</v>
      </c>
      <c r="H1106" s="6" t="str">
        <v>Prepackaged Software</v>
      </c>
      <c r="I1106" s="6" t="str">
        <v>1K1350</v>
      </c>
      <c r="J1106" s="6" t="str">
        <v>Xnor.Ai Inc</v>
      </c>
      <c r="K1106" s="6" t="str">
        <v>Xnor.Ai Inc</v>
      </c>
      <c r="L1106" s="7">
        <f>=DATE(2020,1,15)</f>
        <v>43844.99949074074</v>
      </c>
      <c r="M1106" s="7">
        <f>=DATE(2020,1,15)</f>
        <v>43844.99949074074</v>
      </c>
      <c r="W1106" s="6" t="str">
        <v>Disk Drives;Printers;Portable Computers;Monitors/Terminals;Other Peripherals;Other Software (inq. Games);Micro-Computers (PCs);Mainframes &amp; Super Computers</v>
      </c>
      <c r="X1106" s="6" t="str">
        <v>Utilities/File Mgmt Software;Applications Software(Business;Other Software (inq. Games);Desktop Publishing;Applications Software(Home);Internet Services &amp; Software;Communication/Network Software</v>
      </c>
      <c r="Y1106" s="6" t="str">
        <v>Communication/Network Software;Utilities/File Mgmt Software;Applications Software(Home);Desktop Publishing;Internet Services &amp; Software;Other Software (inq. Games);Applications Software(Business</v>
      </c>
      <c r="Z1106" s="6" t="str">
        <v>Other Software (inq. Games);Applications Software(Home);Communication/Network Software;Internet Services &amp; Software;Applications Software(Business;Utilities/File Mgmt Software;Desktop Publishing</v>
      </c>
      <c r="AA1106" s="6" t="str">
        <v>Micro-Computers (PCs);Monitors/Terminals;Other Software (inq. Games);Printers;Disk Drives;Portable Computers;Mainframes &amp; Super Computers;Other Peripherals</v>
      </c>
      <c r="AB1106" s="6" t="str">
        <v>Other Software (inq. Games);Micro-Computers (PCs);Other Peripherals;Disk Drives;Printers;Mainframes &amp; Super Computers;Monitors/Terminals;Portable Computers</v>
      </c>
      <c r="AD1106" s="7">
        <f>=DATE(2020,1,15)</f>
        <v>43844.99949074074</v>
      </c>
      <c r="AH1106" s="6" t="str">
        <v>False</v>
      </c>
      <c r="AI1106" s="6" t="str">
        <v>2020</v>
      </c>
      <c r="AJ1106" s="6" t="str">
        <v>Completed</v>
      </c>
      <c r="AM1106" s="6" t="str">
        <v>Not Applicable</v>
      </c>
      <c r="AO1106" s="6" t="str">
        <v>US - Apple Inc acquired Xnor.Ai Inc, a Seattle-based software publisher. The terms of the transaction were not disclosed, but according to sources close to the transaction, the value was estimated at USD 200 mil.</v>
      </c>
    </row>
    <row r="1107">
      <c r="A1107" s="6" t="str">
        <v>30303M</v>
      </c>
      <c r="B1107" s="6" t="str">
        <v>United States</v>
      </c>
      <c r="C1107" s="6" t="str">
        <v>Facebook Inc</v>
      </c>
      <c r="D1107" s="6" t="str">
        <v>Facebook Inc</v>
      </c>
      <c r="F1107" s="6" t="str">
        <v>United Kingdom</v>
      </c>
      <c r="G1107" s="6" t="str">
        <v>Scape Technologies Ltd</v>
      </c>
      <c r="H1107" s="6" t="str">
        <v>Prepackaged Software</v>
      </c>
      <c r="I1107" s="6" t="str">
        <v>0K9500</v>
      </c>
      <c r="J1107" s="6" t="str">
        <v>Scape Technologies Ltd</v>
      </c>
      <c r="K1107" s="6" t="str">
        <v>Scape Technologies Ltd</v>
      </c>
      <c r="L1107" s="7">
        <f>=DATE(2020,2,10)</f>
        <v>43870.99949074074</v>
      </c>
      <c r="M1107" s="7">
        <f>=DATE(2020,2,10)</f>
        <v>43870.99949074074</v>
      </c>
      <c r="W1107" s="6" t="str">
        <v>Internet Services &amp; Software</v>
      </c>
      <c r="X1107" s="6" t="str">
        <v>Communication/Network Software</v>
      </c>
      <c r="Y1107" s="6" t="str">
        <v>Communication/Network Software</v>
      </c>
      <c r="Z1107" s="6" t="str">
        <v>Communication/Network Software</v>
      </c>
      <c r="AA1107" s="6" t="str">
        <v>Internet Services &amp; Software</v>
      </c>
      <c r="AB1107" s="6" t="str">
        <v>Internet Services &amp; Software</v>
      </c>
      <c r="AD1107" s="7">
        <f>=DATE(2020,2,10)</f>
        <v>43870.99949074074</v>
      </c>
      <c r="AH1107" s="6" t="str">
        <v>True</v>
      </c>
      <c r="AI1107" s="6" t="str">
        <v>2020</v>
      </c>
      <c r="AJ1107" s="6" t="str">
        <v>Completed</v>
      </c>
      <c r="AM1107" s="6" t="str">
        <v>Financial Acquiror</v>
      </c>
      <c r="AO1107" s="6" t="str">
        <v>UK - Facebook Inc (Facebook) of the US acquired Scape Technologies Ltd (Scape), a London-based software publisher. The terms of the transaction were not disclosed, but according to sources close to the transaction, the value was estimated at GBP 31.029 mil (USD 39.999 mil). Originally, in Federacy 2020 Facebook was rumored to be planning to acquire Scape.</v>
      </c>
    </row>
    <row r="1108">
      <c r="A1108" s="6" t="str">
        <v>7J8440</v>
      </c>
      <c r="B1108" s="6" t="str">
        <v>United States</v>
      </c>
      <c r="C1108" s="6" t="str">
        <v>Google LLC</v>
      </c>
      <c r="D1108" s="6" t="str">
        <v>Alphabet Inc</v>
      </c>
      <c r="F1108" s="6" t="str">
        <v>Netherlands</v>
      </c>
      <c r="G1108" s="6" t="str">
        <v>Cornerstone Technology BV</v>
      </c>
      <c r="H1108" s="6" t="str">
        <v>Business Services</v>
      </c>
      <c r="I1108" s="6" t="str">
        <v>1K3053</v>
      </c>
      <c r="J1108" s="6" t="str">
        <v>Cornerstone Technology BV</v>
      </c>
      <c r="K1108" s="6" t="str">
        <v>Cornerstone Technology BV</v>
      </c>
      <c r="L1108" s="7">
        <f>=DATE(2020,2,19)</f>
        <v>43879.99949074074</v>
      </c>
      <c r="M1108" s="7">
        <f>=DATE(2020,2,19)</f>
        <v>43879.99949074074</v>
      </c>
      <c r="W1108" s="6" t="str">
        <v>Internet Services &amp; Software;Programming Services</v>
      </c>
      <c r="X1108" s="6" t="str">
        <v>Computer Consulting Services;Data Processing Services;Other Computer Related Svcs;Other Software (inq. Games)</v>
      </c>
      <c r="Y1108" s="6" t="str">
        <v>Other Software (inq. Games);Data Processing Services;Computer Consulting Services;Other Computer Related Svcs</v>
      </c>
      <c r="Z1108" s="6" t="str">
        <v>Other Computer Related Svcs;Other Software (inq. Games);Computer Consulting Services;Data Processing Services</v>
      </c>
      <c r="AA1108" s="6" t="str">
        <v>Telecommunications Equipment;Internet Services &amp; Software;Programming Services;Primary Business not Hi-Tech;Computer Consulting Services</v>
      </c>
      <c r="AB1108" s="6" t="str">
        <v>Telecommunications Equipment;Computer Consulting Services;Programming Services;Primary Business not Hi-Tech;Internet Services &amp; Software</v>
      </c>
      <c r="AH1108" s="6" t="str">
        <v>False</v>
      </c>
      <c r="AI1108" s="6" t="str">
        <v>2020</v>
      </c>
      <c r="AJ1108" s="6" t="str">
        <v>Completed</v>
      </c>
      <c r="AM1108" s="6" t="str">
        <v>Not Applicable</v>
      </c>
      <c r="AO1108" s="6" t="str">
        <v>NETHERLANDS - Google LLC of the US, a unit of Alphabet Inc, acquired Cornerstone Technology BV, a Dordrecht-based software publisher. Terms were not disclosed.</v>
      </c>
    </row>
    <row r="1109">
      <c r="A1109" s="6" t="str">
        <v>4C7902</v>
      </c>
      <c r="B1109" s="6" t="str">
        <v>United States</v>
      </c>
      <c r="C1109" s="6" t="str">
        <v>Amazon Web Services Inc</v>
      </c>
      <c r="D1109" s="6" t="str">
        <v>Amazon.com Inc</v>
      </c>
      <c r="F1109" s="6" t="str">
        <v>United States</v>
      </c>
      <c r="G1109" s="6" t="str">
        <v>DataRow</v>
      </c>
      <c r="H1109" s="6" t="str">
        <v>Prepackaged Software</v>
      </c>
      <c r="I1109" s="6" t="str">
        <v>1K3414</v>
      </c>
      <c r="J1109" s="6" t="str">
        <v>DataRow</v>
      </c>
      <c r="K1109" s="6" t="str">
        <v>DataRow</v>
      </c>
      <c r="L1109" s="7">
        <f>=DATE(2020,2,21)</f>
        <v>43881.99949074074</v>
      </c>
      <c r="M1109" s="7">
        <f>=DATE(2020,2,21)</f>
        <v>43881.99949074074</v>
      </c>
      <c r="W1109" s="6" t="str">
        <v>Primary Business not Hi-Tech;Computer Consulting Services;Data Processing Services;Other Computer Related Svcs;Internet Services &amp; Software</v>
      </c>
      <c r="X1109" s="6" t="str">
        <v>CAD/CAM/CAE/Graphics Systems;Other Software (inq. Games);Networking Systems (LAN,WAN);Utilities/File Mgmt Software;Communication/Network Software;Operating Systems;Other Computer Related Svcs;Primary Business not Hi-Tech;Data Commun(Exclude networking;Turnkey Systems;Desktop Publishing;Internet Services &amp; Software;Computer Consulting Services;Applications Software(Business;Data Processing Services;Applications Software(Home);Workstations;Other Computer Systems</v>
      </c>
      <c r="Y1109" s="6" t="str">
        <v>Other Computer Systems;CAD/CAM/CAE/Graphics Systems;Turnkey Systems;Primary Business not Hi-Tech;Workstations;Other Computer Related Svcs;Applications Software(Business;Data Processing Services;Operating Systems;Data Commun(Exclude networking;Applications Software(Home);Desktop Publishing;Communication/Network Software;Utilities/File Mgmt Software;Other Software (inq. Games);Internet Services &amp; Software;Networking Systems (LAN,WAN);Computer Consulting Services</v>
      </c>
      <c r="Z1109" s="6" t="str">
        <v>Data Processing Services;Networking Systems (LAN,WAN);Other Computer Related Svcs;CAD/CAM/CAE/Graphics Systems;Desktop Publishing;Operating Systems;Internet Services &amp; Software;Computer Consulting Services;Applications Software(Business;Other Software (inq. Games);Other Computer Systems;Applications Software(Home);Workstations;Turnkey Systems;Communication/Network Software;Data Commun(Exclude networking;Utilities/File Mgmt Software;Primary Business not Hi-Tech</v>
      </c>
      <c r="AA1109" s="6" t="str">
        <v>Primary Business not Hi-Tech</v>
      </c>
      <c r="AB1109" s="6" t="str">
        <v>Primary Business not Hi-Tech</v>
      </c>
      <c r="AH1109" s="6" t="str">
        <v>False</v>
      </c>
      <c r="AI1109" s="6" t="str">
        <v>2020</v>
      </c>
      <c r="AJ1109" s="6" t="str">
        <v>Completed</v>
      </c>
      <c r="AM1109" s="6" t="str">
        <v>Not Applicable</v>
      </c>
      <c r="AO1109" s="6" t="str">
        <v>US - Amazon Web Services Inc, a unit of Amazon.com Inc, acquired DataRow, software publisher.</v>
      </c>
    </row>
    <row r="1110">
      <c r="A1110" s="6" t="str">
        <v>8J8006</v>
      </c>
      <c r="B1110" s="6" t="str">
        <v>United States</v>
      </c>
      <c r="C1110" s="6" t="str">
        <v>Facebook Technologies Inc</v>
      </c>
      <c r="D1110" s="6" t="str">
        <v>Facebook Inc</v>
      </c>
      <c r="F1110" s="6" t="str">
        <v>United States</v>
      </c>
      <c r="G1110" s="6" t="str">
        <v>Sanzaru Games Inc</v>
      </c>
      <c r="H1110" s="6" t="str">
        <v>Business Services</v>
      </c>
      <c r="I1110" s="6" t="str">
        <v>1K1072</v>
      </c>
      <c r="J1110" s="6" t="str">
        <v>Sanzaru Games Inc</v>
      </c>
      <c r="K1110" s="6" t="str">
        <v>Sanzaru Games Inc</v>
      </c>
      <c r="L1110" s="7">
        <f>=DATE(2020,2,26)</f>
        <v>43886.99949074074</v>
      </c>
      <c r="M1110" s="7">
        <f>=DATE(2020,2,26)</f>
        <v>43886.99949074074</v>
      </c>
      <c r="W1110" s="6" t="str">
        <v>Applications Software(Home);Communication/Network Software;Applications Software(Business;Programming Services</v>
      </c>
      <c r="X1110" s="6" t="str">
        <v>Database Software/Programming;Programming Services</v>
      </c>
      <c r="Y1110" s="6" t="str">
        <v>Database Software/Programming;Programming Services</v>
      </c>
      <c r="Z1110" s="6" t="str">
        <v>Database Software/Programming;Programming Services</v>
      </c>
      <c r="AA1110" s="6" t="str">
        <v>Internet Services &amp; Software</v>
      </c>
      <c r="AB1110" s="6" t="str">
        <v>Internet Services &amp; Software</v>
      </c>
      <c r="AH1110" s="6" t="str">
        <v>False</v>
      </c>
      <c r="AI1110" s="6" t="str">
        <v>2020</v>
      </c>
      <c r="AJ1110" s="6" t="str">
        <v>Completed</v>
      </c>
      <c r="AM1110" s="6" t="str">
        <v>Financial Acquiror</v>
      </c>
      <c r="AO1110" s="6" t="str">
        <v>US - Facebook Technologies Inc, a unit of Facebook Inc, acquired Sanzaru Games Inc, a Foster City-based provider of custom computer programming services.</v>
      </c>
    </row>
    <row r="1111">
      <c r="A1111" s="6" t="str">
        <v>594918</v>
      </c>
      <c r="B1111" s="6" t="str">
        <v>United States</v>
      </c>
      <c r="C1111" s="6" t="str">
        <v>Microsoft Corp</v>
      </c>
      <c r="D1111" s="6" t="str">
        <v>Microsoft Corp</v>
      </c>
      <c r="F1111" s="6" t="str">
        <v>United States</v>
      </c>
      <c r="G1111" s="6" t="str">
        <v>Affirmed Networks Inc</v>
      </c>
      <c r="H1111" s="6" t="str">
        <v>Telecommunications</v>
      </c>
      <c r="I1111" s="6" t="str">
        <v>1J2383</v>
      </c>
      <c r="J1111" s="6" t="str">
        <v>Affirmed Networks Inc</v>
      </c>
      <c r="K1111" s="6" t="str">
        <v>Affirmed Networks Inc</v>
      </c>
      <c r="L1111" s="7">
        <f>=DATE(2020,3,26)</f>
        <v>43915.99949074074</v>
      </c>
      <c r="M1111" s="7">
        <f>=DATE(2020,4,23)</f>
        <v>43943.99949074074</v>
      </c>
      <c r="W1111" s="6" t="str">
        <v>Monitors/Terminals;Computer Consulting Services;Operating Systems;Applications Software(Business;Other Peripherals;Internet Services &amp; Software</v>
      </c>
      <c r="X1111" s="6" t="str">
        <v>Programming Services;Satellite Communications;Database Software/Programming</v>
      </c>
      <c r="Y1111" s="6" t="str">
        <v>Satellite Communications;Programming Services;Database Software/Programming</v>
      </c>
      <c r="Z1111" s="6" t="str">
        <v>Satellite Communications;Programming Services;Database Software/Programming</v>
      </c>
      <c r="AA1111" s="6" t="str">
        <v>Internet Services &amp; Software;Applications Software(Business;Operating Systems;Computer Consulting Services;Monitors/Terminals;Other Peripherals</v>
      </c>
      <c r="AB1111" s="6" t="str">
        <v>Applications Software(Business;Monitors/Terminals;Other Peripherals;Operating Systems;Computer Consulting Services;Internet Services &amp; Software</v>
      </c>
      <c r="AH1111" s="6" t="str">
        <v>False</v>
      </c>
      <c r="AI1111" s="6" t="str">
        <v>2020</v>
      </c>
      <c r="AJ1111" s="6" t="str">
        <v>Completed</v>
      </c>
      <c r="AM1111" s="6" t="str">
        <v>Not Applicable</v>
      </c>
      <c r="AO1111" s="6" t="str">
        <v>US - Microsoft Corp acquired Affirmed Networks Inc, an Acton-based wireless telecommunications carrier.</v>
      </c>
    </row>
    <row r="1112">
      <c r="A1112" s="6" t="str">
        <v>037833</v>
      </c>
      <c r="B1112" s="6" t="str">
        <v>United States</v>
      </c>
      <c r="C1112" s="6" t="str">
        <v>Apple Inc</v>
      </c>
      <c r="D1112" s="6" t="str">
        <v>Apple Inc</v>
      </c>
      <c r="F1112" s="6" t="str">
        <v>United Kingdom</v>
      </c>
      <c r="G1112" s="6" t="str">
        <v>Plessey Semiconductors Ltd</v>
      </c>
      <c r="H1112" s="6" t="str">
        <v>Electronic and Electrical Equipment</v>
      </c>
      <c r="I1112" s="6" t="str">
        <v>72905J</v>
      </c>
      <c r="J1112" s="6" t="str">
        <v>Plessey Semiconductors Ltd</v>
      </c>
      <c r="K1112" s="6" t="str">
        <v>Plessey Semiconductors Ltd</v>
      </c>
      <c r="L1112" s="7">
        <f>=DATE(2020,3,30)</f>
        <v>43919.99949074074</v>
      </c>
      <c r="W1112" s="6" t="str">
        <v>Printers;Disk Drives;Other Peripherals;Mainframes &amp; Super Computers;Other Software (inq. Games);Portable Computers;Monitors/Terminals;Micro-Computers (PCs)</v>
      </c>
      <c r="X1112" s="6" t="str">
        <v>Other Electronics;Semiconductors;Superconductors</v>
      </c>
      <c r="Y1112" s="6" t="str">
        <v>Other Electronics;Semiconductors;Superconductors</v>
      </c>
      <c r="Z1112" s="6" t="str">
        <v>Superconductors;Other Electronics;Semiconductors</v>
      </c>
      <c r="AA1112" s="6" t="str">
        <v>Monitors/Terminals;Other Peripherals;Micro-Computers (PCs);Other Software (inq. Games);Printers;Disk Drives;Mainframes &amp; Super Computers;Portable Computers</v>
      </c>
      <c r="AB1112" s="6" t="str">
        <v>Monitors/Terminals;Micro-Computers (PCs);Disk Drives;Mainframes &amp; Super Computers;Printers;Other Software (inq. Games);Portable Computers;Other Peripherals</v>
      </c>
      <c r="AH1112" s="6" t="str">
        <v>True</v>
      </c>
      <c r="AJ1112" s="6" t="str">
        <v>Dismissed Rumor</v>
      </c>
      <c r="AM1112" s="6" t="str">
        <v>Rumored Deal</v>
      </c>
      <c r="AO1112" s="6" t="str">
        <v>UK - Apple Inc of the US was rumored to be planning to acquire Plessey Semiconductors Ltd, a Plymouth-based manufacturer of semiconductors and related device. The Current status of this deal is unknown.</v>
      </c>
    </row>
    <row r="1113">
      <c r="A1113" s="6" t="str">
        <v>037833</v>
      </c>
      <c r="B1113" s="6" t="str">
        <v>United States</v>
      </c>
      <c r="C1113" s="6" t="str">
        <v>Apple Inc</v>
      </c>
      <c r="D1113" s="6" t="str">
        <v>Apple Inc</v>
      </c>
      <c r="F1113" s="6" t="str">
        <v>United States</v>
      </c>
      <c r="G1113" s="6" t="str">
        <v>Dark Sky Co LLC</v>
      </c>
      <c r="H1113" s="6" t="str">
        <v>Prepackaged Software</v>
      </c>
      <c r="I1113" s="6" t="str">
        <v>1K7924</v>
      </c>
      <c r="J1113" s="6" t="str">
        <v>Dark Sky Co LLC</v>
      </c>
      <c r="K1113" s="6" t="str">
        <v>Dark Sky Co LLC</v>
      </c>
      <c r="L1113" s="7">
        <f>=DATE(2020,3,31)</f>
        <v>43920.99949074074</v>
      </c>
      <c r="M1113" s="7">
        <f>=DATE(2020,3,31)</f>
        <v>43920.99949074074</v>
      </c>
      <c r="W1113" s="6" t="str">
        <v>Mainframes &amp; Super Computers;Micro-Computers (PCs);Monitors/Terminals;Other Peripherals;Other Software (inq. Games);Disk Drives;Portable Computers;Printers</v>
      </c>
      <c r="X1113" s="6" t="str">
        <v>Internet Services &amp; Software;Desktop Publishing;Other Software (inq. Games);Applications Software(Business;Applications Software(Home);Communication/Network Software;Utilities/File Mgmt Software</v>
      </c>
      <c r="Y1113" s="6" t="str">
        <v>Applications Software(Home);Communication/Network Software;Applications Software(Business;Internet Services &amp; Software;Desktop Publishing;Utilities/File Mgmt Software;Other Software (inq. Games)</v>
      </c>
      <c r="Z1113" s="6" t="str">
        <v>Communication/Network Software;Applications Software(Business;Desktop Publishing;Utilities/File Mgmt Software;Other Software (inq. Games);Internet Services &amp; Software;Applications Software(Home)</v>
      </c>
      <c r="AA1113" s="6" t="str">
        <v>Printers;Monitors/Terminals;Mainframes &amp; Super Computers;Disk Drives;Other Peripherals;Micro-Computers (PCs);Other Software (inq. Games);Portable Computers</v>
      </c>
      <c r="AB1113" s="6" t="str">
        <v>Printers;Disk Drives;Micro-Computers (PCs);Mainframes &amp; Super Computers;Other Software (inq. Games);Other Peripherals;Portable Computers;Monitors/Terminals</v>
      </c>
      <c r="AH1113" s="6" t="str">
        <v>False</v>
      </c>
      <c r="AI1113" s="6" t="str">
        <v>2020</v>
      </c>
      <c r="AJ1113" s="6" t="str">
        <v>Completed</v>
      </c>
      <c r="AM1113" s="6" t="str">
        <v>Not Applicable</v>
      </c>
      <c r="AO1113" s="6" t="str">
        <v>US - Apple Inc acquired Dark Sky Co LLC, software publisher.</v>
      </c>
    </row>
    <row r="1114">
      <c r="A1114" s="6" t="str">
        <v>037833</v>
      </c>
      <c r="B1114" s="6" t="str">
        <v>United States</v>
      </c>
      <c r="C1114" s="6" t="str">
        <v>Apple Inc</v>
      </c>
      <c r="D1114" s="6" t="str">
        <v>Apple Inc</v>
      </c>
      <c r="F1114" s="6" t="str">
        <v>Ireland</v>
      </c>
      <c r="G1114" s="6" t="str">
        <v>Voysis Ltd</v>
      </c>
      <c r="H1114" s="6" t="str">
        <v>Prepackaged Software</v>
      </c>
      <c r="I1114" s="6" t="str">
        <v>2K1109</v>
      </c>
      <c r="J1114" s="6" t="str">
        <v>Voysis Ltd</v>
      </c>
      <c r="K1114" s="6" t="str">
        <v>Voysis Ltd</v>
      </c>
      <c r="L1114" s="7">
        <f>=DATE(2020,4,3)</f>
        <v>43923.99949074074</v>
      </c>
      <c r="M1114" s="7">
        <f>=DATE(2020,4,3)</f>
        <v>43923.99949074074</v>
      </c>
      <c r="W1114" s="6" t="str">
        <v>Printers;Other Software (inq. Games);Micro-Computers (PCs);Disk Drives;Monitors/Terminals;Mainframes &amp; Super Computers;Other Peripherals;Portable Computers</v>
      </c>
      <c r="X1114" s="6" t="str">
        <v>Applications Software(Business</v>
      </c>
      <c r="Y1114" s="6" t="str">
        <v>Applications Software(Business</v>
      </c>
      <c r="Z1114" s="6" t="str">
        <v>Applications Software(Business</v>
      </c>
      <c r="AA1114" s="6" t="str">
        <v>Other Peripherals;Other Software (inq. Games);Micro-Computers (PCs);Portable Computers;Mainframes &amp; Super Computers;Printers;Monitors/Terminals;Disk Drives</v>
      </c>
      <c r="AB1114" s="6" t="str">
        <v>Monitors/Terminals;Mainframes &amp; Super Computers;Printers;Portable Computers;Other Peripherals;Micro-Computers (PCs);Other Software (inq. Games);Disk Drives</v>
      </c>
      <c r="AH1114" s="6" t="str">
        <v>False</v>
      </c>
      <c r="AI1114" s="6" t="str">
        <v>2020</v>
      </c>
      <c r="AJ1114" s="6" t="str">
        <v>Completed</v>
      </c>
      <c r="AM1114" s="6" t="str">
        <v>Not Applicable</v>
      </c>
      <c r="AO1114" s="6" t="str">
        <v>IRELAND - Apple Inc of the US acquired Voysis Ltd, a Dublin-based reproducer of software. Terms were not disclosed.</v>
      </c>
    </row>
    <row r="1115">
      <c r="A1115" s="6" t="str">
        <v>3K7275</v>
      </c>
      <c r="B1115" s="6" t="str">
        <v>United States</v>
      </c>
      <c r="C1115" s="6" t="str">
        <v>Jaadhu Holdings LLC</v>
      </c>
      <c r="D1115" s="6" t="str">
        <v>Facebook Inc</v>
      </c>
      <c r="F1115" s="6" t="str">
        <v>India</v>
      </c>
      <c r="G1115" s="6" t="str">
        <v>Jio Platforms Ltd</v>
      </c>
      <c r="H1115" s="6" t="str">
        <v>Telecommunications</v>
      </c>
      <c r="I1115" s="6" t="str">
        <v>2K1242</v>
      </c>
      <c r="J1115" s="6" t="str">
        <v>Reliance Industries Ltd</v>
      </c>
      <c r="K1115" s="6" t="str">
        <v>Reliance Industries Ltd</v>
      </c>
      <c r="L1115" s="7">
        <f>=DATE(2020,4,21)</f>
        <v>43941.99949074074</v>
      </c>
      <c r="M1115" s="7">
        <f>=DATE(2020,7,7)</f>
        <v>44018.99949074074</v>
      </c>
      <c r="N1115" s="8">
        <v>5690.7404988899</v>
      </c>
      <c r="O1115" s="8">
        <v>5690.7404988899</v>
      </c>
      <c r="P1115" s="8" t="str">
        <v>63,049.46</v>
      </c>
      <c r="S1115" s="8">
        <v>12.9111592945938</v>
      </c>
      <c r="W1115" s="6" t="str">
        <v>Primary Business not Hi-Tech</v>
      </c>
      <c r="X1115" s="6" t="str">
        <v>Primary Business not Hi-Tech;Satellite Communications;Telecommunications Equipment;Internet Services &amp; Software</v>
      </c>
      <c r="Y1115" s="6" t="str">
        <v>Primary Business not Hi-Tech</v>
      </c>
      <c r="Z1115" s="6" t="str">
        <v>Primary Business not Hi-Tech</v>
      </c>
      <c r="AA1115" s="6" t="str">
        <v>Internet Services &amp; Software</v>
      </c>
      <c r="AB1115" s="6" t="str">
        <v>Internet Services &amp; Software</v>
      </c>
      <c r="AC1115" s="8">
        <v>5690.7404988899</v>
      </c>
      <c r="AD1115" s="7">
        <f>=DATE(2020,4,21)</f>
        <v>43941.99949074074</v>
      </c>
      <c r="AF1115" s="8" t="str">
        <v>56,668.34</v>
      </c>
      <c r="AG1115" s="8" t="str">
        <v>58,308.43</v>
      </c>
      <c r="AH1115" s="6" t="str">
        <v>True</v>
      </c>
      <c r="AI1115" s="6" t="str">
        <v>2020</v>
      </c>
      <c r="AJ1115" s="6" t="str">
        <v>Completed</v>
      </c>
      <c r="AM1115" s="6" t="str">
        <v>Rumored Deal;Financial Acquiror;Privately Negotiated Purchase</v>
      </c>
      <c r="AO1115" s="6" t="str">
        <v>INDIA - Jaadhu Holdings LLC of the US, wholly-owned by Facebook Inc (FB), acquired a 9.99% stake in Jio Platforms Ltd (Jio), an Ahmedabad-based wireless telecommunications carrier, a unit of Reliance Industries Ltd, for INR 435.74 bil (USD 5.691 bil), in a privately negotiated transaction. As a result, the transaction is expected to be fully dilutive. Originally, in March 2020, FB was rumored to be planning to acquire a 10% stake in Reliance Jio Infocomm Ltd (currently, the subsidiary of Jio).</v>
      </c>
    </row>
    <row r="1116">
      <c r="A1116" s="6" t="str">
        <v>7J8440</v>
      </c>
      <c r="B1116" s="6" t="str">
        <v>United States</v>
      </c>
      <c r="C1116" s="6" t="str">
        <v>Google LLC</v>
      </c>
      <c r="D1116" s="6" t="str">
        <v>Alphabet Inc</v>
      </c>
      <c r="F1116" s="6" t="str">
        <v>United States</v>
      </c>
      <c r="G1116" s="6" t="str">
        <v>D2iq Inc</v>
      </c>
      <c r="H1116" s="6" t="str">
        <v>Prepackaged Software</v>
      </c>
      <c r="I1116" s="6" t="str">
        <v>5J7777</v>
      </c>
      <c r="J1116" s="6" t="str">
        <v>D2iq Inc</v>
      </c>
      <c r="K1116" s="6" t="str">
        <v>D2iq Inc</v>
      </c>
      <c r="L1116" s="7">
        <f>=DATE(2020,4,27)</f>
        <v>43947.99949074074</v>
      </c>
      <c r="W1116" s="6" t="str">
        <v>Programming Services;Internet Services &amp; Software</v>
      </c>
      <c r="X1116" s="6" t="str">
        <v>Applications Software(Business</v>
      </c>
      <c r="Y1116" s="6" t="str">
        <v>Applications Software(Business</v>
      </c>
      <c r="Z1116" s="6" t="str">
        <v>Applications Software(Business</v>
      </c>
      <c r="AA1116" s="6" t="str">
        <v>Computer Consulting Services;Internet Services &amp; Software;Primary Business not Hi-Tech;Programming Services;Telecommunications Equipment</v>
      </c>
      <c r="AB1116" s="6" t="str">
        <v>Internet Services &amp; Software;Primary Business not Hi-Tech;Computer Consulting Services;Telecommunications Equipment;Programming Services</v>
      </c>
      <c r="AH1116" s="6" t="str">
        <v>False</v>
      </c>
      <c r="AJ1116" s="6" t="str">
        <v>Dismissed Rumor</v>
      </c>
      <c r="AM1116" s="6" t="str">
        <v>Rumored Deal</v>
      </c>
      <c r="AO1116" s="6" t="str">
        <v>US - Google Inc, a unit of Alphabet Inc, was rumored to be planning to acquire D2iQ Inc, a San Francisco-based software publisher. The Current status of this deal is unknown.</v>
      </c>
    </row>
    <row r="1117">
      <c r="A1117" s="6" t="str">
        <v>594918</v>
      </c>
      <c r="B1117" s="6" t="str">
        <v>United States</v>
      </c>
      <c r="C1117" s="6" t="str">
        <v>Microsoft Corp</v>
      </c>
      <c r="D1117" s="6" t="str">
        <v>Microsoft Corp</v>
      </c>
      <c r="F1117" s="6" t="str">
        <v>United States</v>
      </c>
      <c r="G1117" s="6" t="str">
        <v>CyberX Inc</v>
      </c>
      <c r="H1117" s="6" t="str">
        <v>Prepackaged Software</v>
      </c>
      <c r="I1117" s="6" t="str">
        <v>2H5276</v>
      </c>
      <c r="J1117" s="6" t="str">
        <v>CyberX Inc</v>
      </c>
      <c r="K1117" s="6" t="str">
        <v>CyberX Inc</v>
      </c>
      <c r="L1117" s="7">
        <f>=DATE(2020,5,5)</f>
        <v>43955.99949074074</v>
      </c>
      <c r="M1117" s="7">
        <f>=DATE(2020,6,22)</f>
        <v>44003.99949074074</v>
      </c>
      <c r="W1117" s="6" t="str">
        <v>Monitors/Terminals;Other Peripherals;Applications Software(Business;Internet Services &amp; Software;Computer Consulting Services;Operating Systems</v>
      </c>
      <c r="X1117" s="6" t="str">
        <v>Applications Software(Business;Communication/Network Software;Utilities/File Mgmt Software;Desktop Publishing;Applications Software(Home);Other Software (inq. Games);Internet Services &amp; Software</v>
      </c>
      <c r="Y1117" s="6" t="str">
        <v>Communication/Network Software;Other Software (inq. Games);Applications Software(Business;Applications Software(Home);Utilities/File Mgmt Software;Desktop Publishing;Internet Services &amp; Software</v>
      </c>
      <c r="Z1117" s="6" t="str">
        <v>Internet Services &amp; Software;Other Software (inq. Games);Desktop Publishing;Applications Software(Business;Applications Software(Home);Communication/Network Software;Utilities/File Mgmt Software</v>
      </c>
      <c r="AA1117" s="6" t="str">
        <v>Internet Services &amp; Software;Computer Consulting Services;Monitors/Terminals;Operating Systems;Applications Software(Business;Other Peripherals</v>
      </c>
      <c r="AB1117" s="6" t="str">
        <v>Monitors/Terminals;Computer Consulting Services;Applications Software(Business;Internet Services &amp; Software;Other Peripherals;Operating Systems</v>
      </c>
      <c r="AH1117" s="6" t="str">
        <v>False</v>
      </c>
      <c r="AI1117" s="6" t="str">
        <v>2020</v>
      </c>
      <c r="AJ1117" s="6" t="str">
        <v>Completed</v>
      </c>
      <c r="AM1117" s="6" t="str">
        <v>Not Applicable</v>
      </c>
      <c r="AO1117" s="6" t="str">
        <v>US - Microsoft Corp acquired CyberX Inc, a Waltham-based software publisher, from Inven Capital AS, jointly owned by the Luxembourg state-owned European Investment Bank and the Czech state-owned CEZ as.</v>
      </c>
    </row>
    <row r="1118">
      <c r="A1118" s="6" t="str">
        <v>4H9237</v>
      </c>
      <c r="B1118" s="6" t="str">
        <v>United States</v>
      </c>
      <c r="C1118" s="6" t="str">
        <v>Kustomer Inc</v>
      </c>
      <c r="D1118" s="6" t="str">
        <v>Kustomer Inc</v>
      </c>
      <c r="F1118" s="6" t="str">
        <v>United States</v>
      </c>
      <c r="G1118" s="6" t="str">
        <v>Reply Inc</v>
      </c>
      <c r="H1118" s="6" t="str">
        <v>Business Services</v>
      </c>
      <c r="I1118" s="6" t="str">
        <v>2K7621</v>
      </c>
      <c r="J1118" s="6" t="str">
        <v>Reply Inc</v>
      </c>
      <c r="K1118" s="6" t="str">
        <v>Reply Inc</v>
      </c>
      <c r="L1118" s="7">
        <f>=DATE(2020,5,14)</f>
        <v>43964.99949074074</v>
      </c>
      <c r="M1118" s="7">
        <f>=DATE(2020,5,14)</f>
        <v>43964.99949074074</v>
      </c>
      <c r="W1118" s="6" t="str">
        <v>Applications Software(Business;Internet Services &amp; Software;Data Commun(Exclude networking;Primary Business not Hi-Tech;Applications Software(Home);CAD/CAM/CAE/Graphics Systems;Other Computer Systems;Computer Consulting Services;Operating Systems;Desktop Publishing;Communication/Network Software;Utilities/File Mgmt Software;Other Computer Related Svcs;Other Software (inq. Games);Turnkey Systems;Workstations;Networking Systems (LAN,WAN)</v>
      </c>
      <c r="X1118" s="6" t="str">
        <v>Programming Services;Database Software/Programming</v>
      </c>
      <c r="Y1118" s="6" t="str">
        <v>Programming Services;Database Software/Programming</v>
      </c>
      <c r="Z1118" s="6" t="str">
        <v>Database Software/Programming;Programming Services</v>
      </c>
      <c r="AA1118" s="6" t="str">
        <v>Other Computer Related Svcs;Workstations;Applications Software(Home);Applications Software(Business;Operating Systems;Data Commun(Exclude networking;Desktop Publishing;Communication/Network Software;Primary Business not Hi-Tech;Other Computer Systems;Utilities/File Mgmt Software;Other Software (inq. Games);Turnkey Systems;Networking Systems (LAN,WAN);Computer Consulting Services;Internet Services &amp; Software;CAD/CAM/CAE/Graphics Systems</v>
      </c>
      <c r="AB1118" s="6" t="str">
        <v>Communication/Network Software;Operating Systems;Applications Software(Business;Internet Services &amp; Software;Applications Software(Home);Desktop Publishing;CAD/CAM/CAE/Graphics Systems;Other Computer Related Svcs;Utilities/File Mgmt Software;Turnkey Systems;Workstations;Other Software (inq. Games);Networking Systems (LAN,WAN);Computer Consulting Services;Other Computer Systems;Primary Business not Hi-Tech;Data Commun(Exclude networking</v>
      </c>
      <c r="AH1118" s="6" t="str">
        <v>False</v>
      </c>
      <c r="AI1118" s="6" t="str">
        <v>2020</v>
      </c>
      <c r="AJ1118" s="6" t="str">
        <v>Completed</v>
      </c>
      <c r="AM1118" s="6" t="str">
        <v>Financial Acquiror</v>
      </c>
      <c r="AO1118" s="6" t="str">
        <v>US - Kustomer Inc acquired Reply Inc, a New York City-based provider of custom computer programming services.</v>
      </c>
    </row>
    <row r="1119">
      <c r="A1119" s="6" t="str">
        <v>594918</v>
      </c>
      <c r="B1119" s="6" t="str">
        <v>United States</v>
      </c>
      <c r="C1119" s="6" t="str">
        <v>Microsoft Corp</v>
      </c>
      <c r="D1119" s="6" t="str">
        <v>Microsoft Corp</v>
      </c>
      <c r="F1119" s="6" t="str">
        <v>United Kingdom</v>
      </c>
      <c r="G1119" s="6" t="str">
        <v>Metaswitch Networks Ltd</v>
      </c>
      <c r="H1119" s="6" t="str">
        <v>Prepackaged Software</v>
      </c>
      <c r="I1119" s="6" t="str">
        <v>3F4749</v>
      </c>
      <c r="J1119" s="6" t="str">
        <v>Metaswitch Networks Ltd</v>
      </c>
      <c r="K1119" s="6" t="str">
        <v>Metaswitch Networks Ltd</v>
      </c>
      <c r="L1119" s="7">
        <f>=DATE(2020,5,14)</f>
        <v>43964.99949074074</v>
      </c>
      <c r="M1119" s="7">
        <f>=DATE(2020,7,15)</f>
        <v>44026.99949074074</v>
      </c>
      <c r="R1119" s="8">
        <v>-42.6407663133327</v>
      </c>
      <c r="S1119" s="8">
        <v>167.380628221336</v>
      </c>
      <c r="T1119" s="8">
        <v>10.2304896</v>
      </c>
      <c r="U1119" s="8">
        <v>12.4550376</v>
      </c>
      <c r="V1119" s="8">
        <v>-17.067024</v>
      </c>
      <c r="W1119" s="6" t="str">
        <v>Computer Consulting Services;Operating Systems;Other Peripherals;Monitors/Terminals;Applications Software(Business;Internet Services &amp; Software</v>
      </c>
      <c r="X1119" s="6" t="str">
        <v>Communication/Network Software;Internet Services &amp; Software</v>
      </c>
      <c r="Y1119" s="6" t="str">
        <v>Communication/Network Software;Internet Services &amp; Software</v>
      </c>
      <c r="Z1119" s="6" t="str">
        <v>Internet Services &amp; Software;Communication/Network Software</v>
      </c>
      <c r="AA1119" s="6" t="str">
        <v>Applications Software(Business;Monitors/Terminals;Internet Services &amp; Software;Computer Consulting Services;Operating Systems;Other Peripherals</v>
      </c>
      <c r="AB1119" s="6" t="str">
        <v>Monitors/Terminals;Computer Consulting Services;Operating Systems;Internet Services &amp; Software;Other Peripherals;Applications Software(Business</v>
      </c>
      <c r="AH1119" s="6" t="str">
        <v>True</v>
      </c>
      <c r="AI1119" s="6" t="str">
        <v>2020</v>
      </c>
      <c r="AJ1119" s="6" t="str">
        <v>Completed</v>
      </c>
      <c r="AM1119" s="6" t="str">
        <v>Not Applicable</v>
      </c>
      <c r="AN1119" s="8">
        <v>15.8903043858796</v>
      </c>
      <c r="AO1119" s="6" t="str">
        <v>UK - Microsoft Corp of the US acquired Metaswitch Networks Ltd, an Enfield-based software publisher. Terms of the transaction were not disclosed.</v>
      </c>
    </row>
    <row r="1120">
      <c r="A1120" s="6" t="str">
        <v>037833</v>
      </c>
      <c r="B1120" s="6" t="str">
        <v>United States</v>
      </c>
      <c r="C1120" s="6" t="str">
        <v>Apple Inc</v>
      </c>
      <c r="D1120" s="6" t="str">
        <v>Apple Inc</v>
      </c>
      <c r="F1120" s="6" t="str">
        <v>United States</v>
      </c>
      <c r="G1120" s="6" t="str">
        <v>NextVR Inc</v>
      </c>
      <c r="H1120" s="6" t="str">
        <v>Prepackaged Software</v>
      </c>
      <c r="I1120" s="6" t="str">
        <v>8C4335</v>
      </c>
      <c r="J1120" s="6" t="str">
        <v>Toba Capital LLC</v>
      </c>
      <c r="K1120" s="6" t="str">
        <v>Toba Capital LLC</v>
      </c>
      <c r="L1120" s="7">
        <f>=DATE(2020,5,14)</f>
        <v>43964.99949074074</v>
      </c>
      <c r="M1120" s="7">
        <f>=DATE(2020,5,14)</f>
        <v>43964.99949074074</v>
      </c>
      <c r="W1120" s="6" t="str">
        <v>Micro-Computers (PCs);Monitors/Terminals;Other Software (inq. Games);Portable Computers;Printers;Mainframes &amp; Super Computers;Other Peripherals;Disk Drives</v>
      </c>
      <c r="X1120" s="6" t="str">
        <v>Communication/Network Software;Other Software (inq. Games)</v>
      </c>
      <c r="Y1120" s="6" t="str">
        <v>Primary Business not Hi-Tech</v>
      </c>
      <c r="Z1120" s="6" t="str">
        <v>Primary Business not Hi-Tech</v>
      </c>
      <c r="AA1120" s="6" t="str">
        <v>Other Peripherals;Other Software (inq. Games);Disk Drives;Printers;Mainframes &amp; Super Computers;Micro-Computers (PCs);Monitors/Terminals;Portable Computers</v>
      </c>
      <c r="AB1120" s="6" t="str">
        <v>Portable Computers;Micro-Computers (PCs);Other Software (inq. Games);Other Peripherals;Disk Drives;Monitors/Terminals;Printers;Mainframes &amp; Super Computers</v>
      </c>
      <c r="AH1120" s="6" t="str">
        <v>False</v>
      </c>
      <c r="AI1120" s="6" t="str">
        <v>2020</v>
      </c>
      <c r="AJ1120" s="6" t="str">
        <v>Completed</v>
      </c>
      <c r="AM1120" s="6" t="str">
        <v>Rumored Deal;Divestiture</v>
      </c>
      <c r="AO1120" s="6" t="str">
        <v>US - Apple Inc acquired NextVR Inc, a Newport Beach-based software publisher, from Toba Capital.</v>
      </c>
    </row>
    <row r="1121">
      <c r="A1121" s="6" t="str">
        <v>30303M</v>
      </c>
      <c r="B1121" s="6" t="str">
        <v>United States</v>
      </c>
      <c r="C1121" s="6" t="str">
        <v>Facebook Inc</v>
      </c>
      <c r="D1121" s="6" t="str">
        <v>Facebook Inc</v>
      </c>
      <c r="F1121" s="6" t="str">
        <v>United States</v>
      </c>
      <c r="G1121" s="6" t="str">
        <v>Giphy Inc</v>
      </c>
      <c r="H1121" s="6" t="str">
        <v>Business Services</v>
      </c>
      <c r="I1121" s="6" t="str">
        <v>2H2017</v>
      </c>
      <c r="J1121" s="6" t="str">
        <v>Giphy Inc</v>
      </c>
      <c r="K1121" s="6" t="str">
        <v>Giphy Inc</v>
      </c>
      <c r="L1121" s="7">
        <f>=DATE(2020,5,15)</f>
        <v>43965.99949074074</v>
      </c>
      <c r="M1121" s="7">
        <f>=DATE(2020,5,15)</f>
        <v>43965.99949074074</v>
      </c>
      <c r="W1121" s="6" t="str">
        <v>Internet Services &amp; Software</v>
      </c>
      <c r="X1121" s="6" t="str">
        <v>Internet Services &amp; Software</v>
      </c>
      <c r="Y1121" s="6" t="str">
        <v>Internet Services &amp; Software</v>
      </c>
      <c r="Z1121" s="6" t="str">
        <v>Internet Services &amp; Software</v>
      </c>
      <c r="AA1121" s="6" t="str">
        <v>Internet Services &amp; Software</v>
      </c>
      <c r="AB1121" s="6" t="str">
        <v>Internet Services &amp; Software</v>
      </c>
      <c r="AD1121" s="7">
        <f>=DATE(2020,5,15)</f>
        <v>43965.99949074074</v>
      </c>
      <c r="AH1121" s="6" t="str">
        <v>False</v>
      </c>
      <c r="AI1121" s="6" t="str">
        <v>2020</v>
      </c>
      <c r="AJ1121" s="6" t="str">
        <v>Completed</v>
      </c>
      <c r="AM1121" s="6" t="str">
        <v>Financial Acquiror</v>
      </c>
      <c r="AO1121" s="6" t="str">
        <v>US - Facebook Inc acquired Giphy Inc, a New York City-based internet portal operator. The terms of the transaction were not disclosed, but according to sources close to the transaction, the value was estimated at USD 400 mil.</v>
      </c>
    </row>
    <row r="1122">
      <c r="A1122" s="6" t="str">
        <v>594918</v>
      </c>
      <c r="B1122" s="6" t="str">
        <v>United States</v>
      </c>
      <c r="C1122" s="6" t="str">
        <v>Microsoft Corp</v>
      </c>
      <c r="D1122" s="6" t="str">
        <v>Microsoft Corp</v>
      </c>
      <c r="F1122" s="6" t="str">
        <v>United Kingdom</v>
      </c>
      <c r="G1122" s="6" t="str">
        <v>Softomotive UK Ltd</v>
      </c>
      <c r="H1122" s="6" t="str">
        <v>Business Services</v>
      </c>
      <c r="I1122" s="6" t="str">
        <v>5F3802</v>
      </c>
      <c r="J1122" s="6" t="str">
        <v>Softomotive UK Ltd</v>
      </c>
      <c r="K1122" s="6" t="str">
        <v>Softomotive UK Ltd</v>
      </c>
      <c r="L1122" s="7">
        <f>=DATE(2020,5,19)</f>
        <v>43969.99949074074</v>
      </c>
      <c r="M1122" s="7">
        <f>=DATE(2020,5,19)</f>
        <v>43969.99949074074</v>
      </c>
      <c r="W1122" s="6" t="str">
        <v>Other Peripherals;Computer Consulting Services;Operating Systems;Monitors/Terminals;Internet Services &amp; Software;Applications Software(Business</v>
      </c>
      <c r="X1122" s="6" t="str">
        <v>Computer Consulting Services;Programming Services;Internet Services &amp; Software;Communication/Network Software</v>
      </c>
      <c r="Y1122" s="6" t="str">
        <v>Programming Services;Internet Services &amp; Software;Computer Consulting Services;Communication/Network Software</v>
      </c>
      <c r="Z1122" s="6" t="str">
        <v>Internet Services &amp; Software;Programming Services;Communication/Network Software;Computer Consulting Services</v>
      </c>
      <c r="AA1122" s="6" t="str">
        <v>Internet Services &amp; Software;Computer Consulting Services;Operating Systems;Other Peripherals;Monitors/Terminals;Applications Software(Business</v>
      </c>
      <c r="AB1122" s="6" t="str">
        <v>Applications Software(Business;Operating Systems;Monitors/Terminals;Computer Consulting Services;Other Peripherals;Internet Services &amp; Software</v>
      </c>
      <c r="AH1122" s="6" t="str">
        <v>False</v>
      </c>
      <c r="AI1122" s="6" t="str">
        <v>2020</v>
      </c>
      <c r="AJ1122" s="6" t="str">
        <v>Completed</v>
      </c>
      <c r="AM1122" s="6" t="str">
        <v>Not Applicable</v>
      </c>
      <c r="AO1122" s="6" t="str">
        <v>UK - Microsoft Corp of the US acquired Softomotive Ltd, a London-based provider of computer systems design services.</v>
      </c>
    </row>
    <row r="1123">
      <c r="A1123" s="6" t="str">
        <v>037833</v>
      </c>
      <c r="B1123" s="6" t="str">
        <v>United States</v>
      </c>
      <c r="C1123" s="6" t="str">
        <v>Apple Inc</v>
      </c>
      <c r="D1123" s="6" t="str">
        <v>Apple Inc</v>
      </c>
      <c r="F1123" s="6" t="str">
        <v>Canada</v>
      </c>
      <c r="G1123" s="6" t="str">
        <v>Inductiv Inc</v>
      </c>
      <c r="H1123" s="6" t="str">
        <v>Prepackaged Software</v>
      </c>
      <c r="I1123" s="6" t="str">
        <v>2K9278</v>
      </c>
      <c r="J1123" s="6" t="str">
        <v>Inductiv Inc</v>
      </c>
      <c r="K1123" s="6" t="str">
        <v>Inductiv Inc</v>
      </c>
      <c r="L1123" s="7">
        <f>=DATE(2020,5,27)</f>
        <v>43977.99949074074</v>
      </c>
      <c r="M1123" s="7">
        <f>=DATE(2020,5,27)</f>
        <v>43977.99949074074</v>
      </c>
      <c r="W1123" s="6" t="str">
        <v>Other Software (inq. Games);Disk Drives;Other Peripherals;Micro-Computers (PCs);Portable Computers;Mainframes &amp; Super Computers;Printers;Monitors/Terminals</v>
      </c>
      <c r="X1123" s="6" t="str">
        <v>Internet Services &amp; Software;Communication/Network Software;Utilities/File Mgmt Software;Applications Software(Home);Applications Software(Business;Desktop Publishing;Other Software (inq. Games)</v>
      </c>
      <c r="Y1123" s="6" t="str">
        <v>Desktop Publishing;Internet Services &amp; Software;Communication/Network Software;Other Software (inq. Games);Applications Software(Business;Utilities/File Mgmt Software;Applications Software(Home)</v>
      </c>
      <c r="Z1123" s="6" t="str">
        <v>Internet Services &amp; Software;Utilities/File Mgmt Software;Communication/Network Software;Desktop Publishing;Other Software (inq. Games);Applications Software(Business;Applications Software(Home)</v>
      </c>
      <c r="AA1123" s="6" t="str">
        <v>Other Peripherals;Printers;Mainframes &amp; Super Computers;Disk Drives;Micro-Computers (PCs);Portable Computers;Other Software (inq. Games);Monitors/Terminals</v>
      </c>
      <c r="AB1123" s="6" t="str">
        <v>Micro-Computers (PCs);Printers;Disk Drives;Monitors/Terminals;Mainframes &amp; Super Computers;Other Peripherals;Other Software (inq. Games);Portable Computers</v>
      </c>
      <c r="AH1123" s="6" t="str">
        <v>False</v>
      </c>
      <c r="AI1123" s="6" t="str">
        <v>2020</v>
      </c>
      <c r="AJ1123" s="6" t="str">
        <v>Completed</v>
      </c>
      <c r="AM1123" s="6" t="str">
        <v>Not Applicable</v>
      </c>
      <c r="AO1123" s="6" t="str">
        <v>CANADA - Apple Inc of the US acquired Inductiv Inc, a Waterloo-based software publisher.</v>
      </c>
    </row>
    <row r="1124">
      <c r="A1124" s="6" t="str">
        <v>7J8440</v>
      </c>
      <c r="B1124" s="6" t="str">
        <v>United States</v>
      </c>
      <c r="C1124" s="6" t="str">
        <v>Google LLC</v>
      </c>
      <c r="D1124" s="6" t="str">
        <v>Alphabet Inc</v>
      </c>
      <c r="F1124" s="6" t="str">
        <v>India</v>
      </c>
      <c r="G1124" s="6" t="str">
        <v>Vodafone Idea Ltd</v>
      </c>
      <c r="H1124" s="6" t="str">
        <v>Telecommunications</v>
      </c>
      <c r="I1124" s="6" t="str">
        <v>45157L</v>
      </c>
      <c r="J1124" s="6" t="str">
        <v>Vodafone Idea Ltd</v>
      </c>
      <c r="K1124" s="6" t="str">
        <v>Vodafone Idea Ltd</v>
      </c>
      <c r="L1124" s="7">
        <f>=DATE(2020,5,28)</f>
        <v>43978.99949074074</v>
      </c>
      <c r="R1124" s="8">
        <v>-9806.87082686206</v>
      </c>
      <c r="S1124" s="8">
        <v>5967.83614086788</v>
      </c>
      <c r="T1124" s="8">
        <v>1359.271501201</v>
      </c>
      <c r="U1124" s="8">
        <v>-438.984243293</v>
      </c>
      <c r="V1124" s="8">
        <v>-971.911380139</v>
      </c>
      <c r="W1124" s="6" t="str">
        <v>Internet Services &amp; Software;Programming Services</v>
      </c>
      <c r="X1124" s="6" t="str">
        <v>Telecommunications Equipment</v>
      </c>
      <c r="Y1124" s="6" t="str">
        <v>Telecommunications Equipment</v>
      </c>
      <c r="Z1124" s="6" t="str">
        <v>Telecommunications Equipment</v>
      </c>
      <c r="AA1124" s="6" t="str">
        <v>Telecommunications Equipment;Internet Services &amp; Software;Computer Consulting Services;Programming Services;Primary Business not Hi-Tech</v>
      </c>
      <c r="AB1124" s="6" t="str">
        <v>Internet Services &amp; Software;Telecommunications Equipment;Programming Services;Computer Consulting Services;Primary Business not Hi-Tech</v>
      </c>
      <c r="AH1124" s="6" t="str">
        <v>True</v>
      </c>
      <c r="AJ1124" s="6" t="str">
        <v>Dismissed Rumor</v>
      </c>
      <c r="AM1124" s="6" t="str">
        <v>Rumored Deal</v>
      </c>
      <c r="AN1124" s="8">
        <v>15870.30916066</v>
      </c>
      <c r="AO1124" s="6" t="str">
        <v>INDIA - Google Inc of the US, a unit of Alphabet Inc, was rumored to be planning to acquire 5% stake in Vodafone Idea Ltd, a Mumbai-based wired telecommunications carrier. The Current status of this deal is unknown.</v>
      </c>
    </row>
    <row r="1125">
      <c r="A1125" s="6" t="str">
        <v>037833</v>
      </c>
      <c r="B1125" s="6" t="str">
        <v>United States</v>
      </c>
      <c r="C1125" s="6" t="str">
        <v>Apple Inc</v>
      </c>
      <c r="D1125" s="6" t="str">
        <v>Apple Inc</v>
      </c>
      <c r="F1125" s="6" t="str">
        <v>United States</v>
      </c>
      <c r="G1125" s="6" t="str">
        <v>Apple Inc</v>
      </c>
      <c r="H1125" s="6" t="str">
        <v>Computer and Office Equipment</v>
      </c>
      <c r="I1125" s="6" t="str">
        <v>037833</v>
      </c>
      <c r="J1125" s="6" t="str">
        <v>Apple Inc</v>
      </c>
      <c r="K1125" s="6" t="str">
        <v>Apple Inc</v>
      </c>
      <c r="L1125" s="7">
        <f>=DATE(2020,5,31)</f>
        <v>43981.99949074074</v>
      </c>
      <c r="M1125" s="7">
        <f>=DATE(2020,8,29)</f>
        <v>44071.99949074074</v>
      </c>
      <c r="N1125" s="8">
        <v>6000</v>
      </c>
      <c r="O1125" s="8">
        <v>6000</v>
      </c>
      <c r="P1125" s="8" t="str">
        <v>422,447.91</v>
      </c>
      <c r="R1125" s="8">
        <v>57215</v>
      </c>
      <c r="S1125" s="8">
        <v>267981</v>
      </c>
      <c r="T1125" s="8">
        <v>-94190</v>
      </c>
      <c r="U1125" s="8">
        <v>22049</v>
      </c>
      <c r="V1125" s="8">
        <v>75373</v>
      </c>
      <c r="W1125" s="6" t="str">
        <v>Other Peripherals;Monitors/Terminals;Micro-Computers (PCs);Disk Drives;Mainframes &amp; Super Computers;Printers;Portable Computers;Other Software (inq. Games)</v>
      </c>
      <c r="X1125" s="6" t="str">
        <v>Other Software (inq. Games);Monitors/Terminals;Portable Computers;Disk Drives;Other Peripherals;Micro-Computers (PCs);Mainframes &amp; Super Computers;Printers</v>
      </c>
      <c r="Y1125" s="6" t="str">
        <v>Micro-Computers (PCs);Disk Drives;Printers;Monitors/Terminals;Other Peripherals;Mainframes &amp; Super Computers;Portable Computers;Other Software (inq. Games)</v>
      </c>
      <c r="Z1125" s="6" t="str">
        <v>Mainframes &amp; Super Computers;Portable Computers;Micro-Computers (PCs);Other Software (inq. Games);Printers;Disk Drives;Monitors/Terminals;Other Peripherals</v>
      </c>
      <c r="AA1125" s="6" t="str">
        <v>Mainframes &amp; Super Computers;Micro-Computers (PCs);Other Software (inq. Games);Portable Computers;Disk Drives;Other Peripherals;Monitors/Terminals;Printers</v>
      </c>
      <c r="AB1125" s="6" t="str">
        <v>Mainframes &amp; Super Computers;Printers;Portable Computers;Other Peripherals;Other Software (inq. Games);Monitors/Terminals;Disk Drives;Micro-Computers (PCs)</v>
      </c>
      <c r="AC1125" s="8">
        <v>6000</v>
      </c>
      <c r="AD1125" s="7">
        <f>=DATE(2020,5,31)</f>
        <v>43981.99949074074</v>
      </c>
      <c r="AF1125" s="8" t="str">
        <v>422,447.91</v>
      </c>
      <c r="AG1125" s="8" t="str">
        <v>422,447.91</v>
      </c>
      <c r="AH1125" s="6" t="str">
        <v>True</v>
      </c>
      <c r="AI1125" s="6" t="str">
        <v>2020</v>
      </c>
      <c r="AJ1125" s="6" t="str">
        <v>Completed</v>
      </c>
      <c r="AL1125" s="8">
        <v>64</v>
      </c>
      <c r="AM1125" s="6" t="str">
        <v>Repurchase;Open Market Purchase</v>
      </c>
      <c r="AO1125" s="6" t="str">
        <v>US - On May 2020, the board of Apple Inc, a Cupertino-based manufacturer and wholesaler of mobile communication and media devices, completed the repurchase of USD 6 bil of the company's entire share capital, in an accelerated buyback transaction.</v>
      </c>
    </row>
    <row r="1126">
      <c r="A1126" s="6" t="str">
        <v>023135</v>
      </c>
      <c r="B1126" s="6" t="str">
        <v>United States</v>
      </c>
      <c r="C1126" s="6" t="str">
        <v>Amazon.com Inc</v>
      </c>
      <c r="D1126" s="6" t="str">
        <v>Amazon.com Inc</v>
      </c>
      <c r="F1126" s="6" t="str">
        <v>India</v>
      </c>
      <c r="G1126" s="6" t="str">
        <v>Bharti Airtel Ltd</v>
      </c>
      <c r="H1126" s="6" t="str">
        <v>Telecommunications</v>
      </c>
      <c r="I1126" s="6" t="str">
        <v>08898H</v>
      </c>
      <c r="J1126" s="6" t="str">
        <v>Bharti Airtel Ltd</v>
      </c>
      <c r="K1126" s="6" t="str">
        <v>Bharti Airtel Ltd</v>
      </c>
      <c r="L1126" s="7">
        <f>=DATE(2020,6,4)</f>
        <v>43985.99949074074</v>
      </c>
      <c r="R1126" s="8">
        <v>-4070.48703755326</v>
      </c>
      <c r="S1126" s="8">
        <v>11620.2726560737</v>
      </c>
      <c r="T1126" s="8">
        <v>4001.393811477</v>
      </c>
      <c r="U1126" s="8">
        <v>-4110.642082487</v>
      </c>
      <c r="V1126" s="8">
        <v>1009.411546069</v>
      </c>
      <c r="W1126" s="6" t="str">
        <v>Primary Business not Hi-Tech</v>
      </c>
      <c r="X1126" s="6" t="str">
        <v>Telecommunications Equipment</v>
      </c>
      <c r="Y1126" s="6" t="str">
        <v>Telecommunications Equipment</v>
      </c>
      <c r="Z1126" s="6" t="str">
        <v>Telecommunications Equipment</v>
      </c>
      <c r="AA1126" s="6" t="str">
        <v>Primary Business not Hi-Tech</v>
      </c>
      <c r="AB1126" s="6" t="str">
        <v>Primary Business not Hi-Tech</v>
      </c>
      <c r="AD1126" s="7">
        <f>=DATE(2020,6,4)</f>
        <v>43985.99949074074</v>
      </c>
      <c r="AH1126" s="6" t="str">
        <v>True</v>
      </c>
      <c r="AJ1126" s="6" t="str">
        <v>Dismissed Rumor</v>
      </c>
      <c r="AL1126" s="8">
        <v>545.555736</v>
      </c>
      <c r="AM1126" s="6" t="str">
        <v>Rumored Deal</v>
      </c>
      <c r="AN1126" s="8">
        <v>15382.1565582149</v>
      </c>
      <c r="AO1126" s="6" t="str">
        <v>INDIA - Amazon.com Inc of the US was rumored to be planning to acquire a 10% stake or 545.556 mil ordinary shares in Bharti Airtel Ltd, a New Delhi-based telecommunications reseller. The terms of the transaction were not disclosed, but according to sources close to the transaction, the value was reported to be an estimated at INR 150.625 bil (USD 2 bil). The Current status of this deal is unknown.</v>
      </c>
    </row>
    <row r="1127">
      <c r="A1127" s="6" t="str">
        <v>30303M</v>
      </c>
      <c r="B1127" s="6" t="str">
        <v>United States</v>
      </c>
      <c r="C1127" s="6" t="str">
        <v>Facebook Inc</v>
      </c>
      <c r="D1127" s="6" t="str">
        <v>Facebook Inc</v>
      </c>
      <c r="F1127" s="6" t="str">
        <v>Sweden</v>
      </c>
      <c r="G1127" s="6" t="str">
        <v>Mapillary AB</v>
      </c>
      <c r="H1127" s="6" t="str">
        <v>Prepackaged Software</v>
      </c>
      <c r="I1127" s="6" t="str">
        <v>0J3639</v>
      </c>
      <c r="J1127" s="6" t="str">
        <v>Mapillary AB</v>
      </c>
      <c r="K1127" s="6" t="str">
        <v>Mapillary AB</v>
      </c>
      <c r="L1127" s="7">
        <f>=DATE(2020,6,18)</f>
        <v>43999.99949074074</v>
      </c>
      <c r="M1127" s="7">
        <f>=DATE(2020,6,18)</f>
        <v>43999.99949074074</v>
      </c>
      <c r="R1127" s="8">
        <v>-6.84255500961333</v>
      </c>
      <c r="S1127" s="8">
        <v>2.19237342448195</v>
      </c>
      <c r="W1127" s="6" t="str">
        <v>Internet Services &amp; Software</v>
      </c>
      <c r="X1127" s="6" t="str">
        <v>Other Software (inq. Games)</v>
      </c>
      <c r="Y1127" s="6" t="str">
        <v>Other Software (inq. Games)</v>
      </c>
      <c r="Z1127" s="6" t="str">
        <v>Other Software (inq. Games)</v>
      </c>
      <c r="AA1127" s="6" t="str">
        <v>Internet Services &amp; Software</v>
      </c>
      <c r="AB1127" s="6" t="str">
        <v>Internet Services &amp; Software</v>
      </c>
      <c r="AH1127" s="6" t="str">
        <v>True</v>
      </c>
      <c r="AI1127" s="6" t="str">
        <v>2020</v>
      </c>
      <c r="AJ1127" s="6" t="str">
        <v>Completed</v>
      </c>
      <c r="AM1127" s="6" t="str">
        <v>Financial Acquiror</v>
      </c>
      <c r="AO1127" s="6" t="str">
        <v>SWEDEN - Facebook Inc of the US acquired Mapillary AB, a Malmo-based software publisher. Terms were not disclosed.</v>
      </c>
    </row>
    <row r="1128">
      <c r="A1128" s="6" t="str">
        <v>9H9297</v>
      </c>
      <c r="B1128" s="6" t="str">
        <v>United States</v>
      </c>
      <c r="C1128" s="6" t="str">
        <v>Microsoft Azure</v>
      </c>
      <c r="D1128" s="6" t="str">
        <v>Microsoft Corp</v>
      </c>
      <c r="F1128" s="6" t="str">
        <v>United States</v>
      </c>
      <c r="G1128" s="6" t="str">
        <v>ADRM Software Inc</v>
      </c>
      <c r="H1128" s="6" t="str">
        <v>Prepackaged Software</v>
      </c>
      <c r="I1128" s="6" t="str">
        <v>5K5695</v>
      </c>
      <c r="J1128" s="6" t="str">
        <v>ADRM Software Inc</v>
      </c>
      <c r="K1128" s="6" t="str">
        <v>ADRM Software Inc</v>
      </c>
      <c r="L1128" s="7">
        <f>=DATE(2020,6,18)</f>
        <v>43999.99949074074</v>
      </c>
      <c r="M1128" s="7">
        <f>=DATE(2020,6,18)</f>
        <v>43999.99949074074</v>
      </c>
      <c r="W1128" s="6" t="str">
        <v>Primary Business not Hi-Tech;Data Processing Services;Computer Consulting Services;Internet Services &amp; Software;Other Computer Related Svcs</v>
      </c>
      <c r="X1128" s="6" t="str">
        <v>Desktop Publishing;Applications Software(Home);Utilities/File Mgmt Software;Other Software (inq. Games);Internet Services &amp; Software;Applications Software(Business;Communication/Network Software</v>
      </c>
      <c r="Y1128" s="6" t="str">
        <v>Utilities/File Mgmt Software;Internet Services &amp; Software;Applications Software(Home);Applications Software(Business;Desktop Publishing;Other Software (inq. Games);Communication/Network Software</v>
      </c>
      <c r="Z1128" s="6" t="str">
        <v>Applications Software(Home);Applications Software(Business;Other Software (inq. Games);Utilities/File Mgmt Software;Desktop Publishing;Internet Services &amp; Software;Communication/Network Software</v>
      </c>
      <c r="AA1128" s="6" t="str">
        <v>Monitors/Terminals;Applications Software(Business;Other Peripherals;Internet Services &amp; Software;Computer Consulting Services;Operating Systems</v>
      </c>
      <c r="AB1128" s="6" t="str">
        <v>Computer Consulting Services;Other Peripherals;Internet Services &amp; Software;Monitors/Terminals;Applications Software(Business;Operating Systems</v>
      </c>
      <c r="AH1128" s="6" t="str">
        <v>False</v>
      </c>
      <c r="AI1128" s="6" t="str">
        <v>2020</v>
      </c>
      <c r="AJ1128" s="6" t="str">
        <v>Completed</v>
      </c>
      <c r="AM1128" s="6" t="str">
        <v>Not Applicable</v>
      </c>
      <c r="AO1128" s="6" t="str">
        <v>US - Microsoft Azure acquired ADRM Software Inc, a Chapel Hill-based software publisher.</v>
      </c>
    </row>
    <row r="1129">
      <c r="A1129" s="6" t="str">
        <v>037833</v>
      </c>
      <c r="B1129" s="6" t="str">
        <v>United States</v>
      </c>
      <c r="C1129" s="6" t="str">
        <v>Apple Inc</v>
      </c>
      <c r="D1129" s="6" t="str">
        <v>Apple Inc</v>
      </c>
      <c r="F1129" s="6" t="str">
        <v>United States</v>
      </c>
      <c r="G1129" s="6" t="str">
        <v>Fleetsmith Inc</v>
      </c>
      <c r="H1129" s="6" t="str">
        <v>Prepackaged Software</v>
      </c>
      <c r="I1129" s="6" t="str">
        <v>3K7239</v>
      </c>
      <c r="J1129" s="6" t="str">
        <v>Fleetsmith Inc</v>
      </c>
      <c r="K1129" s="6" t="str">
        <v>Fleetsmith Inc</v>
      </c>
      <c r="L1129" s="7">
        <f>=DATE(2020,6,24)</f>
        <v>44005.99949074074</v>
      </c>
      <c r="M1129" s="7">
        <f>=DATE(2020,6,24)</f>
        <v>44005.99949074074</v>
      </c>
      <c r="W1129" s="6" t="str">
        <v>Other Peripherals;Other Software (inq. Games);Micro-Computers (PCs);Mainframes &amp; Super Computers;Printers;Disk Drives;Portable Computers;Monitors/Terminals</v>
      </c>
      <c r="X1129" s="6" t="str">
        <v>Internet Services &amp; Software;Utilities/File Mgmt Software;Applications Software(Business;Communication/Network Software;Other Computer Related Svcs;Data Processing Services;Desktop Publishing;Applications Software(Home);Computer Consulting Services;Primary Business not Hi-Tech;Other Software (inq. Games)</v>
      </c>
      <c r="Y1129" s="6" t="str">
        <v>Applications Software(Home);Applications Software(Business;Communication/Network Software;Desktop Publishing;Other Computer Related Svcs;Computer Consulting Services;Data Processing Services;Internet Services &amp; Software;Utilities/File Mgmt Software;Other Software (inq. Games);Primary Business not Hi-Tech</v>
      </c>
      <c r="Z1129" s="6" t="str">
        <v>Desktop Publishing;Other Software (inq. Games);Applications Software(Home);Applications Software(Business;Internet Services &amp; Software;Data Processing Services;Computer Consulting Services;Utilities/File Mgmt Software;Primary Business not Hi-Tech;Communication/Network Software;Other Computer Related Svcs</v>
      </c>
      <c r="AA1129" s="6" t="str">
        <v>Mainframes &amp; Super Computers;Other Peripherals;Micro-Computers (PCs);Monitors/Terminals;Printers;Portable Computers;Other Software (inq. Games);Disk Drives</v>
      </c>
      <c r="AB1129" s="6" t="str">
        <v>Other Peripherals;Disk Drives;Portable Computers;Monitors/Terminals;Printers;Micro-Computers (PCs);Mainframes &amp; Super Computers;Other Software (inq. Games)</v>
      </c>
      <c r="AH1129" s="6" t="str">
        <v>False</v>
      </c>
      <c r="AI1129" s="6" t="str">
        <v>2020</v>
      </c>
      <c r="AJ1129" s="6" t="str">
        <v>Completed</v>
      </c>
      <c r="AM1129" s="6" t="str">
        <v>Not Applicable</v>
      </c>
      <c r="AO1129" s="6" t="str">
        <v>US - Apple Inc acquired Fleetsmith Inc, a San Francisco-based developer of software for device application management, settings and security preferences.</v>
      </c>
    </row>
    <row r="1130">
      <c r="A1130" s="6" t="str">
        <v>4K2733</v>
      </c>
      <c r="B1130" s="6" t="str">
        <v>United States</v>
      </c>
      <c r="C1130" s="6" t="str">
        <v>Google International LLC</v>
      </c>
      <c r="D1130" s="6" t="str">
        <v>Alphabet Inc</v>
      </c>
      <c r="F1130" s="6" t="str">
        <v>India</v>
      </c>
      <c r="G1130" s="6" t="str">
        <v>Jio Platforms Ltd</v>
      </c>
      <c r="H1130" s="6" t="str">
        <v>Telecommunications</v>
      </c>
      <c r="I1130" s="6" t="str">
        <v>2K1242</v>
      </c>
      <c r="J1130" s="6" t="str">
        <v>Reliance Industries Ltd</v>
      </c>
      <c r="K1130" s="6" t="str">
        <v>Reliance Industries Ltd</v>
      </c>
      <c r="L1130" s="7">
        <f>=DATE(2020,7,15)</f>
        <v>44026.99949074074</v>
      </c>
      <c r="M1130" s="7">
        <f>=DATE(2020,11,23)</f>
        <v>44157.99949074074</v>
      </c>
      <c r="N1130" s="8">
        <v>4475.73878146662</v>
      </c>
      <c r="O1130" s="8">
        <v>4475.73878146662</v>
      </c>
      <c r="P1130" s="8" t="str">
        <v>63,087.95</v>
      </c>
      <c r="S1130" s="8">
        <v>12.9111592945938</v>
      </c>
      <c r="W1130" s="6" t="str">
        <v>Internet Services &amp; Software</v>
      </c>
      <c r="X1130" s="6" t="str">
        <v>Internet Services &amp; Software;Telecommunications Equipment;Satellite Communications;Primary Business not Hi-Tech</v>
      </c>
      <c r="Y1130" s="6" t="str">
        <v>Primary Business not Hi-Tech</v>
      </c>
      <c r="Z1130" s="6" t="str">
        <v>Primary Business not Hi-Tech</v>
      </c>
      <c r="AA1130" s="6" t="str">
        <v>Programming Services;Internet Services &amp; Software</v>
      </c>
      <c r="AB1130" s="6" t="str">
        <v>Telecommunications Equipment;Primary Business not Hi-Tech;Programming Services;Internet Services &amp; Software;Computer Consulting Services</v>
      </c>
      <c r="AC1130" s="8">
        <v>4475.73878146662</v>
      </c>
      <c r="AD1130" s="7">
        <f>=DATE(2020,7,15)</f>
        <v>44026.99949074074</v>
      </c>
      <c r="AF1130" s="8" t="str">
        <v>58,099.37</v>
      </c>
      <c r="AG1130" s="8" t="str">
        <v>58,780.13</v>
      </c>
      <c r="AH1130" s="6" t="str">
        <v>True</v>
      </c>
      <c r="AI1130" s="6" t="str">
        <v>2020</v>
      </c>
      <c r="AJ1130" s="6" t="str">
        <v>Completed</v>
      </c>
      <c r="AM1130" s="6" t="str">
        <v>Rumored Deal;Privately Negotiated Purchase</v>
      </c>
      <c r="AO1130" s="6" t="str">
        <v>INDIA - Google International LLC (Google Intl) of the US, a unit of Alphabet Inc, acquired a 7.73% stake in Jio Platforms Ltd (Jio), an Ahmedabad-based wireless telecommunications carrier, a unit of Reliance Industries Ltd, for INR 337.37 bil (USD 4.476 bil), in a privately negotiated transaction. Originally, in July 2020 Google Intl was rumored to be planning to acquire an undisclosed minority stake in Jio.</v>
      </c>
    </row>
    <row r="1131">
      <c r="A1131" s="6" t="str">
        <v>7J8440</v>
      </c>
      <c r="B1131" s="6" t="str">
        <v>United States</v>
      </c>
      <c r="C1131" s="6" t="str">
        <v>Google LLC</v>
      </c>
      <c r="D1131" s="6" t="str">
        <v>Alphabet Inc</v>
      </c>
      <c r="F1131" s="6" t="str">
        <v>United States</v>
      </c>
      <c r="G1131" s="6" t="str">
        <v>ADT Inc</v>
      </c>
      <c r="H1131" s="6" t="str">
        <v>Business Services</v>
      </c>
      <c r="I1131" s="6" t="str">
        <v>00090Q</v>
      </c>
      <c r="J1131" s="6" t="str">
        <v>Apollo Global Management Inc</v>
      </c>
      <c r="K1131" s="6" t="str">
        <v>Apollo Global Management Inc</v>
      </c>
      <c r="L1131" s="7">
        <f>=DATE(2020,8,3)</f>
        <v>44045.99949074074</v>
      </c>
      <c r="M1131" s="7">
        <f>=DATE(2020,9,17)</f>
        <v>44090.99949074074</v>
      </c>
      <c r="N1131" s="8">
        <v>450</v>
      </c>
      <c r="O1131" s="8">
        <v>450</v>
      </c>
      <c r="P1131" s="8" t="str">
        <v>16,035.81</v>
      </c>
      <c r="R1131" s="8">
        <v>-660.657</v>
      </c>
      <c r="S1131" s="8">
        <v>5299.992</v>
      </c>
      <c r="T1131" s="8">
        <v>-794.796</v>
      </c>
      <c r="U1131" s="8">
        <v>-726.112</v>
      </c>
      <c r="V1131" s="8">
        <v>1522.952</v>
      </c>
      <c r="W1131" s="6" t="str">
        <v>Internet Services &amp; Software;Programming Services</v>
      </c>
      <c r="X1131" s="6" t="str">
        <v>Other Computer Systems;Programming Services;Other Computer Related Svcs;Operating Systems</v>
      </c>
      <c r="Y1131" s="6" t="str">
        <v>Primary Business not Hi-Tech</v>
      </c>
      <c r="Z1131" s="6" t="str">
        <v>Primary Business not Hi-Tech</v>
      </c>
      <c r="AA1131" s="6" t="str">
        <v>Internet Services &amp; Software;Telecommunications Equipment;Computer Consulting Services;Primary Business not Hi-Tech;Programming Services</v>
      </c>
      <c r="AB1131" s="6" t="str">
        <v>Telecommunications Equipment;Internet Services &amp; Software;Computer Consulting Services;Primary Business not Hi-Tech;Programming Services</v>
      </c>
      <c r="AC1131" s="8">
        <v>450</v>
      </c>
      <c r="AD1131" s="7">
        <f>=DATE(2020,8,3)</f>
        <v>44045.99949074074</v>
      </c>
      <c r="AE1131" s="8">
        <v>6250.7551089</v>
      </c>
      <c r="AF1131" s="8" t="str">
        <v>15,953.63</v>
      </c>
      <c r="AG1131" s="8" t="str">
        <v>16,035.81</v>
      </c>
      <c r="AH1131" s="6" t="str">
        <v>True</v>
      </c>
      <c r="AI1131" s="6" t="str">
        <v>2020</v>
      </c>
      <c r="AJ1131" s="6" t="str">
        <v>Completed</v>
      </c>
      <c r="AK1131" s="8">
        <v>6250.7551089</v>
      </c>
      <c r="AL1131" s="8">
        <v>54.744525</v>
      </c>
      <c r="AM1131" s="6" t="str">
        <v>Privately Negotiated Purchase</v>
      </c>
      <c r="AN1131" s="8">
        <v>11453.889</v>
      </c>
      <c r="AO1131" s="6" t="str">
        <v>US - Google LLC, a unit of Alphabet Inc, acquired an 7.199%% minority stake or 54.745 mil common shares in ADT Inc, a Boca Raton-based provider of security systems services, a unit of Apollo Global Management LLC, ultimately owned by Apollo Global Management Inc, for USD 8.22 per share or a total USD 450 mil, in a privately negotiated transaction.</v>
      </c>
    </row>
    <row r="1132">
      <c r="A1132" s="6" t="str">
        <v>037833</v>
      </c>
      <c r="B1132" s="6" t="str">
        <v>United States</v>
      </c>
      <c r="C1132" s="6" t="str">
        <v>Apple Inc</v>
      </c>
      <c r="D1132" s="6" t="str">
        <v>Apple Inc</v>
      </c>
      <c r="F1132" s="6" t="str">
        <v>Canada</v>
      </c>
      <c r="G1132" s="6" t="str">
        <v>Mobeewave Inc</v>
      </c>
      <c r="H1132" s="6" t="str">
        <v>Prepackaged Software</v>
      </c>
      <c r="I1132" s="6" t="str">
        <v>9H3630</v>
      </c>
      <c r="J1132" s="6" t="str">
        <v>Mobeewave Inc</v>
      </c>
      <c r="K1132" s="6" t="str">
        <v>Mobeewave Inc</v>
      </c>
      <c r="L1132" s="7">
        <f>=DATE(2020,8,5)</f>
        <v>44047.99949074074</v>
      </c>
      <c r="M1132" s="7">
        <f>=DATE(2020,8,5)</f>
        <v>44047.99949074074</v>
      </c>
      <c r="W1132" s="6" t="str">
        <v>Printers;Monitors/Terminals;Micro-Computers (PCs);Mainframes &amp; Super Computers;Other Peripherals;Other Software (inq. Games);Disk Drives;Portable Computers</v>
      </c>
      <c r="X1132" s="6" t="str">
        <v>Communication/Network Software</v>
      </c>
      <c r="Y1132" s="6" t="str">
        <v>Communication/Network Software</v>
      </c>
      <c r="Z1132" s="6" t="str">
        <v>Communication/Network Software</v>
      </c>
      <c r="AA1132" s="6" t="str">
        <v>Portable Computers;Other Software (inq. Games);Micro-Computers (PCs);Disk Drives;Monitors/Terminals;Other Peripherals;Printers;Mainframes &amp; Super Computers</v>
      </c>
      <c r="AB1132" s="6" t="str">
        <v>Micro-Computers (PCs);Other Peripherals;Mainframes &amp; Super Computers;Monitors/Terminals;Printers;Disk Drives;Other Software (inq. Games);Portable Computers</v>
      </c>
      <c r="AD1132" s="7">
        <f>=DATE(2020,8,5)</f>
        <v>44047.99949074074</v>
      </c>
      <c r="AH1132" s="6" t="str">
        <v>False</v>
      </c>
      <c r="AI1132" s="6" t="str">
        <v>2020</v>
      </c>
      <c r="AJ1132" s="6" t="str">
        <v>Completed</v>
      </c>
      <c r="AM1132" s="6" t="str">
        <v>Rumored Deal</v>
      </c>
      <c r="AO1132" s="6" t="str">
        <v>CANADA - Apple Inc of the US (Apple) acquired Mobeewave Inc (Mobeewave), a Montreal-based software publisher. The terms of the transaction were not disclosed, but according to sources close to the transaction, the value was estimated at USD 100 mil. Originally, In July 2020, Apple was rumored to be planning to acquire Mobeewave.</v>
      </c>
    </row>
    <row r="1133">
      <c r="A1133" s="6" t="str">
        <v>7J8440</v>
      </c>
      <c r="B1133" s="6" t="str">
        <v>United States</v>
      </c>
      <c r="C1133" s="6" t="str">
        <v>Google LLC</v>
      </c>
      <c r="D1133" s="6" t="str">
        <v>Alphabet Inc</v>
      </c>
      <c r="F1133" s="6" t="str">
        <v>India</v>
      </c>
      <c r="G1133" s="6" t="str">
        <v>Policybazaar Insurance Brokers Pvt Ltd</v>
      </c>
      <c r="H1133" s="6" t="str">
        <v>Insurance</v>
      </c>
      <c r="I1133" s="6" t="str">
        <v>8J0496</v>
      </c>
      <c r="J1133" s="6" t="str">
        <v>Etechaces Marketing &amp; Consulting Pvt Ltd</v>
      </c>
      <c r="K1133" s="6" t="str">
        <v>Etechaces Marketing &amp; Consulting Pvt Ltd</v>
      </c>
      <c r="L1133" s="7">
        <f>=DATE(2020,8,8)</f>
        <v>44050.99949074074</v>
      </c>
      <c r="W1133" s="6" t="str">
        <v>Internet Services &amp; Software;Programming Services</v>
      </c>
      <c r="X1133" s="6" t="str">
        <v>Networking Systems (LAN,WAN);Internet Services &amp; Software;Primary Business not Hi-Tech</v>
      </c>
      <c r="Y1133" s="6" t="str">
        <v>Internet Services &amp; Software</v>
      </c>
      <c r="Z1133" s="6" t="str">
        <v>Internet Services &amp; Software</v>
      </c>
      <c r="AA1133" s="6" t="str">
        <v>Programming Services;Internet Services &amp; Software;Primary Business not Hi-Tech;Telecommunications Equipment;Computer Consulting Services</v>
      </c>
      <c r="AB1133" s="6" t="str">
        <v>Computer Consulting Services;Primary Business not Hi-Tech;Programming Services;Internet Services &amp; Software;Telecommunications Equipment</v>
      </c>
      <c r="AD1133" s="7">
        <f>=DATE(2020,8,8)</f>
        <v>44050.99949074074</v>
      </c>
      <c r="AH1133" s="6" t="str">
        <v>False</v>
      </c>
      <c r="AJ1133" s="6" t="str">
        <v>Dismissed Rumor</v>
      </c>
      <c r="AM1133" s="6" t="str">
        <v>Rumored Deal</v>
      </c>
      <c r="AO1133" s="6" t="str">
        <v>INDIA - Google LLC of the US, a unit of Alphabet Inc, was rumored to be planning to acquire a 10% stake in Policybazaar Insurance Brokers Pvt Ltd, a Gurgaon-based insurance agency, a unit of Etechaces Marketing &amp; Consulting Pvt Ltd. The terms of the transaction were not disclosed, but according to sources close to the transaction, the value was estimated at INR 11.252 bil (USD 150 mil). Alpha Wave Incubation is a potential bidder for the deal. The Current status of this deal is unknown.</v>
      </c>
    </row>
    <row r="1134">
      <c r="A1134" s="6" t="str">
        <v>023135</v>
      </c>
      <c r="B1134" s="6" t="str">
        <v>United States</v>
      </c>
      <c r="C1134" s="6" t="str">
        <v>Amazon.com Inc</v>
      </c>
      <c r="D1134" s="6" t="str">
        <v>Amazon.com Inc</v>
      </c>
      <c r="F1134" s="6" t="str">
        <v>United States</v>
      </c>
      <c r="G1134" s="6" t="str">
        <v>Rackspace Technology Inc</v>
      </c>
      <c r="H1134" s="6" t="str">
        <v>Business Services</v>
      </c>
      <c r="I1134" s="6" t="str">
        <v>750102</v>
      </c>
      <c r="J1134" s="6" t="str">
        <v>Rackspace Technology Inc</v>
      </c>
      <c r="K1134" s="6" t="str">
        <v>Rackspace Technology Inc</v>
      </c>
      <c r="L1134" s="7">
        <f>=DATE(2020,8,17)</f>
        <v>44059.99949074074</v>
      </c>
      <c r="R1134" s="8">
        <v>-188.1</v>
      </c>
      <c r="S1134" s="8">
        <v>2538</v>
      </c>
      <c r="T1134" s="8">
        <v>-35.9</v>
      </c>
      <c r="U1134" s="8">
        <v>-449.3</v>
      </c>
      <c r="V1134" s="8">
        <v>391.7</v>
      </c>
      <c r="W1134" s="6" t="str">
        <v>Primary Business not Hi-Tech</v>
      </c>
      <c r="X1134" s="6" t="str">
        <v>Programming Services;Database Software/Programming</v>
      </c>
      <c r="Y1134" s="6" t="str">
        <v>Programming Services;Database Software/Programming</v>
      </c>
      <c r="Z1134" s="6" t="str">
        <v>Programming Services;Database Software/Programming</v>
      </c>
      <c r="AA1134" s="6" t="str">
        <v>Primary Business not Hi-Tech</v>
      </c>
      <c r="AB1134" s="6" t="str">
        <v>Primary Business not Hi-Tech</v>
      </c>
      <c r="AH1134" s="6" t="str">
        <v>True</v>
      </c>
      <c r="AJ1134" s="6" t="str">
        <v>Dismissed Rumor</v>
      </c>
      <c r="AM1134" s="6" t="str">
        <v>Rumored Deal</v>
      </c>
      <c r="AN1134" s="8">
        <v>4459.3</v>
      </c>
      <c r="AO1134" s="6" t="str">
        <v>US - Amazon.com Inc was rumored to be planning to acquire an undisclosed minority stake in Rackspace Technology Inc, a San Antonio-based provider of custom computer programming services. The Current status of this deal is unknown.</v>
      </c>
    </row>
    <row r="1135">
      <c r="A1135" s="6" t="str">
        <v>037833</v>
      </c>
      <c r="B1135" s="6" t="str">
        <v>United States</v>
      </c>
      <c r="C1135" s="6" t="str">
        <v>Apple Inc</v>
      </c>
      <c r="D1135" s="6" t="str">
        <v>Apple Inc</v>
      </c>
      <c r="F1135" s="6" t="str">
        <v>Israel</v>
      </c>
      <c r="G1135" s="6" t="str">
        <v>Camerai Ltd</v>
      </c>
      <c r="H1135" s="6" t="str">
        <v>Prepackaged Software</v>
      </c>
      <c r="I1135" s="6" t="str">
        <v>8K6203</v>
      </c>
      <c r="J1135" s="6" t="str">
        <v>Camerai Ltd</v>
      </c>
      <c r="K1135" s="6" t="str">
        <v>Camerai Ltd</v>
      </c>
      <c r="L1135" s="7">
        <f>=DATE(2020,8,20)</f>
        <v>44062.99949074074</v>
      </c>
      <c r="M1135" s="7">
        <f>=DATE(2020,8,20)</f>
        <v>44062.99949074074</v>
      </c>
      <c r="W1135" s="6" t="str">
        <v>Other Software (inq. Games);Other Peripherals;Monitors/Terminals;Mainframes &amp; Super Computers;Disk Drives;Portable Computers;Micro-Computers (PCs);Printers</v>
      </c>
      <c r="X1135" s="6" t="str">
        <v>Communication/Network Software</v>
      </c>
      <c r="Y1135" s="6" t="str">
        <v>Communication/Network Software</v>
      </c>
      <c r="Z1135" s="6" t="str">
        <v>Communication/Network Software</v>
      </c>
      <c r="AA1135" s="6" t="str">
        <v>Disk Drives;Other Software (inq. Games);Mainframes &amp; Super Computers;Portable Computers;Printers;Micro-Computers (PCs);Other Peripherals;Monitors/Terminals</v>
      </c>
      <c r="AB1135" s="6" t="str">
        <v>Mainframes &amp; Super Computers;Monitors/Terminals;Other Software (inq. Games);Micro-Computers (PCs);Other Peripherals;Disk Drives;Printers;Portable Computers</v>
      </c>
      <c r="AH1135" s="6" t="str">
        <v>False</v>
      </c>
      <c r="AI1135" s="6" t="str">
        <v>2020</v>
      </c>
      <c r="AJ1135" s="6" t="str">
        <v>Completed</v>
      </c>
      <c r="AM1135" s="6" t="str">
        <v>Not Applicable</v>
      </c>
      <c r="AO1135" s="6" t="str">
        <v>ISRAEL - Apple Inc of the US acquired Camerai Ltd, a Ra'anana-based software publisher.</v>
      </c>
    </row>
    <row r="1136">
      <c r="A1136" s="6" t="str">
        <v>9H1420</v>
      </c>
      <c r="B1136" s="6" t="str">
        <v>United States</v>
      </c>
      <c r="C1136" s="6" t="str">
        <v>Google Cloud Platform</v>
      </c>
      <c r="D1136" s="6" t="str">
        <v>Alphabet Inc</v>
      </c>
      <c r="F1136" s="6" t="str">
        <v>United States</v>
      </c>
      <c r="G1136" s="6" t="str">
        <v>American Well Corp</v>
      </c>
      <c r="H1136" s="6" t="str">
        <v>Prepackaged Software</v>
      </c>
      <c r="I1136" s="6" t="str">
        <v>3F0892</v>
      </c>
      <c r="J1136" s="6" t="str">
        <v>American Well Corp</v>
      </c>
      <c r="K1136" s="6" t="str">
        <v>American Well Corp</v>
      </c>
      <c r="L1136" s="7">
        <f>=DATE(2020,8,24)</f>
        <v>44066.99949074074</v>
      </c>
      <c r="M1136" s="7">
        <f>=DATE(2020,8,24)</f>
        <v>44066.99949074074</v>
      </c>
      <c r="N1136" s="8">
        <v>100</v>
      </c>
      <c r="O1136" s="8">
        <v>100</v>
      </c>
      <c r="R1136" s="8">
        <v>-160.238</v>
      </c>
      <c r="S1136" s="8">
        <v>202.058</v>
      </c>
      <c r="T1136" s="8">
        <v>194.722</v>
      </c>
      <c r="U1136" s="8">
        <v>-22.519</v>
      </c>
      <c r="V1136" s="8">
        <v>-98.975</v>
      </c>
      <c r="W1136" s="6" t="str">
        <v>Other Software (inq. Games)</v>
      </c>
      <c r="X1136" s="6" t="str">
        <v>Other Software (inq. Games)</v>
      </c>
      <c r="Y1136" s="6" t="str">
        <v>Other Software (inq. Games)</v>
      </c>
      <c r="Z1136" s="6" t="str">
        <v>Other Software (inq. Games)</v>
      </c>
      <c r="AA1136" s="6" t="str">
        <v>Internet Services &amp; Software;Programming Services</v>
      </c>
      <c r="AB1136" s="6" t="str">
        <v>Computer Consulting Services;Primary Business not Hi-Tech;Programming Services;Telecommunications Equipment;Internet Services &amp; Software</v>
      </c>
      <c r="AC1136" s="8">
        <v>100</v>
      </c>
      <c r="AD1136" s="7">
        <f>=DATE(2020,8,24)</f>
        <v>44066.99949074074</v>
      </c>
      <c r="AH1136" s="6" t="str">
        <v>True</v>
      </c>
      <c r="AI1136" s="6" t="str">
        <v>2020</v>
      </c>
      <c r="AJ1136" s="6" t="str">
        <v>Completed</v>
      </c>
      <c r="AM1136" s="6" t="str">
        <v>Privately Negotiated Purchase</v>
      </c>
      <c r="AN1136" s="8">
        <v>253.535</v>
      </c>
      <c r="AO1136" s="6" t="str">
        <v>US - Google Cloud Platform, a unit of Google Inc, planned to acquire an undisclosed minority stake in American Well Corp, a Boston-based telehealth company, for a total USD 100 mil, in a privately negotiated transaction.</v>
      </c>
    </row>
    <row r="1137">
      <c r="A1137" s="6" t="str">
        <v>037833</v>
      </c>
      <c r="B1137" s="6" t="str">
        <v>United States</v>
      </c>
      <c r="C1137" s="6" t="str">
        <v>Apple Inc</v>
      </c>
      <c r="D1137" s="6" t="str">
        <v>Apple Inc</v>
      </c>
      <c r="F1137" s="6" t="str">
        <v>United States</v>
      </c>
      <c r="G1137" s="6" t="str">
        <v>Spaces Inc</v>
      </c>
      <c r="H1137" s="6" t="str">
        <v>Prepackaged Software</v>
      </c>
      <c r="I1137" s="6" t="str">
        <v>5K2374</v>
      </c>
      <c r="J1137" s="6" t="str">
        <v>Spaces Inc</v>
      </c>
      <c r="K1137" s="6" t="str">
        <v>Spaces Inc</v>
      </c>
      <c r="L1137" s="7">
        <f>=DATE(2020,8,25)</f>
        <v>44067.99949074074</v>
      </c>
      <c r="M1137" s="7">
        <f>=DATE(2020,8,25)</f>
        <v>44067.99949074074</v>
      </c>
      <c r="W1137" s="6" t="str">
        <v>Other Software (inq. Games);Portable Computers;Disk Drives;Mainframes &amp; Super Computers;Micro-Computers (PCs);Monitors/Terminals;Other Peripherals;Printers</v>
      </c>
      <c r="X1137" s="6" t="str">
        <v>Primary Business not Hi-Tech;Other Software (inq. Games);Communication/Network Software;Internet Services &amp; Software;Utilities/File Mgmt Software;Desktop Publishing;Applications Software(Home);Applications Software(Business</v>
      </c>
      <c r="Y1137" s="6" t="str">
        <v>Primary Business not Hi-Tech;Other Software (inq. Games);Utilities/File Mgmt Software;Internet Services &amp; Software;Communication/Network Software;Applications Software(Business;Applications Software(Home);Desktop Publishing</v>
      </c>
      <c r="Z1137" s="6" t="str">
        <v>Internet Services &amp; Software;Primary Business not Hi-Tech;Communication/Network Software;Other Software (inq. Games);Utilities/File Mgmt Software;Desktop Publishing;Applications Software(Business;Applications Software(Home)</v>
      </c>
      <c r="AA1137" s="6" t="str">
        <v>Micro-Computers (PCs);Other Software (inq. Games);Disk Drives;Printers;Portable Computers;Mainframes &amp; Super Computers;Monitors/Terminals;Other Peripherals</v>
      </c>
      <c r="AB1137" s="6" t="str">
        <v>Mainframes &amp; Super Computers;Disk Drives;Micro-Computers (PCs);Portable Computers;Monitors/Terminals;Printers;Other Software (inq. Games);Other Peripherals</v>
      </c>
      <c r="AH1137" s="6" t="str">
        <v>False</v>
      </c>
      <c r="AI1137" s="6" t="str">
        <v>2020</v>
      </c>
      <c r="AJ1137" s="6" t="str">
        <v>Completed</v>
      </c>
      <c r="AM1137" s="6" t="str">
        <v>Not Applicable</v>
      </c>
      <c r="AO1137" s="6" t="str">
        <v>US - Apple Inc acquired Spaces Inc, a Burbank-based software publisher.</v>
      </c>
    </row>
    <row r="1138">
      <c r="A1138" s="6" t="str">
        <v>8F1020</v>
      </c>
      <c r="B1138" s="6" t="str">
        <v>United States</v>
      </c>
      <c r="C1138" s="6" t="str">
        <v>Alexa Fund</v>
      </c>
      <c r="D1138" s="6" t="str">
        <v>Amazon.com Inc</v>
      </c>
      <c r="F1138" s="6" t="str">
        <v>United States</v>
      </c>
      <c r="G1138" s="6" t="str">
        <v>Fiddler Labs Inc</v>
      </c>
      <c r="H1138" s="6" t="str">
        <v>Business Services</v>
      </c>
      <c r="I1138" s="6" t="str">
        <v>5K2613</v>
      </c>
      <c r="J1138" s="6" t="str">
        <v>Fiddler Labs Inc</v>
      </c>
      <c r="K1138" s="6" t="str">
        <v>Fiddler Labs Inc</v>
      </c>
      <c r="L1138" s="7">
        <f>=DATE(2020,8,28)</f>
        <v>44070.99949074074</v>
      </c>
      <c r="M1138" s="7">
        <f>=DATE(2020,8,28)</f>
        <v>44070.99949074074</v>
      </c>
      <c r="W1138" s="6" t="str">
        <v>Primary Business not Hi-Tech</v>
      </c>
      <c r="X1138" s="6" t="str">
        <v>Programming Services;Applications Software(Business;Database Software/Programming;Desktop Publishing;Other Software (inq. Games);Communication/Network Software;Internet Services &amp; Software;Utilities/File Mgmt Software</v>
      </c>
      <c r="Y1138" s="6" t="str">
        <v>Applications Software(Business;Utilities/File Mgmt Software;Desktop Publishing;Internet Services &amp; Software;Database Software/Programming;Communication/Network Software;Other Software (inq. Games);Programming Services</v>
      </c>
      <c r="Z1138" s="6" t="str">
        <v>Communication/Network Software;Database Software/Programming;Programming Services;Utilities/File Mgmt Software;Other Software (inq. Games);Desktop Publishing;Internet Services &amp; Software;Applications Software(Business</v>
      </c>
      <c r="AA1138" s="6" t="str">
        <v>Primary Business not Hi-Tech</v>
      </c>
      <c r="AB1138" s="6" t="str">
        <v>Primary Business not Hi-Tech</v>
      </c>
      <c r="AH1138" s="6" t="str">
        <v>False</v>
      </c>
      <c r="AI1138" s="6" t="str">
        <v>2020</v>
      </c>
      <c r="AJ1138" s="6" t="str">
        <v>Completed</v>
      </c>
      <c r="AM1138" s="6" t="str">
        <v>Privately Negotiated Purchase;Financial Acquiror</v>
      </c>
      <c r="AO1138" s="6" t="str">
        <v>US - Alexa Fund, a unit of Amazon.com Inc, acquired an undisclosed minority stake in Fiddler Labs Inc, a Palo Alto-based software publisher, in a privately negotiated transaction.</v>
      </c>
    </row>
    <row r="1139">
      <c r="A1139" s="6" t="str">
        <v>594918</v>
      </c>
      <c r="B1139" s="6" t="str">
        <v>United States</v>
      </c>
      <c r="C1139" s="6" t="str">
        <v>Microsoft Corp</v>
      </c>
      <c r="D1139" s="6" t="str">
        <v>Microsoft Corp</v>
      </c>
      <c r="F1139" s="6" t="str">
        <v>United States</v>
      </c>
      <c r="G1139" s="6" t="str">
        <v>ZeniMax Media Inc</v>
      </c>
      <c r="H1139" s="6" t="str">
        <v>Prepackaged Software</v>
      </c>
      <c r="I1139" s="6" t="str">
        <v>98967F</v>
      </c>
      <c r="J1139" s="6" t="str">
        <v>ZeniMax Media Inc</v>
      </c>
      <c r="K1139" s="6" t="str">
        <v>ZeniMax Media Inc</v>
      </c>
      <c r="L1139" s="7">
        <f>=DATE(2020,9,21)</f>
        <v>44094.99949074074</v>
      </c>
      <c r="M1139" s="7">
        <f>=DATE(2021,3,9)</f>
        <v>44263.99949074074</v>
      </c>
      <c r="N1139" s="8">
        <v>7500</v>
      </c>
      <c r="O1139" s="8">
        <v>7500</v>
      </c>
      <c r="W1139" s="6" t="str">
        <v>Monitors/Terminals;Internet Services &amp; Software;Applications Software(Business;Operating Systems;Other Peripherals;Computer Consulting Services</v>
      </c>
      <c r="X1139" s="6" t="str">
        <v>Other Software (inq. Games)</v>
      </c>
      <c r="Y1139" s="6" t="str">
        <v>Other Software (inq. Games)</v>
      </c>
      <c r="Z1139" s="6" t="str">
        <v>Other Software (inq. Games)</v>
      </c>
      <c r="AA1139" s="6" t="str">
        <v>Computer Consulting Services;Applications Software(Business;Internet Services &amp; Software;Other Peripherals;Monitors/Terminals;Operating Systems</v>
      </c>
      <c r="AB1139" s="6" t="str">
        <v>Computer Consulting Services;Internet Services &amp; Software;Operating Systems;Other Peripherals;Monitors/Terminals;Applications Software(Business</v>
      </c>
      <c r="AC1139" s="8">
        <v>7500</v>
      </c>
      <c r="AD1139" s="7">
        <f>=DATE(2020,9,21)</f>
        <v>44094.99949074074</v>
      </c>
      <c r="AH1139" s="6" t="str">
        <v>False</v>
      </c>
      <c r="AI1139" s="6" t="str">
        <v>2021</v>
      </c>
      <c r="AJ1139" s="6" t="str">
        <v>Completed</v>
      </c>
      <c r="AM1139" s="6" t="str">
        <v>Not Applicable</v>
      </c>
      <c r="AO1139" s="6" t="str">
        <v>US - Microsoft Corp acquired ZeniMax Media Inc, a Rockville-based developer of interactive entertainment content, for a total value of USD 7.5 bil in cash. The transaction was to include Bethesda Softworks.</v>
      </c>
    </row>
    <row r="1140">
      <c r="A1140" s="6" t="str">
        <v>4J8001</v>
      </c>
      <c r="B1140" s="6" t="str">
        <v>United States</v>
      </c>
      <c r="C1140" s="6" t="str">
        <v>Fungible Inc</v>
      </c>
      <c r="D1140" s="6" t="str">
        <v>Fungible Inc</v>
      </c>
      <c r="F1140" s="6" t="str">
        <v>United States</v>
      </c>
      <c r="G1140" s="6" t="str">
        <v>Cloudistics Inc-Assets</v>
      </c>
      <c r="H1140" s="6" t="str">
        <v>Prepackaged Software</v>
      </c>
      <c r="I1140" s="6" t="str">
        <v>6K1377</v>
      </c>
      <c r="J1140" s="6" t="str">
        <v>Fungible Inc</v>
      </c>
      <c r="K1140" s="6" t="str">
        <v>Fungible Inc</v>
      </c>
      <c r="L1140" s="7">
        <f>=DATE(2020,9,24)</f>
        <v>44097.99949074074</v>
      </c>
      <c r="M1140" s="7">
        <f>=DATE(2020,9,24)</f>
        <v>44097.99949074074</v>
      </c>
      <c r="W1140" s="6" t="str">
        <v>Other Software (inq. Games);Computer Consulting Services;Data Processing Services;Other Computer Related Svcs</v>
      </c>
      <c r="X1140" s="6" t="str">
        <v>Other Software (inq. Games)</v>
      </c>
      <c r="Y1140" s="6" t="str">
        <v>Data Processing Services;Computer Consulting Services;Other Computer Related Svcs;Other Software (inq. Games)</v>
      </c>
      <c r="Z1140" s="6" t="str">
        <v>Other Software (inq. Games);Other Computer Related Svcs;Computer Consulting Services;Data Processing Services</v>
      </c>
      <c r="AA1140" s="6" t="str">
        <v>Other Computer Related Svcs;Other Software (inq. Games);Data Processing Services;Computer Consulting Services</v>
      </c>
      <c r="AB1140" s="6" t="str">
        <v>Other Computer Related Svcs;Data Processing Services;Other Software (inq. Games);Computer Consulting Services</v>
      </c>
      <c r="AH1140" s="6" t="str">
        <v>False</v>
      </c>
      <c r="AI1140" s="6" t="str">
        <v>2020</v>
      </c>
      <c r="AJ1140" s="6" t="str">
        <v>Completed</v>
      </c>
      <c r="AM1140" s="6" t="str">
        <v>Divestiture</v>
      </c>
      <c r="AO1140" s="6" t="str">
        <v>US - Fungible Inc acquired the assets of Cloudistics Inc, a Reston-based software publisher.</v>
      </c>
    </row>
    <row r="1141">
      <c r="A1141" s="6" t="str">
        <v>037833</v>
      </c>
      <c r="B1141" s="6" t="str">
        <v>United States</v>
      </c>
      <c r="C1141" s="6" t="str">
        <v>Apple Inc</v>
      </c>
      <c r="D1141" s="6" t="str">
        <v>Apple Inc</v>
      </c>
      <c r="F1141" s="6" t="str">
        <v>United States</v>
      </c>
      <c r="G1141" s="6" t="str">
        <v>Subverse Corp</v>
      </c>
      <c r="H1141" s="6" t="str">
        <v>Prepackaged Software</v>
      </c>
      <c r="I1141" s="6" t="str">
        <v>6K2067</v>
      </c>
      <c r="J1141" s="6" t="str">
        <v>Subverse Corp</v>
      </c>
      <c r="K1141" s="6" t="str">
        <v>Subverse Corp</v>
      </c>
      <c r="L1141" s="7">
        <f>=DATE(2020,9,24)</f>
        <v>44097.99949074074</v>
      </c>
      <c r="W1141" s="6" t="str">
        <v>Other Peripherals;Other Software (inq. Games);Monitors/Terminals;Mainframes &amp; Super Computers;Printers;Micro-Computers (PCs);Portable Computers;Disk Drives</v>
      </c>
      <c r="X1141" s="6" t="str">
        <v>Communication/Network Software</v>
      </c>
      <c r="Y1141" s="6" t="str">
        <v>Communication/Network Software</v>
      </c>
      <c r="Z1141" s="6" t="str">
        <v>Communication/Network Software</v>
      </c>
      <c r="AA1141" s="6" t="str">
        <v>Portable Computers;Other Peripherals;Micro-Computers (PCs);Mainframes &amp; Super Computers;Printers;Disk Drives;Other Software (inq. Games);Monitors/Terminals</v>
      </c>
      <c r="AB1141" s="6" t="str">
        <v>Mainframes &amp; Super Computers;Micro-Computers (PCs);Other Software (inq. Games);Disk Drives;Portable Computers;Other Peripherals;Monitors/Terminals;Printers</v>
      </c>
      <c r="AH1141" s="6" t="str">
        <v>False</v>
      </c>
      <c r="AJ1141" s="6" t="str">
        <v>Dismissed Rumor</v>
      </c>
      <c r="AM1141" s="6" t="str">
        <v>Rumored Deal</v>
      </c>
      <c r="AO1141" s="6" t="str">
        <v>US - Apple Inc was rumored to be planning to acquire Subverse Corp, a San Francisco-based software publisher. The Current status of this deal is unknown.</v>
      </c>
    </row>
    <row r="1142">
      <c r="A1142" s="6" t="str">
        <v>037833</v>
      </c>
      <c r="B1142" s="6" t="str">
        <v>United States</v>
      </c>
      <c r="C1142" s="6" t="str">
        <v>Apple Inc</v>
      </c>
      <c r="D1142" s="6" t="str">
        <v>Apple Inc</v>
      </c>
      <c r="F1142" s="6" t="str">
        <v>Spain</v>
      </c>
      <c r="G1142" s="6" t="str">
        <v>Vilynx Spain SL</v>
      </c>
      <c r="H1142" s="6" t="str">
        <v>Prepackaged Software</v>
      </c>
      <c r="I1142" s="6" t="str">
        <v>8K6211</v>
      </c>
      <c r="J1142" s="6" t="str">
        <v>Vilynx Spain SL</v>
      </c>
      <c r="K1142" s="6" t="str">
        <v>Vilynx Spain SL</v>
      </c>
      <c r="L1142" s="7">
        <f>=DATE(2020,10,27)</f>
        <v>44130.99949074074</v>
      </c>
      <c r="W1142" s="6" t="str">
        <v>Other Software (inq. Games);Portable Computers;Disk Drives;Monitors/Terminals;Micro-Computers (PCs);Printers;Other Peripherals;Mainframes &amp; Super Computers</v>
      </c>
      <c r="X1142" s="6" t="str">
        <v>Desktop Publishing;Applications Software(Home);Internet Services &amp; Software;Applications Software(Business;Utilities/File Mgmt Software;Other Software (inq. Games);Communication/Network Software</v>
      </c>
      <c r="Y1142" s="6" t="str">
        <v>Communication/Network Software;Applications Software(Business;Other Software (inq. Games);Internet Services &amp; Software;Applications Software(Home);Utilities/File Mgmt Software;Desktop Publishing</v>
      </c>
      <c r="Z1142" s="6" t="str">
        <v>Applications Software(Home);Applications Software(Business;Communication/Network Software;Utilities/File Mgmt Software;Desktop Publishing;Internet Services &amp; Software;Other Software (inq. Games)</v>
      </c>
      <c r="AA1142" s="6" t="str">
        <v>Portable Computers;Printers;Micro-Computers (PCs);Monitors/Terminals;Other Software (inq. Games);Other Peripherals;Disk Drives;Mainframes &amp; Super Computers</v>
      </c>
      <c r="AB1142" s="6" t="str">
        <v>Portable Computers;Printers;Micro-Computers (PCs);Other Software (inq. Games);Monitors/Terminals;Disk Drives;Other Peripherals;Mainframes &amp; Super Computers</v>
      </c>
      <c r="AD1142" s="7">
        <f>=DATE(2020,10,27)</f>
        <v>44130.99949074074</v>
      </c>
      <c r="AH1142" s="6" t="str">
        <v>False</v>
      </c>
      <c r="AJ1142" s="6" t="str">
        <v>Dismissed Rumor</v>
      </c>
      <c r="AM1142" s="6" t="str">
        <v>Rumored Deal</v>
      </c>
      <c r="AO1142" s="6" t="str">
        <v>SPAIN - Apple Inc of the US was rumored to be planning to acquire Vilynx Spain SL, a Barcelona-based software publisher. The terms of the transaction were not disclosed, but according to sources close to the transaction, the value was estimated at EUR 42.344 mil (USD 50 mil). The Current status of this deal is unknown.</v>
      </c>
    </row>
    <row r="1143">
      <c r="A1143" s="6" t="str">
        <v>73959W</v>
      </c>
      <c r="B1143" s="6" t="str">
        <v>United States</v>
      </c>
      <c r="C1143" s="6" t="str">
        <v>PowerSchool Group LLC</v>
      </c>
      <c r="D1143" s="6" t="str">
        <v>PowerSchool Holdings Inc</v>
      </c>
      <c r="F1143" s="6" t="str">
        <v>United States</v>
      </c>
      <c r="G1143" s="6" t="str">
        <v>Hoonuit LLC</v>
      </c>
      <c r="H1143" s="6" t="str">
        <v>Prepackaged Software</v>
      </c>
      <c r="I1143" s="6" t="str">
        <v>8J8503</v>
      </c>
      <c r="J1143" s="6" t="str">
        <v>Hoonuit LLC</v>
      </c>
      <c r="K1143" s="6" t="str">
        <v>Hoonuit LLC</v>
      </c>
      <c r="L1143" s="7">
        <f>=DATE(2020,10,29)</f>
        <v>44132.99949074074</v>
      </c>
      <c r="M1143" s="7">
        <f>=DATE(2020,10,29)</f>
        <v>44132.99949074074</v>
      </c>
      <c r="W1143" s="6" t="str">
        <v>Other Software (inq. Games)</v>
      </c>
      <c r="X1143" s="6" t="str">
        <v>Other Software (inq. Games)</v>
      </c>
      <c r="Y1143" s="6" t="str">
        <v>Other Software (inq. Games)</v>
      </c>
      <c r="Z1143" s="6" t="str">
        <v>Other Software (inq. Games)</v>
      </c>
      <c r="AA1143" s="6" t="str">
        <v>Utilities/File Mgmt Software;Other Software (inq. Games);Communication/Network Software;Applications Software(Business;Applications Software(Home);Internet Services &amp; Software;Desktop Publishing;Primary Business not Hi-Tech</v>
      </c>
      <c r="AB1143" s="6" t="str">
        <v>Desktop Publishing;Communication/Network Software;Applications Software(Business;Applications Software(Home);Utilities/File Mgmt Software;Internet Services &amp; Software;Primary Business not Hi-Tech;Other Software (inq. Games)</v>
      </c>
      <c r="AH1143" s="6" t="str">
        <v>True</v>
      </c>
      <c r="AI1143" s="6" t="str">
        <v>2020</v>
      </c>
      <c r="AJ1143" s="6" t="str">
        <v>Completed</v>
      </c>
      <c r="AM1143" s="6" t="str">
        <v>Financial Acquiror</v>
      </c>
      <c r="AO1143" s="6" t="str">
        <v>US - PowerSchool Group LLC, a unit of Vista Equity Partners Management LLC, acquired Hoonuit LLC, a Minneapolis-based K-12 analytics and data management company, from Renovus Capital Partners LP and Boathouse Capital LP.</v>
      </c>
    </row>
    <row r="1144">
      <c r="A1144" s="6" t="str">
        <v>9H1420</v>
      </c>
      <c r="B1144" s="6" t="str">
        <v>United States</v>
      </c>
      <c r="C1144" s="6" t="str">
        <v>Google Cloud Platform</v>
      </c>
      <c r="D1144" s="6" t="str">
        <v>Alphabet Inc</v>
      </c>
      <c r="F1144" s="6" t="str">
        <v>United States</v>
      </c>
      <c r="G1144" s="6" t="str">
        <v>Actifio Inc</v>
      </c>
      <c r="H1144" s="6" t="str">
        <v>Prepackaged Software</v>
      </c>
      <c r="I1144" s="6" t="str">
        <v>2A6445</v>
      </c>
      <c r="J1144" s="6" t="str">
        <v>Actifio Inc</v>
      </c>
      <c r="K1144" s="6" t="str">
        <v>Actifio Inc</v>
      </c>
      <c r="L1144" s="7">
        <f>=DATE(2020,12,2)</f>
        <v>44166.99949074074</v>
      </c>
      <c r="M1144" s="7">
        <f>=DATE(2020,12,14)</f>
        <v>44178.99949074074</v>
      </c>
      <c r="W1144" s="6" t="str">
        <v>Other Software (inq. Games)</v>
      </c>
      <c r="X1144" s="6" t="str">
        <v>Database Software/Programming;Operating Systems;Internet Services &amp; Software;Other Computer Systems;Other Software (inq. Games);Communication/Network Software;Programming Services</v>
      </c>
      <c r="Y1144" s="6" t="str">
        <v>Operating Systems;Internet Services &amp; Software;Other Computer Systems;Programming Services;Communication/Network Software;Database Software/Programming;Other Software (inq. Games)</v>
      </c>
      <c r="Z1144" s="6" t="str">
        <v>Internet Services &amp; Software;Other Computer Systems;Other Software (inq. Games);Communication/Network Software;Operating Systems;Programming Services;Database Software/Programming</v>
      </c>
      <c r="AA1144" s="6" t="str">
        <v>Internet Services &amp; Software;Programming Services</v>
      </c>
      <c r="AB1144" s="6" t="str">
        <v>Primary Business not Hi-Tech;Computer Consulting Services;Telecommunications Equipment;Internet Services &amp; Software;Programming Services</v>
      </c>
      <c r="AH1144" s="6" t="str">
        <v>True</v>
      </c>
      <c r="AI1144" s="6" t="str">
        <v>2020</v>
      </c>
      <c r="AJ1144" s="6" t="str">
        <v>Completed</v>
      </c>
      <c r="AM1144" s="6" t="str">
        <v>Not Applicable</v>
      </c>
      <c r="AO1144" s="6" t="str">
        <v>US - Google Cloud Platform, a unit of Google Inc, acquired Actifio Inc, a Waltham-based software publisher, from Advantage Solutions Inc and Andreessen Horowitz LLC and Heritage Group LLC and North Bridge Venture Partners and 83North Ltd.</v>
      </c>
    </row>
    <row r="1145">
      <c r="A1145" s="6" t="str">
        <v>9H1420</v>
      </c>
      <c r="B1145" s="6" t="str">
        <v>United States</v>
      </c>
      <c r="C1145" s="6" t="str">
        <v>Google Cloud Platform</v>
      </c>
      <c r="D1145" s="6" t="str">
        <v>Alphabet Inc</v>
      </c>
      <c r="F1145" s="6" t="str">
        <v>United Kingdom</v>
      </c>
      <c r="G1145" s="6" t="str">
        <v>Tada Science Inc</v>
      </c>
      <c r="H1145" s="6" t="str">
        <v>Prepackaged Software</v>
      </c>
      <c r="I1145" s="6" t="str">
        <v>9K8807</v>
      </c>
      <c r="J1145" s="6" t="str">
        <v>Tada Science Inc</v>
      </c>
      <c r="K1145" s="6" t="str">
        <v>Tada Science Inc</v>
      </c>
      <c r="L1145" s="7">
        <f>=DATE(2020,12,8)</f>
        <v>44172.99949074074</v>
      </c>
      <c r="M1145" s="7">
        <f>=DATE(2020,12,8)</f>
        <v>44172.99949074074</v>
      </c>
      <c r="W1145" s="6" t="str">
        <v>Other Software (inq. Games)</v>
      </c>
      <c r="X1145" s="6" t="str">
        <v>Applications Software(Business</v>
      </c>
      <c r="Y1145" s="6" t="str">
        <v>Applications Software(Business</v>
      </c>
      <c r="Z1145" s="6" t="str">
        <v>Applications Software(Business</v>
      </c>
      <c r="AA1145" s="6" t="str">
        <v>Internet Services &amp; Software;Programming Services</v>
      </c>
      <c r="AB1145" s="6" t="str">
        <v>Primary Business not Hi-Tech;Internet Services &amp; Software;Programming Services;Computer Consulting Services;Telecommunications Equipment</v>
      </c>
      <c r="AH1145" s="6" t="str">
        <v>True</v>
      </c>
      <c r="AI1145" s="6" t="str">
        <v>2020</v>
      </c>
      <c r="AJ1145" s="6" t="str">
        <v>Completed</v>
      </c>
      <c r="AM1145" s="6" t="str">
        <v>Not Applicable</v>
      </c>
      <c r="AO1145" s="6" t="str">
        <v>UK - Google Cloud Platform of the US, a unit of Google Inc, acquired Tada Science Inc, a London-based software publisher. Terms were not disclosed.</v>
      </c>
    </row>
    <row r="1146">
      <c r="A1146" s="6" t="str">
        <v>7J8440</v>
      </c>
      <c r="B1146" s="6" t="str">
        <v>United States</v>
      </c>
      <c r="C1146" s="6" t="str">
        <v>Google LLC</v>
      </c>
      <c r="D1146" s="6" t="str">
        <v>Alphabet Inc</v>
      </c>
      <c r="F1146" s="6" t="str">
        <v>United States</v>
      </c>
      <c r="G1146" s="6" t="str">
        <v>Neverware Inc</v>
      </c>
      <c r="H1146" s="6" t="str">
        <v>Prepackaged Software</v>
      </c>
      <c r="I1146" s="6" t="str">
        <v>9F6939</v>
      </c>
      <c r="J1146" s="6" t="str">
        <v>Neverware Inc</v>
      </c>
      <c r="K1146" s="6" t="str">
        <v>Neverware Inc</v>
      </c>
      <c r="L1146" s="7">
        <f>=DATE(2020,12,11)</f>
        <v>44175.99949074074</v>
      </c>
      <c r="M1146" s="7">
        <f>=DATE(2020,12,11)</f>
        <v>44175.99949074074</v>
      </c>
      <c r="W1146" s="6" t="str">
        <v>Internet Services &amp; Software;Programming Services</v>
      </c>
      <c r="X1146" s="6" t="str">
        <v>Desktop Publishing;Applications Software(Home);Applications Software(Business;Communication/Network Software;Internet Services &amp; Software;Other Software (inq. Games);Utilities/File Mgmt Software</v>
      </c>
      <c r="Y1146" s="6" t="str">
        <v>Desktop Publishing;Other Software (inq. Games);Applications Software(Home);Applications Software(Business;Utilities/File Mgmt Software;Communication/Network Software;Internet Services &amp; Software</v>
      </c>
      <c r="Z1146" s="6" t="str">
        <v>Communication/Network Software;Applications Software(Home);Applications Software(Business;Desktop Publishing;Other Software (inq. Games);Utilities/File Mgmt Software;Internet Services &amp; Software</v>
      </c>
      <c r="AA1146" s="6" t="str">
        <v>Telecommunications Equipment;Programming Services;Internet Services &amp; Software;Primary Business not Hi-Tech;Computer Consulting Services</v>
      </c>
      <c r="AB1146" s="6" t="str">
        <v>Internet Services &amp; Software;Computer Consulting Services;Telecommunications Equipment;Primary Business not Hi-Tech;Programming Services</v>
      </c>
      <c r="AH1146" s="6" t="str">
        <v>False</v>
      </c>
      <c r="AI1146" s="6" t="str">
        <v>2020</v>
      </c>
      <c r="AJ1146" s="6" t="str">
        <v>Completed</v>
      </c>
      <c r="AM1146" s="6" t="str">
        <v>Not Applicable</v>
      </c>
      <c r="AO1146" s="6" t="str">
        <v>US - Google Inc, a unit of Alphabet Inc, acquired Neverware Inc, a New York City-based software publisher.</v>
      </c>
    </row>
    <row r="1147">
      <c r="A1147" s="6" t="str">
        <v>9H1420</v>
      </c>
      <c r="B1147" s="6" t="str">
        <v>United States</v>
      </c>
      <c r="C1147" s="6" t="str">
        <v>Google Cloud Platform</v>
      </c>
      <c r="D1147" s="6" t="str">
        <v>Alphabet Inc</v>
      </c>
      <c r="F1147" s="6" t="str">
        <v>United States</v>
      </c>
      <c r="G1147" s="6" t="str">
        <v>StratoZone LLC</v>
      </c>
      <c r="H1147" s="6" t="str">
        <v>Prepackaged Software</v>
      </c>
      <c r="I1147" s="6" t="str">
        <v>9K9158</v>
      </c>
      <c r="J1147" s="6" t="str">
        <v>StratoZone LLC</v>
      </c>
      <c r="K1147" s="6" t="str">
        <v>StratoZone LLC</v>
      </c>
      <c r="L1147" s="7">
        <f>=DATE(2020,12,24)</f>
        <v>44188.99949074074</v>
      </c>
      <c r="M1147" s="7">
        <f>=DATE(2020,12,24)</f>
        <v>44188.99949074074</v>
      </c>
      <c r="W1147" s="6" t="str">
        <v>Other Software (inq. Games)</v>
      </c>
      <c r="X1147" s="6" t="str">
        <v>Internet Services &amp; Software;Communication/Network Software;Applications Software(Home);Other Software (inq. Games);Utilities/File Mgmt Software;Desktop Publishing;Applications Software(Business</v>
      </c>
      <c r="Y1147" s="6" t="str">
        <v>Other Software (inq. Games);Utilities/File Mgmt Software;Communication/Network Software;Desktop Publishing;Applications Software(Home);Applications Software(Business;Internet Services &amp; Software</v>
      </c>
      <c r="Z1147" s="6" t="str">
        <v>Applications Software(Business;Communication/Network Software;Utilities/File Mgmt Software;Other Software (inq. Games);Internet Services &amp; Software;Applications Software(Home);Desktop Publishing</v>
      </c>
      <c r="AA1147" s="6" t="str">
        <v>Programming Services;Internet Services &amp; Software</v>
      </c>
      <c r="AB1147" s="6" t="str">
        <v>Computer Consulting Services;Programming Services;Internet Services &amp; Software;Primary Business not Hi-Tech;Telecommunications Equipment</v>
      </c>
      <c r="AH1147" s="6" t="str">
        <v>False</v>
      </c>
      <c r="AI1147" s="6" t="str">
        <v>2020</v>
      </c>
      <c r="AJ1147" s="6" t="str">
        <v>Completed</v>
      </c>
      <c r="AM1147" s="6" t="str">
        <v>Not Applicable</v>
      </c>
      <c r="AO1147" s="6" t="str">
        <v>US - Google Cloud Platform, a unit of Google Inc, acquired StratoZone LLC, a Schaumburg-based software publisher.</v>
      </c>
    </row>
    <row r="1148">
      <c r="A1148" s="6" t="str">
        <v>023135</v>
      </c>
      <c r="B1148" s="6" t="str">
        <v>United States</v>
      </c>
      <c r="C1148" s="6" t="str">
        <v>Amazon.com Inc</v>
      </c>
      <c r="D1148" s="6" t="str">
        <v>Amazon.com Inc</v>
      </c>
      <c r="E1148" s="6" t="str">
        <v>Investor Group</v>
      </c>
      <c r="F1148" s="6" t="str">
        <v>United States</v>
      </c>
      <c r="G1148" s="6" t="str">
        <v>Wondery Inc</v>
      </c>
      <c r="H1148" s="6" t="str">
        <v>Printing, Publishing, and Allied Services</v>
      </c>
      <c r="I1148" s="6" t="str">
        <v>5J4394</v>
      </c>
      <c r="J1148" s="6" t="str">
        <v>Wondery Inc</v>
      </c>
      <c r="K1148" s="6" t="str">
        <v>Wondery Inc</v>
      </c>
      <c r="L1148" s="7">
        <f>=DATE(2020,12,31)</f>
        <v>44195.99949074074</v>
      </c>
      <c r="W1148" s="6" t="str">
        <v>Primary Business not Hi-Tech</v>
      </c>
      <c r="X1148" s="6" t="str">
        <v>Internet Services &amp; Software;Primary Business not Hi-Tech;Other Computer Related Svcs;Networking Systems (LAN,WAN);Computer Consulting Services</v>
      </c>
      <c r="Y1148" s="6" t="str">
        <v>Other Computer Related Svcs;Computer Consulting Services;Internet Services &amp; Software;Primary Business not Hi-Tech;Networking Systems (LAN,WAN)</v>
      </c>
      <c r="Z1148" s="6" t="str">
        <v>Internet Services &amp; Software;Primary Business not Hi-Tech;Other Computer Related Svcs;Computer Consulting Services;Networking Systems (LAN,WAN)</v>
      </c>
      <c r="AA1148" s="6" t="str">
        <v>Primary Business not Hi-Tech</v>
      </c>
      <c r="AB1148" s="6" t="str">
        <v>Primary Business not Hi-Tech</v>
      </c>
      <c r="AD1148" s="7">
        <f>=DATE(2020,12,31)</f>
        <v>44195.99949074074</v>
      </c>
      <c r="AH1148" s="6" t="str">
        <v>True</v>
      </c>
      <c r="AJ1148" s="6" t="str">
        <v>Pending</v>
      </c>
      <c r="AM1148" s="6" t="str">
        <v>Not Applicable</v>
      </c>
      <c r="AO1148" s="6" t="str">
        <v>US - Amazon.com Inc planned to acquire Wondery Inc, a West Hollywood-based internet portal operator. The terms of the transaction were not disclosed, but according to sources close to the transaction, the value was estimated at USD 300 mil. Originally, An Investor Group was rumored to be planning to acquire Wondery Inc.</v>
      </c>
    </row>
    <row r="1149">
      <c r="A1149" s="6" t="str">
        <v>023135</v>
      </c>
      <c r="B1149" s="6" t="str">
        <v>United States</v>
      </c>
      <c r="C1149" s="6" t="str">
        <v>Amazon.com Inc</v>
      </c>
      <c r="D1149" s="6" t="str">
        <v>Amazon.com Inc</v>
      </c>
      <c r="F1149" s="6" t="str">
        <v>Australia</v>
      </c>
      <c r="G1149" s="6" t="str">
        <v>Selz.Com Pty Ltd</v>
      </c>
      <c r="H1149" s="6" t="str">
        <v>Business Services</v>
      </c>
      <c r="I1149" s="6" t="str">
        <v>2L1993</v>
      </c>
      <c r="J1149" s="6" t="str">
        <v>Selz.Com Pty Ltd</v>
      </c>
      <c r="K1149" s="6" t="str">
        <v>Selz.Com Pty Ltd</v>
      </c>
      <c r="L1149" s="7">
        <f>=DATE(2021,1,15)</f>
        <v>44210.99949074074</v>
      </c>
      <c r="M1149" s="7">
        <f>=DATE(2021,1,15)</f>
        <v>44210.99949074074</v>
      </c>
      <c r="W1149" s="6" t="str">
        <v>Primary Business not Hi-Tech</v>
      </c>
      <c r="X1149" s="6" t="str">
        <v>CAD/CAM/CAE/Graphics Systems;Computer Consulting Services;Other Software (inq. Games)</v>
      </c>
      <c r="Y1149" s="6" t="str">
        <v>Computer Consulting Services;Other Software (inq. Games);CAD/CAM/CAE/Graphics Systems</v>
      </c>
      <c r="Z1149" s="6" t="str">
        <v>Other Software (inq. Games);CAD/CAM/CAE/Graphics Systems;Computer Consulting Services</v>
      </c>
      <c r="AA1149" s="6" t="str">
        <v>Primary Business not Hi-Tech</v>
      </c>
      <c r="AB1149" s="6" t="str">
        <v>Primary Business not Hi-Tech</v>
      </c>
      <c r="AH1149" s="6" t="str">
        <v>True</v>
      </c>
      <c r="AI1149" s="6" t="str">
        <v>2021</v>
      </c>
      <c r="AJ1149" s="6" t="str">
        <v>Completed</v>
      </c>
      <c r="AM1149" s="6" t="str">
        <v>Not Applicable</v>
      </c>
      <c r="AO1149" s="6" t="str">
        <v>AUSTRALIA - Amazon.com Inc of the US acquired Selz.Com Pty Ltd, a Sydney-based provider of computer systems design services. Terms of the transaction were not disclosed.</v>
      </c>
    </row>
    <row r="1150">
      <c r="A1150" s="6" t="str">
        <v>023135</v>
      </c>
      <c r="B1150" s="6" t="str">
        <v>United States</v>
      </c>
      <c r="C1150" s="6" t="str">
        <v>Amazon.com Inc</v>
      </c>
      <c r="D1150" s="6" t="str">
        <v>Amazon.com Inc</v>
      </c>
      <c r="F1150" s="6" t="str">
        <v>Finland</v>
      </c>
      <c r="G1150" s="6" t="str">
        <v>Umbra Software Oy</v>
      </c>
      <c r="H1150" s="6" t="str">
        <v>Business Services</v>
      </c>
      <c r="I1150" s="6" t="str">
        <v>2L3368</v>
      </c>
      <c r="J1150" s="6" t="str">
        <v>Umbra Software Oy</v>
      </c>
      <c r="K1150" s="6" t="str">
        <v>Umbra Software Oy</v>
      </c>
      <c r="L1150" s="7">
        <f>=DATE(2021,1,22)</f>
        <v>44217.99949074074</v>
      </c>
      <c r="M1150" s="7">
        <f>=DATE(2021,1,22)</f>
        <v>44217.99949074074</v>
      </c>
      <c r="W1150" s="6" t="str">
        <v>Primary Business not Hi-Tech</v>
      </c>
      <c r="X1150" s="6" t="str">
        <v>Computer Consulting Services;Other Computer Related Svcs;Data Processing Services;Other Software (inq. Games)</v>
      </c>
      <c r="Y1150" s="6" t="str">
        <v>Computer Consulting Services;Data Processing Services;Other Software (inq. Games);Other Computer Related Svcs</v>
      </c>
      <c r="Z1150" s="6" t="str">
        <v>Other Computer Related Svcs;Data Processing Services;Computer Consulting Services;Other Software (inq. Games)</v>
      </c>
      <c r="AA1150" s="6" t="str">
        <v>Primary Business not Hi-Tech</v>
      </c>
      <c r="AB1150" s="6" t="str">
        <v>Primary Business not Hi-Tech</v>
      </c>
      <c r="AH1150" s="6" t="str">
        <v>False</v>
      </c>
      <c r="AI1150" s="6" t="str">
        <v>2021</v>
      </c>
      <c r="AJ1150" s="6" t="str">
        <v>Completed</v>
      </c>
      <c r="AM1150" s="6" t="str">
        <v>Not Applicable</v>
      </c>
      <c r="AO1150" s="6" t="str">
        <v>FINLAND - Amazon.com Inc of the US acquired Umbra Software Oy, a Helsinki-based software publisher.</v>
      </c>
    </row>
    <row r="1151">
      <c r="A1151" s="6" t="str">
        <v>67020Y</v>
      </c>
      <c r="B1151" s="6" t="str">
        <v>United States</v>
      </c>
      <c r="C1151" s="6" t="str">
        <v>Nuance Communications Inc</v>
      </c>
      <c r="D1151" s="6" t="str">
        <v>Nuance Communications Inc</v>
      </c>
      <c r="F1151" s="6" t="str">
        <v>United States</v>
      </c>
      <c r="G1151" s="6" t="str">
        <v>Saykara Inc</v>
      </c>
      <c r="H1151" s="6" t="str">
        <v>Business Services</v>
      </c>
      <c r="I1151" s="6" t="str">
        <v>6H8202</v>
      </c>
      <c r="J1151" s="6" t="str">
        <v>Saykara Inc</v>
      </c>
      <c r="K1151" s="6" t="str">
        <v>Saykara Inc</v>
      </c>
      <c r="L1151" s="7">
        <f>=DATE(2021,2,8)</f>
        <v>44234.99949074074</v>
      </c>
      <c r="M1151" s="7">
        <f>=DATE(2021,2,8)</f>
        <v>44234.99949074074</v>
      </c>
      <c r="W1151" s="6" t="str">
        <v>Computer Consulting Services;Programming Services;Other Software (inq. Games);Utilities/File Mgmt Software;Communication/Network Software;Desktop Publishing;Applications Software(Home);Applications Software(Business;Database Software/Programming;Networking Systems (LAN,WAN);Other Computer Related Svcs;Primary Business not Hi-Tech;Internet Services &amp; Software</v>
      </c>
      <c r="X1151" s="6" t="str">
        <v>Programming Services;Database Software/Programming</v>
      </c>
      <c r="Y1151" s="6" t="str">
        <v>Database Software/Programming;Programming Services</v>
      </c>
      <c r="Z1151" s="6" t="str">
        <v>Database Software/Programming;Programming Services</v>
      </c>
      <c r="AA1151" s="6" t="str">
        <v>Internet Services &amp; Software;Database Software/Programming;Primary Business not Hi-Tech;Applications Software(Business;Communication/Network Software;Computer Consulting Services;Utilities/File Mgmt Software;Applications Software(Home);Programming Services;Other Computer Related Svcs;Other Software (inq. Games);Desktop Publishing;Networking Systems (LAN,WAN)</v>
      </c>
      <c r="AB1151" s="6" t="str">
        <v>Other Software (inq. Games);Internet Services &amp; Software;Programming Services;Computer Consulting Services;Utilities/File Mgmt Software;Applications Software(Business;Applications Software(Home);Database Software/Programming;Communication/Network Software;Desktop Publishing;Primary Business not Hi-Tech;Other Computer Related Svcs;Networking Systems (LAN,WAN)</v>
      </c>
      <c r="AH1151" s="6" t="str">
        <v>False</v>
      </c>
      <c r="AI1151" s="6" t="str">
        <v>2021</v>
      </c>
      <c r="AJ1151" s="6" t="str">
        <v>Completed</v>
      </c>
      <c r="AM1151" s="6" t="str">
        <v>Financial Acquiror</v>
      </c>
      <c r="AO1151" s="6" t="str">
        <v>US - Nuance Communications Inc acquired Saykara Inc, a Seattle-based provider of voice and artificial intelligence-powered virtual assistant services.</v>
      </c>
    </row>
    <row r="1152">
      <c r="A1152" s="6" t="str">
        <v>594918</v>
      </c>
      <c r="B1152" s="6" t="str">
        <v>United States</v>
      </c>
      <c r="C1152" s="6" t="str">
        <v>Microsoft Corp</v>
      </c>
      <c r="D1152" s="6" t="str">
        <v>Microsoft Corp</v>
      </c>
      <c r="F1152" s="6" t="str">
        <v>United States</v>
      </c>
      <c r="G1152" s="6" t="str">
        <v>Pinterest Inc</v>
      </c>
      <c r="H1152" s="6" t="str">
        <v>Business Services</v>
      </c>
      <c r="I1152" s="6" t="str">
        <v>72352L</v>
      </c>
      <c r="J1152" s="6" t="str">
        <v>Pinterest Inc</v>
      </c>
      <c r="K1152" s="6" t="str">
        <v>Pinterest Inc</v>
      </c>
      <c r="L1152" s="7">
        <f>=DATE(2021,2,11)</f>
        <v>44237.99949074074</v>
      </c>
      <c r="R1152" s="8">
        <v>-128.323</v>
      </c>
      <c r="S1152" s="8">
        <v>1692.658</v>
      </c>
      <c r="T1152" s="8">
        <v>19.638</v>
      </c>
      <c r="U1152" s="8">
        <v>-47.623</v>
      </c>
      <c r="V1152" s="8">
        <v>28.826</v>
      </c>
      <c r="W1152" s="6" t="str">
        <v>Other Peripherals;Internet Services &amp; Software;Monitors/Terminals;Computer Consulting Services;Operating Systems;Applications Software(Business</v>
      </c>
      <c r="X1152" s="6" t="str">
        <v>Internet Services &amp; Software</v>
      </c>
      <c r="Y1152" s="6" t="str">
        <v>Internet Services &amp; Software</v>
      </c>
      <c r="Z1152" s="6" t="str">
        <v>Internet Services &amp; Software</v>
      </c>
      <c r="AA1152" s="6" t="str">
        <v>Operating Systems;Internet Services &amp; Software;Applications Software(Business;Computer Consulting Services;Other Peripherals;Monitors/Terminals</v>
      </c>
      <c r="AB1152" s="6" t="str">
        <v>Internet Services &amp; Software;Applications Software(Business;Other Peripherals;Monitors/Terminals;Operating Systems;Computer Consulting Services</v>
      </c>
      <c r="AH1152" s="6" t="str">
        <v>True</v>
      </c>
      <c r="AJ1152" s="6" t="str">
        <v>Dismissed Rumor</v>
      </c>
      <c r="AL1152" s="8">
        <v>628.514637</v>
      </c>
      <c r="AM1152" s="6" t="str">
        <v>Rumored Deal</v>
      </c>
      <c r="AN1152" s="8">
        <v>13.562</v>
      </c>
      <c r="AO1152" s="6" t="str">
        <v>US - Microsoft Corp was rumored to be planning to acquire entire share capital of Pinterest Inc, a San Francisco-based provider of online image sharing and social media services. The terms of the transaction were not disclosed, but according to sources close to the transaction, the value was estimated at USD 51 bil. The Current status of this deal is unknown.</v>
      </c>
    </row>
    <row r="1153">
      <c r="A1153" s="6" t="str">
        <v>73959W</v>
      </c>
      <c r="B1153" s="6" t="str">
        <v>United States</v>
      </c>
      <c r="C1153" s="6" t="str">
        <v>PowerSchool Group LLC</v>
      </c>
      <c r="D1153" s="6" t="str">
        <v>PowerSchool Holdings Inc</v>
      </c>
      <c r="F1153" s="6" t="str">
        <v>United States</v>
      </c>
      <c r="G1153" s="6" t="str">
        <v>Naviance Inc</v>
      </c>
      <c r="H1153" s="6" t="str">
        <v>Prepackaged Software</v>
      </c>
      <c r="I1153" s="6" t="str">
        <v>63931V</v>
      </c>
      <c r="J1153" s="6" t="str">
        <v>Rothermere Continuation Ltd</v>
      </c>
      <c r="K1153" s="6" t="str">
        <v>Hobsons EMT</v>
      </c>
      <c r="L1153" s="7">
        <f>=DATE(2021,2,18)</f>
        <v>44244.99949074074</v>
      </c>
      <c r="M1153" s="7">
        <f>=DATE(2021,3,3)</f>
        <v>44257.99949074074</v>
      </c>
      <c r="N1153" s="8">
        <v>320</v>
      </c>
      <c r="O1153" s="8">
        <v>320</v>
      </c>
      <c r="W1153" s="6" t="str">
        <v>Other Software (inq. Games)</v>
      </c>
      <c r="X1153" s="6" t="str">
        <v>Internet Services &amp; Software;Other Software (inq. Games)</v>
      </c>
      <c r="Y1153" s="6" t="str">
        <v>Applications Software(Business;Internet Services &amp; Software;Networking Systems (LAN,WAN)</v>
      </c>
      <c r="Z1153" s="6" t="str">
        <v>Satellite Communications;Microwave Communications</v>
      </c>
      <c r="AA1153" s="6" t="str">
        <v>Other Software (inq. Games);Utilities/File Mgmt Software;Internet Services &amp; Software;Communication/Network Software;Desktop Publishing;Primary Business not Hi-Tech;Applications Software(Business;Applications Software(Home)</v>
      </c>
      <c r="AB1153" s="6" t="str">
        <v>Internet Services &amp; Software;Applications Software(Business;Desktop Publishing;Utilities/File Mgmt Software;Other Software (inq. Games);Communication/Network Software;Applications Software(Home);Primary Business not Hi-Tech</v>
      </c>
      <c r="AC1153" s="8">
        <v>320</v>
      </c>
      <c r="AD1153" s="7">
        <f>=DATE(2021,2,18)</f>
        <v>44244.99949074074</v>
      </c>
      <c r="AH1153" s="6" t="str">
        <v>True</v>
      </c>
      <c r="AI1153" s="6" t="str">
        <v>2021</v>
      </c>
      <c r="AJ1153" s="6" t="str">
        <v>Completed</v>
      </c>
      <c r="AM1153" s="6" t="str">
        <v>Divestiture;Financial Acquiror</v>
      </c>
      <c r="AO1153" s="6" t="str">
        <v>US - PowerSchool Group LLC, a unit of Vista Equity Partners Management LLC, acquired Naviance Inc, a Cincinnati-based software publisher, from Hobsons EMT, owned by Hobsons Publishing PLC, for USD 320 mil. The transaction was to include the acquisition of the Intersect business.</v>
      </c>
    </row>
    <row r="1154">
      <c r="A1154" s="6" t="str">
        <v>594918</v>
      </c>
      <c r="B1154" s="6" t="str">
        <v>United States</v>
      </c>
      <c r="C1154" s="6" t="str">
        <v>Microsoft Corp</v>
      </c>
      <c r="D1154" s="6" t="str">
        <v>Microsoft Corp</v>
      </c>
      <c r="F1154" s="6" t="str">
        <v>United States</v>
      </c>
      <c r="G1154" s="6" t="str">
        <v>The Marsden Group Inc</v>
      </c>
      <c r="H1154" s="6" t="str">
        <v>Prepackaged Software</v>
      </c>
      <c r="I1154" s="6" t="str">
        <v>3L0818</v>
      </c>
      <c r="J1154" s="6" t="str">
        <v>The Marsden Group Inc</v>
      </c>
      <c r="K1154" s="6" t="str">
        <v>The Marsden Group Inc</v>
      </c>
      <c r="L1154" s="7">
        <f>=DATE(2021,3,16)</f>
        <v>44270.99949074074</v>
      </c>
      <c r="M1154" s="7">
        <f>=DATE(2021,3,16)</f>
        <v>44270.99949074074</v>
      </c>
      <c r="W1154" s="6" t="str">
        <v>Applications Software(Business;Internet Services &amp; Software;Other Peripherals;Monitors/Terminals;Computer Consulting Services;Operating Systems</v>
      </c>
      <c r="X1154" s="6" t="str">
        <v>Desktop Publishing;Internet Services &amp; Software;Applications Software(Home);Applications Software(Business;Utilities/File Mgmt Software;Database Software/Programming;Programming Services;Communication/Network Software;Other Software (inq. Games)</v>
      </c>
      <c r="Y1154" s="6" t="str">
        <v>Desktop Publishing;Internet Services &amp; Software;Programming Services;Other Software (inq. Games);Applications Software(Home);Database Software/Programming;Utilities/File Mgmt Software;Communication/Network Software;Applications Software(Business</v>
      </c>
      <c r="Z1154" s="6" t="str">
        <v>Other Software (inq. Games);Desktop Publishing;Programming Services;Utilities/File Mgmt Software;Communication/Network Software;Internet Services &amp; Software;Database Software/Programming;Applications Software(Home);Applications Software(Business</v>
      </c>
      <c r="AA1154" s="6" t="str">
        <v>Applications Software(Business;Operating Systems;Other Peripherals;Internet Services &amp; Software;Monitors/Terminals;Computer Consulting Services</v>
      </c>
      <c r="AB1154" s="6" t="str">
        <v>Operating Systems;Monitors/Terminals;Other Peripherals;Computer Consulting Services;Internet Services &amp; Software;Applications Software(Business</v>
      </c>
      <c r="AH1154" s="6" t="str">
        <v>False</v>
      </c>
      <c r="AI1154" s="6" t="str">
        <v>2021</v>
      </c>
      <c r="AJ1154" s="6" t="str">
        <v>Completed</v>
      </c>
      <c r="AM1154" s="6" t="str">
        <v>Not Applicable</v>
      </c>
      <c r="AO1154" s="6" t="str">
        <v>US - Microsoft Corp acquired The Marsden Group Inc, a Houston-based software publisher. Terms of the transaction were not disclosed.</v>
      </c>
    </row>
    <row r="1155">
      <c r="A1155" s="6" t="str">
        <v>023135</v>
      </c>
      <c r="B1155" s="6" t="str">
        <v>United States</v>
      </c>
      <c r="C1155" s="6" t="str">
        <v>Amazon.com Inc</v>
      </c>
      <c r="D1155" s="6" t="str">
        <v>Amazon.com Inc</v>
      </c>
      <c r="F1155" s="6" t="str">
        <v>United States</v>
      </c>
      <c r="G1155" s="6" t="str">
        <v>Inpher Inc</v>
      </c>
      <c r="H1155" s="6" t="str">
        <v>Prepackaged Software</v>
      </c>
      <c r="I1155" s="6" t="str">
        <v>5L9977</v>
      </c>
      <c r="J1155" s="6" t="str">
        <v>Inpher Inc</v>
      </c>
      <c r="K1155" s="6" t="str">
        <v>Inpher Inc</v>
      </c>
      <c r="L1155" s="7">
        <f>=DATE(2021,3,16)</f>
        <v>44270.99949074074</v>
      </c>
      <c r="M1155" s="7">
        <f>=DATE(2021,3,16)</f>
        <v>44270.99949074074</v>
      </c>
      <c r="W1155" s="6" t="str">
        <v>Primary Business not Hi-Tech</v>
      </c>
      <c r="X1155" s="6" t="str">
        <v>Desktop Publishing;Utilities/File Mgmt Software;Communication/Network Software;Other Software (inq. Games);Applications Software(Home);Applications Software(Business;Internet Services &amp; Software</v>
      </c>
      <c r="Y1155" s="6" t="str">
        <v>Internet Services &amp; Software;Applications Software(Home);Other Software (inq. Games);Desktop Publishing;Utilities/File Mgmt Software;Communication/Network Software;Applications Software(Business</v>
      </c>
      <c r="Z1155" s="6" t="str">
        <v>Applications Software(Home);Other Software (inq. Games);Internet Services &amp; Software;Communication/Network Software;Desktop Publishing;Applications Software(Business;Utilities/File Mgmt Software</v>
      </c>
      <c r="AA1155" s="6" t="str">
        <v>Primary Business not Hi-Tech</v>
      </c>
      <c r="AB1155" s="6" t="str">
        <v>Primary Business not Hi-Tech</v>
      </c>
      <c r="AD1155" s="7">
        <f>=DATE(2021,3,16)</f>
        <v>44270.99949074074</v>
      </c>
      <c r="AH1155" s="6" t="str">
        <v>False</v>
      </c>
      <c r="AI1155" s="6" t="str">
        <v>2021</v>
      </c>
      <c r="AJ1155" s="6" t="str">
        <v>Completed</v>
      </c>
      <c r="AM1155" s="6" t="str">
        <v>Financial Acquiror;Privately Negotiated Purchase</v>
      </c>
      <c r="AO1155" s="6" t="str">
        <v>US - Amazon.com Inc acquired an undisclosed minority stake in Inpher Inc, a New York-based software publisher, in a privately negotiated transaction.</v>
      </c>
    </row>
    <row r="1156">
      <c r="A1156" s="6" t="str">
        <v>594918</v>
      </c>
      <c r="B1156" s="6" t="str">
        <v>United States</v>
      </c>
      <c r="C1156" s="6" t="str">
        <v>Microsoft Corp</v>
      </c>
      <c r="D1156" s="6" t="str">
        <v>Microsoft Corp</v>
      </c>
      <c r="F1156" s="6" t="str">
        <v>United States</v>
      </c>
      <c r="G1156" s="6" t="str">
        <v>Discord Inc</v>
      </c>
      <c r="H1156" s="6" t="str">
        <v>Prepackaged Software</v>
      </c>
      <c r="I1156" s="6" t="str">
        <v>9F0002</v>
      </c>
      <c r="J1156" s="6" t="str">
        <v>Discord Inc</v>
      </c>
      <c r="K1156" s="6" t="str">
        <v>Discord Inc</v>
      </c>
      <c r="L1156" s="7">
        <f>=DATE(2021,3,23)</f>
        <v>44277.99949074074</v>
      </c>
      <c r="W1156" s="6" t="str">
        <v>Applications Software(Business;Internet Services &amp; Software;Operating Systems;Computer Consulting Services;Monitors/Terminals;Other Peripherals</v>
      </c>
      <c r="X1156" s="6" t="str">
        <v>Applications Software(Business</v>
      </c>
      <c r="Y1156" s="6" t="str">
        <v>Applications Software(Business</v>
      </c>
      <c r="Z1156" s="6" t="str">
        <v>Applications Software(Business</v>
      </c>
      <c r="AA1156" s="6" t="str">
        <v>Monitors/Terminals;Other Peripherals;Operating Systems;Computer Consulting Services;Internet Services &amp; Software;Applications Software(Business</v>
      </c>
      <c r="AB1156" s="6" t="str">
        <v>Monitors/Terminals;Applications Software(Business;Other Peripherals;Computer Consulting Services;Operating Systems;Internet Services &amp; Software</v>
      </c>
      <c r="AD1156" s="7">
        <f>=DATE(2021,3,22)</f>
        <v>44276.99949074074</v>
      </c>
      <c r="AH1156" s="6" t="str">
        <v>False</v>
      </c>
      <c r="AJ1156" s="6" t="str">
        <v>Dismissed Rumor</v>
      </c>
      <c r="AM1156" s="6" t="str">
        <v>Rumored Deal</v>
      </c>
      <c r="AO1156" s="6" t="str">
        <v>US - Microsoft Corp discontinued the rumors that it planned to acquire Discord Inc, a San Francisco-based internet service provider. The terms of the transaction were not disclosed, but according to sources close to the transaction, the value was estimated at USD 10 bil.</v>
      </c>
    </row>
    <row r="1157">
      <c r="A1157" s="6" t="str">
        <v>4L1459</v>
      </c>
      <c r="B1157" s="6" t="str">
        <v>United States</v>
      </c>
      <c r="C1157" s="6" t="str">
        <v>Amazon Technologies Inc</v>
      </c>
      <c r="D1157" s="6" t="str">
        <v>Amazon.com Inc</v>
      </c>
      <c r="F1157" s="6" t="str">
        <v>India</v>
      </c>
      <c r="G1157" s="6" t="str">
        <v>Delvit Solutions Pvt Ltd</v>
      </c>
      <c r="H1157" s="6" t="str">
        <v>Prepackaged Software</v>
      </c>
      <c r="I1157" s="6" t="str">
        <v>4L1438</v>
      </c>
      <c r="J1157" s="6" t="str">
        <v>Delvit Solutions Pvt Ltd</v>
      </c>
      <c r="K1157" s="6" t="str">
        <v>Delvit Solutions Pvt Ltd</v>
      </c>
      <c r="L1157" s="7">
        <f>=DATE(2021,3,31)</f>
        <v>44285.99949074074</v>
      </c>
      <c r="M1157" s="7">
        <f>=DATE(2021,3,31)</f>
        <v>44285.99949074074</v>
      </c>
      <c r="N1157" s="8">
        <v>14.6514161220044</v>
      </c>
      <c r="O1157" s="8">
        <v>14.6514161220044</v>
      </c>
      <c r="W1157" s="6" t="str">
        <v>Primary Business not Hi-Tech</v>
      </c>
      <c r="X1157" s="6" t="str">
        <v>Other Software (inq. Games);Applications Software(Home);Applications Software(Business;Internet Services &amp; Software;Communication/Network Software;Utilities/File Mgmt Software;Desktop Publishing</v>
      </c>
      <c r="Y1157" s="6" t="str">
        <v>Desktop Publishing;Applications Software(Home);Other Software (inq. Games);Utilities/File Mgmt Software;Communication/Network Software;Applications Software(Business;Internet Services &amp; Software</v>
      </c>
      <c r="Z1157" s="6" t="str">
        <v>Applications Software(Home);Applications Software(Business;Utilities/File Mgmt Software;Other Software (inq. Games);Internet Services &amp; Software;Desktop Publishing;Communication/Network Software</v>
      </c>
      <c r="AA1157" s="6" t="str">
        <v>Primary Business not Hi-Tech</v>
      </c>
      <c r="AB1157" s="6" t="str">
        <v>Primary Business not Hi-Tech</v>
      </c>
      <c r="AC1157" s="8">
        <v>14.6514161220044</v>
      </c>
      <c r="AD1157" s="7">
        <f>=DATE(2021,3,31)</f>
        <v>44285.99949074074</v>
      </c>
      <c r="AH1157" s="6" t="str">
        <v>False</v>
      </c>
      <c r="AI1157" s="6" t="str">
        <v>2021</v>
      </c>
      <c r="AJ1157" s="6" t="str">
        <v>Completed</v>
      </c>
      <c r="AM1157" s="6" t="str">
        <v>Not Applicable</v>
      </c>
      <c r="AO1157" s="6" t="str">
        <v>INDIA - Amazon Technologies Inc of the US, a unit of Amazon.com Inc, acquired Delvit Solutions Pvt Ltd, a Bengaluru-based software publisher, for a total INR 1.076 bil (USD 14.651 mil).</v>
      </c>
    </row>
    <row r="1158">
      <c r="A1158" s="6" t="str">
        <v>594918</v>
      </c>
      <c r="B1158" s="6" t="str">
        <v>United States</v>
      </c>
      <c r="C1158" s="6" t="str">
        <v>Microsoft Corp</v>
      </c>
      <c r="D1158" s="6" t="str">
        <v>Microsoft Corp</v>
      </c>
      <c r="F1158" s="6" t="str">
        <v>United States</v>
      </c>
      <c r="G1158" s="6" t="str">
        <v>Nuance Communications Inc</v>
      </c>
      <c r="H1158" s="6" t="str">
        <v>Prepackaged Software</v>
      </c>
      <c r="I1158" s="6" t="str">
        <v>67020Y</v>
      </c>
      <c r="J1158" s="6" t="str">
        <v>Nuance Communications Inc</v>
      </c>
      <c r="K1158" s="6" t="str">
        <v>Nuance Communications Inc</v>
      </c>
      <c r="L1158" s="7">
        <f>=DATE(2021,4,12)</f>
        <v>44297.99949074074</v>
      </c>
      <c r="M1158" s="7">
        <f>=DATE(2022,3,4)</f>
        <v>44623.99949074074</v>
      </c>
      <c r="N1158" s="8">
        <v>16351.497</v>
      </c>
      <c r="O1158" s="8">
        <v>16351.497</v>
      </c>
      <c r="P1158" s="8" t="str">
        <v>17,498.08</v>
      </c>
      <c r="R1158" s="8">
        <v>7.103</v>
      </c>
      <c r="S1158" s="8">
        <v>1384.059</v>
      </c>
      <c r="T1158" s="8">
        <v>-283.142</v>
      </c>
      <c r="U1158" s="8">
        <v>-41.513</v>
      </c>
      <c r="V1158" s="8">
        <v>262.753</v>
      </c>
      <c r="W1158" s="6" t="str">
        <v>Applications Software(Business;Computer Consulting Services;Internet Services &amp; Software;Monitors/Terminals;Operating Systems;Other Peripherals</v>
      </c>
      <c r="X1158" s="6" t="str">
        <v>Applications Software(Home);Utilities/File Mgmt Software;Communication/Network Software;Networking Systems (LAN,WAN);Desktop Publishing;Computer Consulting Services;Other Computer Related Svcs;Primary Business not Hi-Tech;Internet Services &amp; Software;Applications Software(Business;Programming Services;Database Software/Programming;Other Software (inq. Games)</v>
      </c>
      <c r="Y1158" s="6" t="str">
        <v>Communication/Network Software;Applications Software(Business;Database Software/Programming;Utilities/File Mgmt Software;Primary Business not Hi-Tech;Other Software (inq. Games);Internet Services &amp; Software;Applications Software(Home);Programming Services;Computer Consulting Services;Other Computer Related Svcs;Desktop Publishing;Networking Systems (LAN,WAN)</v>
      </c>
      <c r="Z1158" s="6" t="str">
        <v>Programming Services;Desktop Publishing;Utilities/File Mgmt Software;Database Software/Programming;Other Computer Related Svcs;Internet Services &amp; Software;Other Software (inq. Games);Applications Software(Home);Computer Consulting Services;Primary Business not Hi-Tech;Networking Systems (LAN,WAN);Applications Software(Business;Communication/Network Software</v>
      </c>
      <c r="AA1158" s="6" t="str">
        <v>Operating Systems;Other Peripherals;Internet Services &amp; Software;Applications Software(Business;Monitors/Terminals;Computer Consulting Services</v>
      </c>
      <c r="AB1158" s="6" t="str">
        <v>Monitors/Terminals;Internet Services &amp; Software;Applications Software(Business;Other Peripherals;Computer Consulting Services;Operating Systems</v>
      </c>
      <c r="AC1158" s="8">
        <v>16351.497</v>
      </c>
      <c r="AD1158" s="7">
        <f>=DATE(2021,4,12)</f>
        <v>44297.99949074074</v>
      </c>
      <c r="AE1158" s="8">
        <v>16512.21572</v>
      </c>
      <c r="AF1158" s="8" t="str">
        <v>17,498.58</v>
      </c>
      <c r="AG1158" s="8" t="str">
        <v>17,498.08</v>
      </c>
      <c r="AH1158" s="6" t="str">
        <v>True</v>
      </c>
      <c r="AI1158" s="6" t="str">
        <v>2022</v>
      </c>
      <c r="AJ1158" s="6" t="str">
        <v>Completed</v>
      </c>
      <c r="AK1158" s="8">
        <v>16512.21572</v>
      </c>
      <c r="AL1158" s="8">
        <v>294.860995</v>
      </c>
      <c r="AM1158" s="6" t="str">
        <v>Rumored Deal</v>
      </c>
      <c r="AN1158" s="8">
        <v>2311.592</v>
      </c>
      <c r="AO1158" s="6" t="str">
        <v>US - Microsoft Corp acquired the entire share capital of Nuance Communications Inc (NCI), a Burlington-based software publisher, for USD 56 in cash per share, or a total value of USD 16.351 bil. Originally, in June 2014, NCI was rumored to be seeking a buyer for the entire share capital of the company. Samsung Electronics Co Ltd of the South Korea and Microsoft Corp were rumored as potential bidders.</v>
      </c>
    </row>
    <row r="1159">
      <c r="A1159" s="6" t="str">
        <v>1J8766</v>
      </c>
      <c r="B1159" s="6" t="str">
        <v>United States</v>
      </c>
      <c r="C1159" s="6" t="str">
        <v>Gradient Ventures LLC</v>
      </c>
      <c r="D1159" s="6" t="str">
        <v>Alphabet Inc</v>
      </c>
      <c r="F1159" s="6" t="str">
        <v>Canada</v>
      </c>
      <c r="G1159" s="6" t="str">
        <v>Techdrop Labs Inc</v>
      </c>
      <c r="H1159" s="6" t="str">
        <v>Prepackaged Software</v>
      </c>
      <c r="I1159" s="6" t="str">
        <v>6L7006</v>
      </c>
      <c r="J1159" s="6" t="str">
        <v>Techdrop Labs Inc</v>
      </c>
      <c r="K1159" s="6" t="str">
        <v>Techdrop Labs Inc</v>
      </c>
      <c r="L1159" s="7">
        <f>=DATE(2021,4,16)</f>
        <v>44301.99949074074</v>
      </c>
      <c r="M1159" s="7">
        <f>=DATE(2021,4,16)</f>
        <v>44301.99949074074</v>
      </c>
      <c r="W1159" s="6" t="str">
        <v>Primary Business not Hi-Tech</v>
      </c>
      <c r="X1159" s="6" t="str">
        <v>Other Software (inq. Games)</v>
      </c>
      <c r="Y1159" s="6" t="str">
        <v>Other Software (inq. Games)</v>
      </c>
      <c r="Z1159" s="6" t="str">
        <v>Other Software (inq. Games)</v>
      </c>
      <c r="AA1159" s="6" t="str">
        <v>Programming Services;Internet Services &amp; Software</v>
      </c>
      <c r="AB1159" s="6" t="str">
        <v>Primary Business not Hi-Tech;Internet Services &amp; Software;Computer Consulting Services;Telecommunications Equipment;Programming Services</v>
      </c>
      <c r="AH1159" s="6" t="str">
        <v>False</v>
      </c>
      <c r="AI1159" s="6" t="str">
        <v>2021</v>
      </c>
      <c r="AJ1159" s="6" t="str">
        <v>Completed</v>
      </c>
      <c r="AM1159" s="6" t="str">
        <v>Privately Negotiated Purchase;Financial Acquiror</v>
      </c>
      <c r="AO1159" s="6" t="str">
        <v>CANADA - Gradient Ventures LLC of the US, a unit of Google Inc, acquired an undisclosed minority stake in Techdrop Labs Inc, a Victoria-based software publisher, in a privately negotiated transaction.</v>
      </c>
    </row>
    <row r="1160">
      <c r="A1160" s="6" t="str">
        <v>594918</v>
      </c>
      <c r="B1160" s="6" t="str">
        <v>United States</v>
      </c>
      <c r="C1160" s="6" t="str">
        <v>Microsoft Corp</v>
      </c>
      <c r="D1160" s="6" t="str">
        <v>Microsoft Corp</v>
      </c>
      <c r="F1160" s="6" t="str">
        <v>Germany</v>
      </c>
      <c r="G1160" s="6" t="str">
        <v>Kinvolk GmbH</v>
      </c>
      <c r="H1160" s="6" t="str">
        <v>Business Services</v>
      </c>
      <c r="I1160" s="6" t="str">
        <v>4L6392</v>
      </c>
      <c r="J1160" s="6" t="str">
        <v>Kinvolk GmbH</v>
      </c>
      <c r="K1160" s="6" t="str">
        <v>Kinvolk GmbH</v>
      </c>
      <c r="L1160" s="7">
        <f>=DATE(2021,4,29)</f>
        <v>44314.99949074074</v>
      </c>
      <c r="W1160" s="6" t="str">
        <v>Operating Systems;Computer Consulting Services;Other Peripherals;Applications Software(Business;Internet Services &amp; Software;Monitors/Terminals</v>
      </c>
      <c r="X1160" s="6" t="str">
        <v>Other Computer Related Svcs;Data Processing Services;Computer Consulting Services;Other Software (inq. Games)</v>
      </c>
      <c r="Y1160" s="6" t="str">
        <v>Computer Consulting Services;Other Computer Related Svcs;Data Processing Services;Other Software (inq. Games)</v>
      </c>
      <c r="Z1160" s="6" t="str">
        <v>Other Computer Related Svcs;Computer Consulting Services;Other Software (inq. Games);Data Processing Services</v>
      </c>
      <c r="AA1160" s="6" t="str">
        <v>Computer Consulting Services;Applications Software(Business;Internet Services &amp; Software;Monitors/Terminals;Operating Systems;Other Peripherals</v>
      </c>
      <c r="AB1160" s="6" t="str">
        <v>Computer Consulting Services;Monitors/Terminals;Applications Software(Business;Other Peripherals;Internet Services &amp; Software;Operating Systems</v>
      </c>
      <c r="AH1160" s="6" t="str">
        <v>True</v>
      </c>
      <c r="AJ1160" s="6" t="str">
        <v>Pending</v>
      </c>
      <c r="AM1160" s="6" t="str">
        <v>Not Applicable</v>
      </c>
      <c r="AO1160" s="6" t="str">
        <v>GERMANY - Microsoft Corp of the US planned to acquire Kinvolk GmbH, a Berlin-based software publisher. Terms were not disclosed.</v>
      </c>
    </row>
    <row r="1161">
      <c r="A1161" s="6" t="str">
        <v>8J8006</v>
      </c>
      <c r="B1161" s="6" t="str">
        <v>United States</v>
      </c>
      <c r="C1161" s="6" t="str">
        <v>Facebook Technologies Inc</v>
      </c>
      <c r="D1161" s="6" t="str">
        <v>Facebook Inc</v>
      </c>
      <c r="F1161" s="6" t="str">
        <v>United States</v>
      </c>
      <c r="G1161" s="6" t="str">
        <v>Downpour Interactive LLC</v>
      </c>
      <c r="H1161" s="6" t="str">
        <v>Prepackaged Software</v>
      </c>
      <c r="I1161" s="6" t="str">
        <v>6L3761</v>
      </c>
      <c r="J1161" s="6" t="str">
        <v>Downpour Interactive LLC</v>
      </c>
      <c r="K1161" s="6" t="str">
        <v>Downpour Interactive LLC</v>
      </c>
      <c r="L1161" s="7">
        <f>=DATE(2021,4,30)</f>
        <v>44315.99949074074</v>
      </c>
      <c r="M1161" s="7">
        <f>=DATE(2021,4,30)</f>
        <v>44315.99949074074</v>
      </c>
      <c r="W1161" s="6" t="str">
        <v>Applications Software(Home);Communication/Network Software;Programming Services;Applications Software(Business</v>
      </c>
      <c r="X1161" s="6" t="str">
        <v>Other Software (inq. Games)</v>
      </c>
      <c r="Y1161" s="6" t="str">
        <v>Other Software (inq. Games)</v>
      </c>
      <c r="Z1161" s="6" t="str">
        <v>Other Software (inq. Games)</v>
      </c>
      <c r="AA1161" s="6" t="str">
        <v>Internet Services &amp; Software</v>
      </c>
      <c r="AB1161" s="6" t="str">
        <v>Internet Services &amp; Software</v>
      </c>
      <c r="AH1161" s="6" t="str">
        <v>False</v>
      </c>
      <c r="AI1161" s="6" t="str">
        <v>2021</v>
      </c>
      <c r="AJ1161" s="6" t="str">
        <v>Completed</v>
      </c>
      <c r="AM1161" s="6" t="str">
        <v>Financial Acquiror</v>
      </c>
      <c r="AO1161" s="6" t="str">
        <v>US - Facebook Technologies Inc, a unit of Facebook Inc, acquired Downpour Interactive LLC, a Hope Mills-based video game developer.</v>
      </c>
    </row>
    <row r="1162">
      <c r="A1162" s="6" t="str">
        <v>037833</v>
      </c>
      <c r="B1162" s="6" t="str">
        <v>United States</v>
      </c>
      <c r="C1162" s="6" t="str">
        <v>Apple Inc</v>
      </c>
      <c r="D1162" s="6" t="str">
        <v>Apple Inc</v>
      </c>
      <c r="F1162" s="6" t="str">
        <v>United States</v>
      </c>
      <c r="G1162" s="6" t="str">
        <v>Apple Inc</v>
      </c>
      <c r="H1162" s="6" t="str">
        <v>Computer and Office Equipment</v>
      </c>
      <c r="I1162" s="6" t="str">
        <v>037833</v>
      </c>
      <c r="J1162" s="6" t="str">
        <v>Apple Inc</v>
      </c>
      <c r="K1162" s="6" t="str">
        <v>Apple Inc</v>
      </c>
      <c r="L1162" s="7">
        <f>=DATE(2021,5,1)</f>
        <v>44316.99949074074</v>
      </c>
      <c r="M1162" s="7">
        <f>=DATE(2021,8,28)</f>
        <v>44435.99949074074</v>
      </c>
      <c r="N1162" s="8">
        <v>5000</v>
      </c>
      <c r="O1162" s="8">
        <v>5000</v>
      </c>
      <c r="P1162" s="8" t="str">
        <v>653,801.97</v>
      </c>
      <c r="R1162" s="8">
        <v>76311</v>
      </c>
      <c r="S1162" s="8">
        <v>325406</v>
      </c>
      <c r="T1162" s="8">
        <v>-84048</v>
      </c>
      <c r="U1162" s="8">
        <v>-18586</v>
      </c>
      <c r="V1162" s="8">
        <v>99591</v>
      </c>
      <c r="W1162" s="6" t="str">
        <v>Other Peripherals;Mainframes &amp; Super Computers;Printers;Other Software (inq. Games);Micro-Computers (PCs);Disk Drives;Monitors/Terminals;Portable Computers</v>
      </c>
      <c r="X1162" s="6" t="str">
        <v>Portable Computers;Other Software (inq. Games);Other Peripherals;Disk Drives;Printers;Monitors/Terminals;Micro-Computers (PCs);Mainframes &amp; Super Computers</v>
      </c>
      <c r="Y1162" s="6" t="str">
        <v>Portable Computers;Micro-Computers (PCs);Mainframes &amp; Super Computers;Printers;Monitors/Terminals;Other Software (inq. Games);Other Peripherals;Disk Drives</v>
      </c>
      <c r="Z1162" s="6" t="str">
        <v>Other Software (inq. Games);Portable Computers;Printers;Disk Drives;Monitors/Terminals;Other Peripherals;Mainframes &amp; Super Computers;Micro-Computers (PCs)</v>
      </c>
      <c r="AA1162" s="6" t="str">
        <v>Micro-Computers (PCs);Disk Drives;Monitors/Terminals;Other Software (inq. Games);Mainframes &amp; Super Computers;Other Peripherals;Portable Computers;Printers</v>
      </c>
      <c r="AB1162" s="6" t="str">
        <v>Mainframes &amp; Super Computers;Printers;Monitors/Terminals;Portable Computers;Micro-Computers (PCs);Other Software (inq. Games);Disk Drives;Other Peripherals</v>
      </c>
      <c r="AC1162" s="8">
        <v>5000</v>
      </c>
      <c r="AD1162" s="7">
        <f>=DATE(2021,5,1)</f>
        <v>44316.99949074074</v>
      </c>
      <c r="AF1162" s="8" t="str">
        <v>653,801.97</v>
      </c>
      <c r="AG1162" s="8" t="str">
        <v>653,801.97</v>
      </c>
      <c r="AH1162" s="6" t="str">
        <v>True</v>
      </c>
      <c r="AI1162" s="6" t="str">
        <v>2021</v>
      </c>
      <c r="AJ1162" s="6" t="str">
        <v>Completed</v>
      </c>
      <c r="AL1162" s="8">
        <v>36</v>
      </c>
      <c r="AM1162" s="6" t="str">
        <v>Open Market Purchase;Repurchase</v>
      </c>
      <c r="AO1162" s="6" t="str">
        <v>US - On 28 August 2021, the board of Apple Inc, a Cupertino-based manufacturer and wholesaler of mobile communication and media devices, completed the repurchase of USD 4.921 mil of the company's entire share capital, in an accelerated buyback transaction.</v>
      </c>
    </row>
    <row r="1163">
      <c r="A1163" s="6" t="str">
        <v>7J8440</v>
      </c>
      <c r="B1163" s="6" t="str">
        <v>United States</v>
      </c>
      <c r="C1163" s="6" t="str">
        <v>Google LLC</v>
      </c>
      <c r="D1163" s="6" t="str">
        <v>Alphabet Inc</v>
      </c>
      <c r="F1163" s="6" t="str">
        <v>United States</v>
      </c>
      <c r="G1163" s="6" t="str">
        <v>Provino Technologies Inc</v>
      </c>
      <c r="H1163" s="6" t="str">
        <v>Business Services</v>
      </c>
      <c r="I1163" s="6" t="str">
        <v>6L4001</v>
      </c>
      <c r="J1163" s="6" t="str">
        <v>Provino Technologies Inc</v>
      </c>
      <c r="K1163" s="6" t="str">
        <v>Provino Technologies Inc</v>
      </c>
      <c r="L1163" s="7">
        <f>=DATE(2021,5,13)</f>
        <v>44328.99949074074</v>
      </c>
      <c r="M1163" s="7">
        <f>=DATE(2021,5,13)</f>
        <v>44328.99949074074</v>
      </c>
      <c r="W1163" s="6" t="str">
        <v>Internet Services &amp; Software;Programming Services</v>
      </c>
      <c r="X1163" s="6" t="str">
        <v>Database Software/Programming;Programming Services;Other Computer Related Svcs</v>
      </c>
      <c r="Y1163" s="6" t="str">
        <v>Other Computer Related Svcs;Database Software/Programming;Programming Services</v>
      </c>
      <c r="Z1163" s="6" t="str">
        <v>Other Computer Related Svcs;Database Software/Programming;Programming Services</v>
      </c>
      <c r="AA1163" s="6" t="str">
        <v>Computer Consulting Services;Telecommunications Equipment;Programming Services;Primary Business not Hi-Tech;Internet Services &amp; Software</v>
      </c>
      <c r="AB1163" s="6" t="str">
        <v>Computer Consulting Services;Programming Services;Telecommunications Equipment;Primary Business not Hi-Tech;Internet Services &amp; Software</v>
      </c>
      <c r="AH1163" s="6" t="str">
        <v>False</v>
      </c>
      <c r="AI1163" s="6" t="str">
        <v>2021</v>
      </c>
      <c r="AJ1163" s="6" t="str">
        <v>Completed</v>
      </c>
      <c r="AM1163" s="6" t="str">
        <v>Rumored Deal</v>
      </c>
      <c r="AO1163" s="6" t="str">
        <v>US - Google LLC (Google), a unit of Alphabet Inc, acquired Provino Technologies Inc (Provino Technologies), a Santa Clara-based provider of custom computer programming services. Terms were not disclosed. Originally, in May 2021, Google was rumored to be planning to acquire Provino Technologies.</v>
      </c>
    </row>
    <row r="1164">
      <c r="A1164" s="6" t="str">
        <v>594918</v>
      </c>
      <c r="B1164" s="6" t="str">
        <v>United States</v>
      </c>
      <c r="C1164" s="6" t="str">
        <v>Microsoft Corp</v>
      </c>
      <c r="D1164" s="6" t="str">
        <v>Microsoft Corp</v>
      </c>
      <c r="F1164" s="6" t="str">
        <v>United States</v>
      </c>
      <c r="G1164" s="6" t="str">
        <v>ReFirm Labs Inc</v>
      </c>
      <c r="H1164" s="6" t="str">
        <v>Prepackaged Software</v>
      </c>
      <c r="I1164" s="6" t="str">
        <v>5K4338</v>
      </c>
      <c r="J1164" s="6" t="str">
        <v>ReFirm Labs Inc</v>
      </c>
      <c r="K1164" s="6" t="str">
        <v>ReFirm Labs Inc</v>
      </c>
      <c r="L1164" s="7">
        <f>=DATE(2021,6,2)</f>
        <v>44348.99949074074</v>
      </c>
      <c r="M1164" s="7">
        <f>=DATE(2021,6,2)</f>
        <v>44348.99949074074</v>
      </c>
      <c r="W1164" s="6" t="str">
        <v>Other Peripherals;Computer Consulting Services;Applications Software(Business;Internet Services &amp; Software;Monitors/Terminals;Operating Systems</v>
      </c>
      <c r="X1164" s="6" t="str">
        <v>Applications Software(Home);Desktop Publishing;Applications Software(Business;Utilities/File Mgmt Software;Communication/Network Software;Internet Services &amp; Software;Other Software (inq. Games)</v>
      </c>
      <c r="Y1164" s="6" t="str">
        <v>Internet Services &amp; Software;Applications Software(Business;Other Software (inq. Games);Desktop Publishing;Communication/Network Software;Utilities/File Mgmt Software;Applications Software(Home)</v>
      </c>
      <c r="Z1164" s="6" t="str">
        <v>Other Software (inq. Games);Utilities/File Mgmt Software;Communication/Network Software;Internet Services &amp; Software;Desktop Publishing;Applications Software(Home);Applications Software(Business</v>
      </c>
      <c r="AA1164" s="6" t="str">
        <v>Computer Consulting Services;Internet Services &amp; Software;Applications Software(Business;Monitors/Terminals;Operating Systems;Other Peripherals</v>
      </c>
      <c r="AB1164" s="6" t="str">
        <v>Internet Services &amp; Software;Applications Software(Business;Monitors/Terminals;Computer Consulting Services;Operating Systems;Other Peripherals</v>
      </c>
      <c r="AH1164" s="6" t="str">
        <v>False</v>
      </c>
      <c r="AI1164" s="6" t="str">
        <v>2021</v>
      </c>
      <c r="AJ1164" s="6" t="str">
        <v>Completed</v>
      </c>
      <c r="AM1164" s="6" t="str">
        <v>Not Applicable</v>
      </c>
      <c r="AO1164" s="6" t="str">
        <v>US - Microsoft Corp acquired ReFirm Labs Inc, a Fulton-based software publisher.</v>
      </c>
    </row>
    <row r="1165">
      <c r="A1165" s="6" t="str">
        <v>30303M</v>
      </c>
      <c r="B1165" s="6" t="str">
        <v>United States</v>
      </c>
      <c r="C1165" s="6" t="str">
        <v>Facebook Inc</v>
      </c>
      <c r="D1165" s="6" t="str">
        <v>Facebook Inc</v>
      </c>
      <c r="F1165" s="6" t="str">
        <v>United Kingdom</v>
      </c>
      <c r="G1165" s="6" t="str">
        <v>Unit 2 Games Ltd</v>
      </c>
      <c r="H1165" s="6" t="str">
        <v>Wholesale Trade-Durable Goods</v>
      </c>
      <c r="I1165" s="6" t="str">
        <v>6L2317</v>
      </c>
      <c r="J1165" s="6" t="str">
        <v>Unit 2 Games Ltd</v>
      </c>
      <c r="K1165" s="6" t="str">
        <v>Unit 2 Games Ltd</v>
      </c>
      <c r="L1165" s="7">
        <f>=DATE(2021,6,4)</f>
        <v>44350.99949074074</v>
      </c>
      <c r="M1165" s="7">
        <f>=DATE(2021,6,4)</f>
        <v>44350.99949074074</v>
      </c>
      <c r="W1165" s="6" t="str">
        <v>Internet Services &amp; Software</v>
      </c>
      <c r="X1165" s="6" t="str">
        <v>Primary Business not Hi-Tech;Other Computer Related Svcs</v>
      </c>
      <c r="Y1165" s="6" t="str">
        <v>Other Computer Related Svcs;Primary Business not Hi-Tech</v>
      </c>
      <c r="Z1165" s="6" t="str">
        <v>Other Computer Related Svcs;Primary Business not Hi-Tech</v>
      </c>
      <c r="AA1165" s="6" t="str">
        <v>Internet Services &amp; Software</v>
      </c>
      <c r="AB1165" s="6" t="str">
        <v>Internet Services &amp; Software</v>
      </c>
      <c r="AH1165" s="6" t="str">
        <v>True</v>
      </c>
      <c r="AI1165" s="6" t="str">
        <v>2021</v>
      </c>
      <c r="AJ1165" s="6" t="str">
        <v>Completed</v>
      </c>
      <c r="AM1165" s="6" t="str">
        <v>Financial Acquiror</v>
      </c>
      <c r="AO1165" s="6" t="str">
        <v>UK - Facebook Inc of the US acquired Unit 2 Games Ltd, computer and software retailer.</v>
      </c>
    </row>
    <row r="1166">
      <c r="A1166" s="6" t="str">
        <v>8J8006</v>
      </c>
      <c r="B1166" s="6" t="str">
        <v>United States</v>
      </c>
      <c r="C1166" s="6" t="str">
        <v>Facebook Technologies Inc</v>
      </c>
      <c r="D1166" s="6" t="str">
        <v>Facebook Inc</v>
      </c>
      <c r="F1166" s="6" t="str">
        <v>United States</v>
      </c>
      <c r="G1166" s="6" t="str">
        <v>BigBox VR Inc</v>
      </c>
      <c r="H1166" s="6" t="str">
        <v>Prepackaged Software</v>
      </c>
      <c r="I1166" s="6" t="str">
        <v>6L3725</v>
      </c>
      <c r="J1166" s="6" t="str">
        <v>BigBox VR Inc</v>
      </c>
      <c r="K1166" s="6" t="str">
        <v>BigBox VR Inc</v>
      </c>
      <c r="L1166" s="7">
        <f>=DATE(2021,6,11)</f>
        <v>44357.99949074074</v>
      </c>
      <c r="M1166" s="7">
        <f>=DATE(2021,6,11)</f>
        <v>44357.99949074074</v>
      </c>
      <c r="W1166" s="6" t="str">
        <v>Programming Services;Communication/Network Software;Applications Software(Home);Applications Software(Business</v>
      </c>
      <c r="X1166" s="6" t="str">
        <v>Other Computer Related Svcs;Desktop Publishing;Other Software (inq. Games)</v>
      </c>
      <c r="Y1166" s="6" t="str">
        <v>Other Computer Related Svcs;Other Software (inq. Games);Desktop Publishing</v>
      </c>
      <c r="Z1166" s="6" t="str">
        <v>Desktop Publishing;Other Software (inq. Games);Other Computer Related Svcs</v>
      </c>
      <c r="AA1166" s="6" t="str">
        <v>Internet Services &amp; Software</v>
      </c>
      <c r="AB1166" s="6" t="str">
        <v>Internet Services &amp; Software</v>
      </c>
      <c r="AH1166" s="6" t="str">
        <v>False</v>
      </c>
      <c r="AI1166" s="6" t="str">
        <v>2021</v>
      </c>
      <c r="AJ1166" s="6" t="str">
        <v>Completed</v>
      </c>
      <c r="AM1166" s="6" t="str">
        <v>Financial Acquiror</v>
      </c>
      <c r="AO1166" s="6" t="str">
        <v>US - Facebook Technologies Inc, a unit of Facebook Inc, acquired BigBox VR Inc, a Seattle-based video game developer.</v>
      </c>
    </row>
    <row r="1167">
      <c r="A1167" s="6" t="str">
        <v>023135</v>
      </c>
      <c r="B1167" s="6" t="str">
        <v>United States</v>
      </c>
      <c r="C1167" s="6" t="str">
        <v>Amazon.com Inc</v>
      </c>
      <c r="D1167" s="6" t="str">
        <v>Amazon.com Inc</v>
      </c>
      <c r="F1167" s="6" t="str">
        <v>United States</v>
      </c>
      <c r="G1167" s="6" t="str">
        <v>Plus Inc</v>
      </c>
      <c r="H1167" s="6" t="str">
        <v>Prepackaged Software</v>
      </c>
      <c r="I1167" s="6" t="str">
        <v>6J5221</v>
      </c>
      <c r="J1167" s="6" t="str">
        <v>Plus Inc</v>
      </c>
      <c r="K1167" s="6" t="str">
        <v>Plus Inc</v>
      </c>
      <c r="L1167" s="7">
        <f>=DATE(2021,6,22)</f>
        <v>44368.99949074074</v>
      </c>
      <c r="W1167" s="6" t="str">
        <v>Primary Business not Hi-Tech</v>
      </c>
      <c r="X1167" s="6" t="str">
        <v>Defense Related;Applications Software(Business;Communication/Network Software;Other Software (inq. Games);Primary Business not Hi-Tech;Desktop Publishing;Internet Services &amp; Software;Applications Software(Home);Utilities/File Mgmt Software</v>
      </c>
      <c r="Y1167" s="6" t="str">
        <v>Desktop Publishing;Applications Software(Business;Communication/Network Software;Utilities/File Mgmt Software;Other Software (inq. Games);Defense Related;Internet Services &amp; Software;Applications Software(Home);Primary Business not Hi-Tech</v>
      </c>
      <c r="Z1167" s="6" t="str">
        <v>Other Software (inq. Games);Desktop Publishing;Defense Related;Utilities/File Mgmt Software;Applications Software(Business;Internet Services &amp; Software;Primary Business not Hi-Tech;Applications Software(Home);Communication/Network Software</v>
      </c>
      <c r="AA1167" s="6" t="str">
        <v>Primary Business not Hi-Tech</v>
      </c>
      <c r="AB1167" s="6" t="str">
        <v>Primary Business not Hi-Tech</v>
      </c>
      <c r="AH1167" s="6" t="str">
        <v>False</v>
      </c>
      <c r="AJ1167" s="6" t="str">
        <v>Dismissed Rumor</v>
      </c>
      <c r="AM1167" s="6" t="str">
        <v>Rumored Deal</v>
      </c>
      <c r="AO1167" s="6" t="str">
        <v>US - Amazon.com Inc was rumored to be planning to acquire a 20% stake in Plus Inc, a Cupertino-based software publisher. The Current status of this deal is unknown.</v>
      </c>
    </row>
    <row r="1168">
      <c r="A1168" s="6" t="str">
        <v>4C7902</v>
      </c>
      <c r="B1168" s="6" t="str">
        <v>United States</v>
      </c>
      <c r="C1168" s="6" t="str">
        <v>Amazon Web Services Inc</v>
      </c>
      <c r="D1168" s="6" t="str">
        <v>Amazon.com Inc</v>
      </c>
      <c r="F1168" s="6" t="str">
        <v>United States</v>
      </c>
      <c r="G1168" s="6" t="str">
        <v>Wickr Inc</v>
      </c>
      <c r="H1168" s="6" t="str">
        <v>Prepackaged Software</v>
      </c>
      <c r="I1168" s="6" t="str">
        <v>5E5574</v>
      </c>
      <c r="J1168" s="6" t="str">
        <v>Wickr Inc</v>
      </c>
      <c r="K1168" s="6" t="str">
        <v>Wickr Inc</v>
      </c>
      <c r="L1168" s="7">
        <f>=DATE(2021,6,25)</f>
        <v>44371.99949074074</v>
      </c>
      <c r="M1168" s="7">
        <f>=DATE(2021,6,25)</f>
        <v>44371.99949074074</v>
      </c>
      <c r="W1168" s="6" t="str">
        <v>Internet Services &amp; Software;Primary Business not Hi-Tech;Other Computer Related Svcs;Data Processing Services;Computer Consulting Services</v>
      </c>
      <c r="X1168" s="6" t="str">
        <v>Applications Software(Business;Applications Software(Home);Communication/Network Software</v>
      </c>
      <c r="Y1168" s="6" t="str">
        <v>Applications Software(Business;Communication/Network Software;Applications Software(Home)</v>
      </c>
      <c r="Z1168" s="6" t="str">
        <v>Applications Software(Business;Applications Software(Home);Communication/Network Software</v>
      </c>
      <c r="AA1168" s="6" t="str">
        <v>Primary Business not Hi-Tech</v>
      </c>
      <c r="AB1168" s="6" t="str">
        <v>Primary Business not Hi-Tech</v>
      </c>
      <c r="AH1168" s="6" t="str">
        <v>False</v>
      </c>
      <c r="AI1168" s="6" t="str">
        <v>2021</v>
      </c>
      <c r="AJ1168" s="6" t="str">
        <v>Completed</v>
      </c>
      <c r="AM1168" s="6" t="str">
        <v>Not Applicable</v>
      </c>
      <c r="AO1168" s="6" t="str">
        <v>US - Amazon Web Services Inc, a unit of Amazon.com Inc, acquired the entire share capital of Wickr Inc, a New York-based reproducer of software. Terms were not disclosed.</v>
      </c>
    </row>
    <row r="1169">
      <c r="A1169" s="6" t="str">
        <v>6K8017</v>
      </c>
      <c r="B1169" s="6" t="str">
        <v>United States</v>
      </c>
      <c r="C1169" s="6" t="str">
        <v>Amazon.com Inc-Music</v>
      </c>
      <c r="D1169" s="6" t="str">
        <v>Amazon.com Inc</v>
      </c>
      <c r="F1169" s="6" t="str">
        <v>United States</v>
      </c>
      <c r="G1169" s="6" t="str">
        <v>Art19 Inc</v>
      </c>
      <c r="H1169" s="6" t="str">
        <v>Printing, Publishing, and Allied Services</v>
      </c>
      <c r="I1169" s="6" t="str">
        <v>9J3229</v>
      </c>
      <c r="J1169" s="6" t="str">
        <v>Art19 Inc</v>
      </c>
      <c r="K1169" s="6" t="str">
        <v>Art19 Inc</v>
      </c>
      <c r="L1169" s="7">
        <f>=DATE(2021,6,25)</f>
        <v>44371.99949074074</v>
      </c>
      <c r="M1169" s="7">
        <f>=DATE(2021,6,25)</f>
        <v>44371.99949074074</v>
      </c>
      <c r="W1169" s="6" t="str">
        <v>Primary Business not Hi-Tech</v>
      </c>
      <c r="X1169" s="6" t="str">
        <v>Networking Systems (LAN,WAN);Applications Software(Business;Primary Business not Hi-Tech;Other Computer Related Svcs;Computer Consulting Services;Communication/Network Software;Other Software (inq. Games);Applications Software(Home);Utilities/File Mgmt Software;Desktop Publishing;Internet Services &amp; Software</v>
      </c>
      <c r="Y1169" s="6" t="str">
        <v>Other Computer Related Svcs;Internet Services &amp; Software;Applications Software(Business;Applications Software(Home);Desktop Publishing;Primary Business not Hi-Tech;Communication/Network Software;Computer Consulting Services;Utilities/File Mgmt Software;Networking Systems (LAN,WAN);Other Software (inq. Games)</v>
      </c>
      <c r="Z1169" s="6" t="str">
        <v>Networking Systems (LAN,WAN);Computer Consulting Services;Utilities/File Mgmt Software;Desktop Publishing;Communication/Network Software;Internet Services &amp; Software;Other Software (inq. Games);Primary Business not Hi-Tech;Applications Software(Business;Applications Software(Home);Other Computer Related Svcs</v>
      </c>
      <c r="AA1169" s="6" t="str">
        <v>Primary Business not Hi-Tech</v>
      </c>
      <c r="AB1169" s="6" t="str">
        <v>Primary Business not Hi-Tech</v>
      </c>
      <c r="AH1169" s="6" t="str">
        <v>False</v>
      </c>
      <c r="AI1169" s="6" t="str">
        <v>2021</v>
      </c>
      <c r="AJ1169" s="6" t="str">
        <v>Completed</v>
      </c>
      <c r="AM1169" s="6" t="str">
        <v>Not Applicable</v>
      </c>
      <c r="AO1169" s="6" t="str">
        <v>US - Amazon.com Inc-Music, a unit of Amazon.com Inc, acquired Art19 Inc, a San Francisco-based internet portal operator.</v>
      </c>
    </row>
    <row r="1170">
      <c r="A1170" s="6" t="str">
        <v>594918</v>
      </c>
      <c r="B1170" s="6" t="str">
        <v>United States</v>
      </c>
      <c r="C1170" s="6" t="str">
        <v>Microsoft Corp</v>
      </c>
      <c r="D1170" s="6" t="str">
        <v>Microsoft Corp</v>
      </c>
      <c r="F1170" s="6" t="str">
        <v>United States</v>
      </c>
      <c r="G1170" s="6" t="str">
        <v>RiskIQ Inc</v>
      </c>
      <c r="H1170" s="6" t="str">
        <v>Business Services</v>
      </c>
      <c r="I1170" s="6" t="str">
        <v>0E8427</v>
      </c>
      <c r="J1170" s="6" t="str">
        <v>RiskIQ Inc</v>
      </c>
      <c r="K1170" s="6" t="str">
        <v>RiskIQ Inc</v>
      </c>
      <c r="L1170" s="7">
        <f>=DATE(2021,7,12)</f>
        <v>44388.99949074074</v>
      </c>
      <c r="W1170" s="6" t="str">
        <v>Internet Services &amp; Software;Applications Software(Business;Other Peripherals;Monitors/Terminals;Computer Consulting Services;Operating Systems</v>
      </c>
      <c r="X1170" s="6" t="str">
        <v>Programming Services;Computer Consulting Services;Communication/Network Software;Other Computer Related Svcs;Other Software (inq. Games);Data Processing Services</v>
      </c>
      <c r="Y1170" s="6" t="str">
        <v>Other Computer Related Svcs;Other Software (inq. Games);Programming Services;Computer Consulting Services;Data Processing Services;Communication/Network Software</v>
      </c>
      <c r="Z1170" s="6" t="str">
        <v>Programming Services;Computer Consulting Services;Data Processing Services;Other Software (inq. Games);Communication/Network Software;Other Computer Related Svcs</v>
      </c>
      <c r="AA1170" s="6" t="str">
        <v>Applications Software(Business;Monitors/Terminals;Other Peripherals;Computer Consulting Services;Internet Services &amp; Software;Operating Systems</v>
      </c>
      <c r="AB1170" s="6" t="str">
        <v>Applications Software(Business;Other Peripherals;Operating Systems;Monitors/Terminals;Computer Consulting Services;Internet Services &amp; Software</v>
      </c>
      <c r="AD1170" s="7">
        <f>=DATE(2021,7,12)</f>
        <v>44388.99949074074</v>
      </c>
      <c r="AH1170" s="6" t="str">
        <v>False</v>
      </c>
      <c r="AJ1170" s="6" t="str">
        <v>Pending</v>
      </c>
      <c r="AM1170" s="6" t="str">
        <v>Not Applicable</v>
      </c>
      <c r="AO1170" s="6" t="str">
        <v>US - Microsoft Corp definitively agreed to acquire the entire share capital of RiskIQ Inc, a San Francisco-based provider of computer related services. The terms of the transaction were not disclosed, but according to sources close to the transaction, the value was estimated at USD 500 mil.</v>
      </c>
    </row>
    <row r="1171">
      <c r="A1171" s="6" t="str">
        <v>4K2733</v>
      </c>
      <c r="B1171" s="6" t="str">
        <v>United States</v>
      </c>
      <c r="C1171" s="6" t="str">
        <v>Google International LLC</v>
      </c>
      <c r="D1171" s="6" t="str">
        <v>Alphabet Inc</v>
      </c>
      <c r="E1171" s="6" t="str">
        <v>Google International LLC;Google International LLC</v>
      </c>
      <c r="F1171" s="6" t="str">
        <v>Japan</v>
      </c>
      <c r="G1171" s="6" t="str">
        <v>pring Inc</v>
      </c>
      <c r="H1171" s="6" t="str">
        <v>Business Services</v>
      </c>
      <c r="I1171" s="6" t="str">
        <v>1H6830</v>
      </c>
      <c r="J1171" s="6" t="str">
        <v>pring Inc</v>
      </c>
      <c r="K1171" s="6" t="str">
        <v>pring Inc</v>
      </c>
      <c r="L1171" s="7">
        <f>=DATE(2021,7,13)</f>
        <v>44389.99949074074</v>
      </c>
      <c r="M1171" s="7">
        <f>=DATE(2021,9,21)</f>
        <v>44459.99949074074</v>
      </c>
      <c r="N1171" s="8">
        <v>44.5944721341187</v>
      </c>
      <c r="O1171" s="8">
        <v>44.5944721341187</v>
      </c>
      <c r="Q1171" s="8" t="str">
        <v>10.87;</v>
      </c>
      <c r="W1171" s="6" t="str">
        <v>Internet Services &amp; Software</v>
      </c>
      <c r="X1171" s="6" t="str">
        <v>Workstations;Data Commun(Exclude networking;Turnkey Systems;CAD/CAM/CAE/Graphics Systems;Networking Systems (LAN,WAN);Other Computer Systems;Operating Systems;Communication/Network Software</v>
      </c>
      <c r="Y1171" s="6" t="str">
        <v>Data Commun(Exclude networking;CAD/CAM/CAE/Graphics Systems;Other Computer Systems;Networking Systems (LAN,WAN);Operating Systems;Workstations;Communication/Network Software;Turnkey Systems</v>
      </c>
      <c r="Z1171" s="6" t="str">
        <v>Other Computer Systems;Networking Systems (LAN,WAN);Turnkey Systems;CAD/CAM/CAE/Graphics Systems;Workstations;Data Commun(Exclude networking;Operating Systems;Communication/Network Software</v>
      </c>
      <c r="AA1171" s="6" t="str">
        <v>Programming Services;Internet Services &amp; Software</v>
      </c>
      <c r="AB1171" s="6" t="str">
        <v>Computer Consulting Services;Telecommunications Equipment;Primary Business not Hi-Tech;Internet Services &amp; Software;Programming Services</v>
      </c>
      <c r="AC1171" s="8">
        <v>44.5944721341187</v>
      </c>
      <c r="AD1171" s="7">
        <f>=DATE(2021,7,13)</f>
        <v>44389.99949074074</v>
      </c>
      <c r="AF1171" s="8" t="str">
        <v>98.21</v>
      </c>
      <c r="AG1171" s="8" t="str">
        <v>99.47</v>
      </c>
      <c r="AH1171" s="6" t="str">
        <v>False</v>
      </c>
      <c r="AI1171" s="6" t="str">
        <v>2021</v>
      </c>
      <c r="AJ1171" s="6" t="str">
        <v>Completed</v>
      </c>
      <c r="AM1171" s="6" t="str">
        <v>Privately Negotiated Purchase;Rumored Deal</v>
      </c>
      <c r="AO1171" s="6" t="str">
        <v>JAPAN - Google International LLC (Google International) of the US, a unit of Alphabet Inc, acquired a 45.3% stake in pring Inc (pring), a Minato-Ku, Tokyo-based cashless payment application developer and operator, from Metaps Inc, for JPY 4.921 bil (USD 44.594 mil) in cash, in a privately negotiated transaction. Concurrently, Google International raised its interest from 45.3% to 86.6%, by acquiring a 41.3% interest in pring, from Miroku Jyoho Service Co Ltd and Nippon Gas Co Ltd. Originally, in July 2021, Google International was rumored to be planning to acquire the entire share capital of pring.</v>
      </c>
    </row>
    <row r="1172">
      <c r="A1172" s="6" t="str">
        <v>4K2733</v>
      </c>
      <c r="B1172" s="6" t="str">
        <v>United States</v>
      </c>
      <c r="C1172" s="6" t="str">
        <v>Google International LLC</v>
      </c>
      <c r="D1172" s="6" t="str">
        <v>Alphabet Inc</v>
      </c>
      <c r="E1172" s="6" t="str">
        <v>Google International LLC;Google International LLC</v>
      </c>
      <c r="F1172" s="6" t="str">
        <v>Japan</v>
      </c>
      <c r="G1172" s="6" t="str">
        <v>pring Inc</v>
      </c>
      <c r="H1172" s="6" t="str">
        <v>Business Services</v>
      </c>
      <c r="I1172" s="6" t="str">
        <v>1H6830</v>
      </c>
      <c r="J1172" s="6" t="str">
        <v>pring Inc</v>
      </c>
      <c r="K1172" s="6" t="str">
        <v>pring Inc</v>
      </c>
      <c r="L1172" s="7">
        <f>=DATE(2021,7,13)</f>
        <v>44389.99949074074</v>
      </c>
      <c r="M1172" s="7">
        <f>=DATE(2021,9,21)</f>
        <v>44459.99949074074</v>
      </c>
      <c r="Q1172" s="8" t="str">
        <v>44.59;10.87</v>
      </c>
      <c r="W1172" s="6" t="str">
        <v>Internet Services &amp; Software</v>
      </c>
      <c r="X1172" s="6" t="str">
        <v>Workstations;Other Computer Systems;Data Commun(Exclude networking;Networking Systems (LAN,WAN);Turnkey Systems;Operating Systems;CAD/CAM/CAE/Graphics Systems;Communication/Network Software</v>
      </c>
      <c r="Y1172" s="6" t="str">
        <v>Networking Systems (LAN,WAN);Workstations;Data Commun(Exclude networking;Turnkey Systems;Communication/Network Software;CAD/CAM/CAE/Graphics Systems;Other Computer Systems;Operating Systems</v>
      </c>
      <c r="Z1172" s="6" t="str">
        <v>Operating Systems;Networking Systems (LAN,WAN);Other Computer Systems;Turnkey Systems;Data Commun(Exclude networking;CAD/CAM/CAE/Graphics Systems;Workstations;Communication/Network Software</v>
      </c>
      <c r="AA1172" s="6" t="str">
        <v>Programming Services;Internet Services &amp; Software</v>
      </c>
      <c r="AB1172" s="6" t="str">
        <v>Internet Services &amp; Software;Programming Services;Computer Consulting Services;Telecommunications Equipment;Primary Business not Hi-Tech</v>
      </c>
      <c r="AH1172" s="6" t="str">
        <v>False</v>
      </c>
      <c r="AI1172" s="6" t="str">
        <v>2021</v>
      </c>
      <c r="AJ1172" s="6" t="str">
        <v>Completed</v>
      </c>
      <c r="AM1172" s="6" t="str">
        <v>Privately Negotiated Purchase</v>
      </c>
      <c r="AO1172" s="6" t="str">
        <v>JAPAN - Google International LLC (Google International) of the US, a unit of Alphabet Inc, raised its interest from 45.3% to 68%, by acquiring a 22.7% interest in pring Inc (pring), a Minato-Ku, Tokyo-based cashless payment application developer and operator, from Miroku Jyoho Service Co Ltd, in a privately negotiated transaction. Terms were not disclosed. Concurrently, Google International acquired a 63.9% interest in pring from Metaps Inc and Nippon Gas Co Ltd.</v>
      </c>
    </row>
    <row r="1173">
      <c r="A1173" s="6" t="str">
        <v>4K2733</v>
      </c>
      <c r="B1173" s="6" t="str">
        <v>United States</v>
      </c>
      <c r="C1173" s="6" t="str">
        <v>Google International LLC</v>
      </c>
      <c r="D1173" s="6" t="str">
        <v>Alphabet Inc</v>
      </c>
      <c r="E1173" s="6" t="str">
        <v>Google International LLC;Google International LLC</v>
      </c>
      <c r="F1173" s="6" t="str">
        <v>Japan</v>
      </c>
      <c r="G1173" s="6" t="str">
        <v>pring Inc</v>
      </c>
      <c r="H1173" s="6" t="str">
        <v>Business Services</v>
      </c>
      <c r="I1173" s="6" t="str">
        <v>1H6830</v>
      </c>
      <c r="J1173" s="6" t="str">
        <v>pring Inc</v>
      </c>
      <c r="K1173" s="6" t="str">
        <v>pring Inc</v>
      </c>
      <c r="L1173" s="7">
        <f>=DATE(2021,7,13)</f>
        <v>44389.99949074074</v>
      </c>
      <c r="M1173" s="7">
        <f>=DATE(2021,9,22)</f>
        <v>44460.99949074074</v>
      </c>
      <c r="N1173" s="8">
        <v>10.8744902582691</v>
      </c>
      <c r="O1173" s="8">
        <v>10.8744902582691</v>
      </c>
      <c r="Q1173" s="8" t="str">
        <v>44.59;</v>
      </c>
      <c r="W1173" s="6" t="str">
        <v>Internet Services &amp; Software</v>
      </c>
      <c r="X1173" s="6" t="str">
        <v>Communication/Network Software;Data Commun(Exclude networking;Operating Systems;Turnkey Systems;Other Computer Systems;Networking Systems (LAN,WAN);CAD/CAM/CAE/Graphics Systems;Workstations</v>
      </c>
      <c r="Y1173" s="6" t="str">
        <v>Networking Systems (LAN,WAN);Workstations;CAD/CAM/CAE/Graphics Systems;Operating Systems;Turnkey Systems;Communication/Network Software;Other Computer Systems;Data Commun(Exclude networking</v>
      </c>
      <c r="Z1173" s="6" t="str">
        <v>CAD/CAM/CAE/Graphics Systems;Communication/Network Software;Workstations;Networking Systems (LAN,WAN);Other Computer Systems;Turnkey Systems;Operating Systems;Data Commun(Exclude networking</v>
      </c>
      <c r="AA1173" s="6" t="str">
        <v>Internet Services &amp; Software;Programming Services</v>
      </c>
      <c r="AB1173" s="6" t="str">
        <v>Computer Consulting Services;Internet Services &amp; Software;Telecommunications Equipment;Primary Business not Hi-Tech;Programming Services</v>
      </c>
      <c r="AC1173" s="8">
        <v>10.8744902582691</v>
      </c>
      <c r="AD1173" s="7">
        <f>=DATE(2021,7,13)</f>
        <v>44389.99949074074</v>
      </c>
      <c r="AF1173" s="8" t="str">
        <v>58.33</v>
      </c>
      <c r="AG1173" s="8" t="str">
        <v>58.77</v>
      </c>
      <c r="AH1173" s="6" t="str">
        <v>False</v>
      </c>
      <c r="AI1173" s="6" t="str">
        <v>2021</v>
      </c>
      <c r="AJ1173" s="6" t="str">
        <v>Completed</v>
      </c>
      <c r="AM1173" s="6" t="str">
        <v>Privately Negotiated Purchase</v>
      </c>
      <c r="AO1173" s="6" t="str">
        <v>JAPAN - Google International LLC (Google International) of the US, a unit of Alphabet Inc, raised its interest from 68% to 86.6%, by acquiring an 18.6% interest in pring Inc (pring), a Minato-Ku, Tokyo-based cashless payment application developer and operator, from Nippon Gas Co Ltd, for JPY 1.2 bil (USD 10.874 mil) in cash, in a privately negotiated transaction. Concurrently, Google International acquired a 68% stake in pring from Metaps Inc and Miroku Jyoho Service Co Ltd.</v>
      </c>
    </row>
    <row r="1174">
      <c r="A1174" s="6" t="str">
        <v>98787H</v>
      </c>
      <c r="B1174" s="6" t="str">
        <v>United States</v>
      </c>
      <c r="C1174" s="6" t="str">
        <v>YouTube Inc</v>
      </c>
      <c r="D1174" s="6" t="str">
        <v>Alphabet Inc</v>
      </c>
      <c r="F1174" s="6" t="str">
        <v>India</v>
      </c>
      <c r="G1174" s="6" t="str">
        <v>SZS Tech Pvt Ltd</v>
      </c>
      <c r="H1174" s="6" t="str">
        <v>Prepackaged Software</v>
      </c>
      <c r="I1174" s="6" t="str">
        <v>1K0457</v>
      </c>
      <c r="J1174" s="6" t="str">
        <v>SZS Tech Pvt Ltd</v>
      </c>
      <c r="K1174" s="6" t="str">
        <v>SZS Tech Pvt Ltd</v>
      </c>
      <c r="L1174" s="7">
        <f>=DATE(2021,7,20)</f>
        <v>44396.99949074074</v>
      </c>
      <c r="M1174" s="7">
        <f>=DATE(2021,7,20)</f>
        <v>44396.99949074074</v>
      </c>
      <c r="S1174" s="8">
        <v>1.4911604249559</v>
      </c>
      <c r="W1174" s="6" t="str">
        <v>Internet Services &amp; Software</v>
      </c>
      <c r="X1174" s="6" t="str">
        <v>Other Software (inq. Games);Desktop Publishing;Utilities/File Mgmt Software;Internet Services &amp; Software;Applications Software(Home);Applications Software(Business;Communication/Network Software</v>
      </c>
      <c r="Y1174" s="6" t="str">
        <v>Other Software (inq. Games);Utilities/File Mgmt Software;Desktop Publishing;Internet Services &amp; Software;Applications Software(Home);Applications Software(Business;Communication/Network Software</v>
      </c>
      <c r="Z1174" s="6" t="str">
        <v>Desktop Publishing;Utilities/File Mgmt Software;Other Software (inq. Games);Communication/Network Software;Applications Software(Home);Applications Software(Business;Internet Services &amp; Software</v>
      </c>
      <c r="AA1174" s="6" t="str">
        <v>Internet Services &amp; Software;Programming Services</v>
      </c>
      <c r="AB1174" s="6" t="str">
        <v>Computer Consulting Services;Telecommunications Equipment;Internet Services &amp; Software;Programming Services;Primary Business not Hi-Tech</v>
      </c>
      <c r="AH1174" s="6" t="str">
        <v>True</v>
      </c>
      <c r="AI1174" s="6" t="str">
        <v>2021</v>
      </c>
      <c r="AJ1174" s="6" t="str">
        <v>Completed</v>
      </c>
      <c r="AM1174" s="6" t="str">
        <v>Not Applicable</v>
      </c>
      <c r="AO1174" s="6" t="str">
        <v>INDIA - YouTube Inc of the US, a unit of Google Inc, planned to acquire SZS Tech Pvt Ltd, a New Delhi-based software publisher.</v>
      </c>
    </row>
    <row r="1175">
      <c r="A1175" s="6" t="str">
        <v>594918</v>
      </c>
      <c r="B1175" s="6" t="str">
        <v>United States</v>
      </c>
      <c r="C1175" s="6" t="str">
        <v>Microsoft Corp</v>
      </c>
      <c r="D1175" s="6" t="str">
        <v>Microsoft Corp</v>
      </c>
      <c r="F1175" s="6" t="str">
        <v>United States</v>
      </c>
      <c r="G1175" s="6" t="str">
        <v>CloudKnox Security Inc</v>
      </c>
      <c r="H1175" s="6" t="str">
        <v>Business Services</v>
      </c>
      <c r="I1175" s="6" t="str">
        <v>3K3352</v>
      </c>
      <c r="J1175" s="6" t="str">
        <v>CloudKnox Security Inc</v>
      </c>
      <c r="K1175" s="6" t="str">
        <v>CloudKnox Security Inc</v>
      </c>
      <c r="L1175" s="7">
        <f>=DATE(2021,7,21)</f>
        <v>44397.99949074074</v>
      </c>
      <c r="M1175" s="7">
        <f>=DATE(2021,7,21)</f>
        <v>44397.99949074074</v>
      </c>
      <c r="W1175" s="6" t="str">
        <v>Internet Services &amp; Software;Computer Consulting Services;Other Peripherals;Monitors/Terminals;Operating Systems;Applications Software(Business</v>
      </c>
      <c r="X1175" s="6" t="str">
        <v>Computer Consulting Services;Database Software/Programming;Other Computer Related Svcs;CAD/CAM/CAE/Graphics Systems;Internet Services &amp; Software;Programming Services;Turnkey Systems;Workstations;Communication/Network Software;Networking Systems (LAN,WAN);Data Commun(Exclude networking;Other Computer Systems;Operating Systems</v>
      </c>
      <c r="Y1175" s="6" t="str">
        <v>Data Commun(Exclude networking;Communication/Network Software;Other Computer Related Svcs;Workstations;Computer Consulting Services;Operating Systems;Programming Services;Other Computer Systems;Database Software/Programming;Internet Services &amp; Software;CAD/CAM/CAE/Graphics Systems;Networking Systems (LAN,WAN);Turnkey Systems</v>
      </c>
      <c r="Z1175" s="6" t="str">
        <v>Data Commun(Exclude networking;Other Computer Related Svcs;Database Software/Programming;Computer Consulting Services;Operating Systems;Internet Services &amp; Software;Networking Systems (LAN,WAN);Communication/Network Software;Other Computer Systems;Workstations;Programming Services;CAD/CAM/CAE/Graphics Systems;Turnkey Systems</v>
      </c>
      <c r="AA1175" s="6" t="str">
        <v>Computer Consulting Services;Operating Systems;Other Peripherals;Internet Services &amp; Software;Applications Software(Business;Monitors/Terminals</v>
      </c>
      <c r="AB1175" s="6" t="str">
        <v>Operating Systems;Applications Software(Business;Other Peripherals;Internet Services &amp; Software;Computer Consulting Services;Monitors/Terminals</v>
      </c>
      <c r="AH1175" s="6" t="str">
        <v>False</v>
      </c>
      <c r="AI1175" s="6" t="str">
        <v>2021</v>
      </c>
      <c r="AJ1175" s="6" t="str">
        <v>Completed</v>
      </c>
      <c r="AM1175" s="6" t="str">
        <v>Not Applicable</v>
      </c>
      <c r="AO1175" s="6" t="str">
        <v>US - Microsoft Corp acquired CloudKnox Security Inc, a Sunnyvale-based provider of custom computer programming services.</v>
      </c>
    </row>
    <row r="1176">
      <c r="A1176" s="6" t="str">
        <v>594918</v>
      </c>
      <c r="B1176" s="6" t="str">
        <v>United States</v>
      </c>
      <c r="C1176" s="6" t="str">
        <v>Microsoft Corp</v>
      </c>
      <c r="D1176" s="6" t="str">
        <v>Microsoft Corp</v>
      </c>
      <c r="F1176" s="6" t="str">
        <v>United States</v>
      </c>
      <c r="G1176" s="6" t="str">
        <v>Suplari Inc</v>
      </c>
      <c r="H1176" s="6" t="str">
        <v>Prepackaged Software</v>
      </c>
      <c r="I1176" s="6" t="str">
        <v>7L3075</v>
      </c>
      <c r="J1176" s="6" t="str">
        <v>Suplari Inc</v>
      </c>
      <c r="K1176" s="6" t="str">
        <v>Suplari Inc</v>
      </c>
      <c r="L1176" s="7">
        <f>=DATE(2021,7,28)</f>
        <v>44404.99949074074</v>
      </c>
      <c r="M1176" s="7">
        <f>=DATE(2021,7,28)</f>
        <v>44404.99949074074</v>
      </c>
      <c r="W1176" s="6" t="str">
        <v>Operating Systems;Computer Consulting Services;Internet Services &amp; Software;Monitors/Terminals;Other Peripherals;Applications Software(Business</v>
      </c>
      <c r="X1176" s="6" t="str">
        <v>Desktop Publishing;Applications Software(Home);Applications Software(Business;Other Software (inq. Games);Communication/Network Software;Internet Services &amp; Software;Utilities/File Mgmt Software</v>
      </c>
      <c r="Y1176" s="6" t="str">
        <v>Internet Services &amp; Software;Applications Software(Business;Applications Software(Home);Desktop Publishing;Other Software (inq. Games);Utilities/File Mgmt Software;Communication/Network Software</v>
      </c>
      <c r="Z1176" s="6" t="str">
        <v>Applications Software(Business;Communication/Network Software;Other Software (inq. Games);Internet Services &amp; Software;Desktop Publishing;Utilities/File Mgmt Software;Applications Software(Home)</v>
      </c>
      <c r="AA1176" s="6" t="str">
        <v>Operating Systems;Applications Software(Business;Monitors/Terminals;Internet Services &amp; Software;Other Peripherals;Computer Consulting Services</v>
      </c>
      <c r="AB1176" s="6" t="str">
        <v>Internet Services &amp; Software;Applications Software(Business;Other Peripherals;Computer Consulting Services;Operating Systems;Monitors/Terminals</v>
      </c>
      <c r="AH1176" s="6" t="str">
        <v>False</v>
      </c>
      <c r="AI1176" s="6" t="str">
        <v>2021</v>
      </c>
      <c r="AJ1176" s="6" t="str">
        <v>Completed</v>
      </c>
      <c r="AM1176" s="6" t="str">
        <v>Not Applicable</v>
      </c>
      <c r="AO1176" s="6" t="str">
        <v>US - Microsoft Corp acquired Suplari Inc, a Seattle-based software publisher. Terms were not disclosed.</v>
      </c>
    </row>
    <row r="1177">
      <c r="A1177" s="6" t="str">
        <v>594918</v>
      </c>
      <c r="B1177" s="6" t="str">
        <v>United States</v>
      </c>
      <c r="C1177" s="6" t="str">
        <v>Microsoft Corp</v>
      </c>
      <c r="D1177" s="6" t="str">
        <v>Microsoft Corp</v>
      </c>
      <c r="F1177" s="6" t="str">
        <v>United States</v>
      </c>
      <c r="G1177" s="6" t="str">
        <v>Rubrik Inc</v>
      </c>
      <c r="H1177" s="6" t="str">
        <v>Business Services</v>
      </c>
      <c r="I1177" s="6" t="str">
        <v>8F6387</v>
      </c>
      <c r="J1177" s="6" t="str">
        <v>Rubrik Inc</v>
      </c>
      <c r="K1177" s="6" t="str">
        <v>Rubrik Inc</v>
      </c>
      <c r="L1177" s="7">
        <f>=DATE(2021,8,17)</f>
        <v>44424.99949074074</v>
      </c>
      <c r="M1177" s="7">
        <f>=DATE(2021,8,17)</f>
        <v>44424.99949074074</v>
      </c>
      <c r="R1177" s="8">
        <v>-213.088</v>
      </c>
      <c r="S1177" s="8">
        <v>387.751</v>
      </c>
      <c r="T1177" s="8">
        <v>137.514</v>
      </c>
      <c r="U1177" s="8">
        <v>-1.597</v>
      </c>
      <c r="V1177" s="8">
        <v>-58.742</v>
      </c>
      <c r="W1177" s="6" t="str">
        <v>Monitors/Terminals;Applications Software(Business;Internet Services &amp; Software;Operating Systems;Other Peripherals;Computer Consulting Services</v>
      </c>
      <c r="X1177" s="6" t="str">
        <v>Computer Consulting Services;Other Computer Related Svcs;Data Processing Services;Internet Services &amp; Software</v>
      </c>
      <c r="Y1177" s="6" t="str">
        <v>Data Processing Services;Other Computer Related Svcs;Internet Services &amp; Software;Computer Consulting Services</v>
      </c>
      <c r="Z1177" s="6" t="str">
        <v>Internet Services &amp; Software;Computer Consulting Services;Other Computer Related Svcs;Data Processing Services</v>
      </c>
      <c r="AA1177" s="6" t="str">
        <v>Operating Systems;Computer Consulting Services;Applications Software(Business;Other Peripherals;Internet Services &amp; Software;Monitors/Terminals</v>
      </c>
      <c r="AB1177" s="6" t="str">
        <v>Computer Consulting Services;Monitors/Terminals;Operating Systems;Applications Software(Business;Other Peripherals;Internet Services &amp; Software</v>
      </c>
      <c r="AH1177" s="6" t="str">
        <v>True</v>
      </c>
      <c r="AI1177" s="6" t="str">
        <v>2021</v>
      </c>
      <c r="AJ1177" s="6" t="str">
        <v>Completed</v>
      </c>
      <c r="AM1177" s="6" t="str">
        <v>Privately Negotiated Purchase</v>
      </c>
      <c r="AN1177" s="8">
        <v>4.236</v>
      </c>
      <c r="AO1177" s="6" t="str">
        <v>US - Microsoft Corp acquired an undisclosed minority stake in Rubrik Inc, a Palo Alto-based provider of data management and enterprise back-up software, in a privately negotiated transaction.</v>
      </c>
    </row>
    <row r="1178">
      <c r="A1178" s="6" t="str">
        <v>594918</v>
      </c>
      <c r="B1178" s="6" t="str">
        <v>United States</v>
      </c>
      <c r="C1178" s="6" t="str">
        <v>Microsoft Corp</v>
      </c>
      <c r="D1178" s="6" t="str">
        <v>Microsoft Corp</v>
      </c>
      <c r="F1178" s="6" t="str">
        <v>Australia</v>
      </c>
      <c r="G1178" s="6" t="str">
        <v>Clipchamp Pty Ltd</v>
      </c>
      <c r="H1178" s="6" t="str">
        <v>Prepackaged Software</v>
      </c>
      <c r="I1178" s="6" t="str">
        <v>8L5244</v>
      </c>
      <c r="J1178" s="6" t="str">
        <v>Clipchamp Pty Ltd</v>
      </c>
      <c r="K1178" s="6" t="str">
        <v>Clipchamp Pty Ltd</v>
      </c>
      <c r="L1178" s="7">
        <f>=DATE(2021,9,7)</f>
        <v>44445.99949074074</v>
      </c>
      <c r="M1178" s="7">
        <f>=DATE(2021,9,7)</f>
        <v>44445.99949074074</v>
      </c>
      <c r="W1178" s="6" t="str">
        <v>Operating Systems;Applications Software(Business;Computer Consulting Services;Internet Services &amp; Software;Other Peripherals;Monitors/Terminals</v>
      </c>
      <c r="X1178" s="6" t="str">
        <v>Communication/Network Software;Internet Services &amp; Software</v>
      </c>
      <c r="Y1178" s="6" t="str">
        <v>Communication/Network Software;Internet Services &amp; Software</v>
      </c>
      <c r="Z1178" s="6" t="str">
        <v>Communication/Network Software;Internet Services &amp; Software</v>
      </c>
      <c r="AA1178" s="6" t="str">
        <v>Operating Systems;Computer Consulting Services;Monitors/Terminals;Internet Services &amp; Software;Applications Software(Business;Other Peripherals</v>
      </c>
      <c r="AB1178" s="6" t="str">
        <v>Operating Systems;Other Peripherals;Applications Software(Business;Computer Consulting Services;Internet Services &amp; Software;Monitors/Terminals</v>
      </c>
      <c r="AH1178" s="6" t="str">
        <v>False</v>
      </c>
      <c r="AI1178" s="6" t="str">
        <v>2021</v>
      </c>
      <c r="AJ1178" s="6" t="str">
        <v>Completed</v>
      </c>
      <c r="AM1178" s="6" t="str">
        <v>Not Applicable</v>
      </c>
      <c r="AO1178" s="6" t="str">
        <v>AUSTRALIA - Microsoft Corp of the US acquired Clipchamp Pty Ltd, a Brisbane-based software publisher. Terms of the deal were not disclosed.</v>
      </c>
    </row>
    <row r="1179">
      <c r="A1179" s="6" t="str">
        <v>594918</v>
      </c>
      <c r="B1179" s="6" t="str">
        <v>United States</v>
      </c>
      <c r="C1179" s="6" t="str">
        <v>Microsoft Corp</v>
      </c>
      <c r="D1179" s="6" t="str">
        <v>Microsoft Corp</v>
      </c>
      <c r="F1179" s="6" t="str">
        <v>United States</v>
      </c>
      <c r="G1179" s="6" t="str">
        <v>Microsoft Corp</v>
      </c>
      <c r="H1179" s="6" t="str">
        <v>Prepackaged Software</v>
      </c>
      <c r="I1179" s="6" t="str">
        <v>594918</v>
      </c>
      <c r="J1179" s="6" t="str">
        <v>Microsoft Corp</v>
      </c>
      <c r="K1179" s="6" t="str">
        <v>Microsoft Corp</v>
      </c>
      <c r="L1179" s="7">
        <f>=DATE(2021,9,14)</f>
        <v>44452.99949074074</v>
      </c>
      <c r="N1179" s="8">
        <v>60000</v>
      </c>
      <c r="O1179" s="8">
        <v>60000</v>
      </c>
      <c r="R1179" s="8">
        <v>61271</v>
      </c>
      <c r="S1179" s="8">
        <v>168088</v>
      </c>
      <c r="T1179" s="8">
        <v>-48486</v>
      </c>
      <c r="U1179" s="8">
        <v>-27577</v>
      </c>
      <c r="V1179" s="8">
        <v>76740</v>
      </c>
      <c r="W1179" s="6" t="str">
        <v>Operating Systems;Monitors/Terminals;Applications Software(Business;Internet Services &amp; Software;Computer Consulting Services;Other Peripherals</v>
      </c>
      <c r="X1179" s="6" t="str">
        <v>Applications Software(Business;Computer Consulting Services;Operating Systems;Internet Services &amp; Software;Monitors/Terminals;Other Peripherals</v>
      </c>
      <c r="Y1179" s="6" t="str">
        <v>Operating Systems;Computer Consulting Services;Internet Services &amp; Software;Other Peripherals;Applications Software(Business;Monitors/Terminals</v>
      </c>
      <c r="Z1179" s="6" t="str">
        <v>Operating Systems;Monitors/Terminals;Applications Software(Business;Internet Services &amp; Software;Computer Consulting Services;Other Peripherals</v>
      </c>
      <c r="AA1179" s="6" t="str">
        <v>Internet Services &amp; Software;Operating Systems;Other Peripherals;Applications Software(Business;Monitors/Terminals;Computer Consulting Services</v>
      </c>
      <c r="AB1179" s="6" t="str">
        <v>Operating Systems;Applications Software(Business;Internet Services &amp; Software;Computer Consulting Services;Other Peripherals;Monitors/Terminals</v>
      </c>
      <c r="AC1179" s="8">
        <v>60000</v>
      </c>
      <c r="AD1179" s="7">
        <f>=DATE(2021,9,15)</f>
        <v>44453.99949074074</v>
      </c>
      <c r="AH1179" s="6" t="str">
        <v>True</v>
      </c>
      <c r="AJ1179" s="6" t="str">
        <v>Pending</v>
      </c>
      <c r="AM1179" s="6" t="str">
        <v>Repurchase;Open Market Purchase</v>
      </c>
      <c r="AN1179" s="8">
        <v>57511</v>
      </c>
      <c r="AO1179" s="6" t="str">
        <v>US - On 14 September 2021, the board of Microsoft Corp, a Redmond-based developer and wholesaler of computer software products, authorized the repurchase of up to USD 60 bil of the company's entire share capital, in open market transaction.</v>
      </c>
    </row>
    <row r="1180">
      <c r="A1180" s="6" t="str">
        <v>594918</v>
      </c>
      <c r="B1180" s="6" t="str">
        <v>United States</v>
      </c>
      <c r="C1180" s="6" t="str">
        <v>Microsoft Corp</v>
      </c>
      <c r="D1180" s="6" t="str">
        <v>Microsoft Corp</v>
      </c>
      <c r="F1180" s="6" t="str">
        <v>United States</v>
      </c>
      <c r="G1180" s="6" t="str">
        <v>Ally Technologies Inc</v>
      </c>
      <c r="H1180" s="6" t="str">
        <v>Prepackaged Software</v>
      </c>
      <c r="I1180" s="6" t="str">
        <v>2L4834</v>
      </c>
      <c r="J1180" s="6" t="str">
        <v>Ally Technologies Inc</v>
      </c>
      <c r="K1180" s="6" t="str">
        <v>Ally Technologies Inc</v>
      </c>
      <c r="L1180" s="7">
        <f>=DATE(2021,10,7)</f>
        <v>44475.99949074074</v>
      </c>
      <c r="M1180" s="7">
        <f>=DATE(2021,10,7)</f>
        <v>44475.99949074074</v>
      </c>
      <c r="W1180" s="6" t="str">
        <v>Internet Services &amp; Software;Computer Consulting Services;Applications Software(Business;Monitors/Terminals;Other Peripherals;Operating Systems</v>
      </c>
      <c r="X1180" s="6" t="str">
        <v>Other Software (inq. Games)</v>
      </c>
      <c r="Y1180" s="6" t="str">
        <v>Other Software (inq. Games)</v>
      </c>
      <c r="Z1180" s="6" t="str">
        <v>Other Software (inq. Games)</v>
      </c>
      <c r="AA1180" s="6" t="str">
        <v>Internet Services &amp; Software;Other Peripherals;Operating Systems;Monitors/Terminals;Computer Consulting Services;Applications Software(Business</v>
      </c>
      <c r="AB1180" s="6" t="str">
        <v>Other Peripherals;Internet Services &amp; Software;Monitors/Terminals;Operating Systems;Applications Software(Business;Computer Consulting Services</v>
      </c>
      <c r="AH1180" s="6" t="str">
        <v>False</v>
      </c>
      <c r="AI1180" s="6" t="str">
        <v>2021</v>
      </c>
      <c r="AJ1180" s="6" t="str">
        <v>Completed</v>
      </c>
      <c r="AM1180" s="6" t="str">
        <v>Not Applicable</v>
      </c>
      <c r="AO1180" s="6" t="str">
        <v>US - Microsoft Corp acquired Ally Technologies Inc, a Bellevue-based progress management software developer. Terms of the transaction were not disclosed.</v>
      </c>
    </row>
    <row r="1181">
      <c r="A1181" s="6" t="str">
        <v>01864J</v>
      </c>
      <c r="B1181" s="6" t="str">
        <v>United States</v>
      </c>
      <c r="C1181" s="6" t="str">
        <v>Avanade Inc</v>
      </c>
      <c r="D1181" s="6" t="str">
        <v>Accenture PLC</v>
      </c>
      <c r="F1181" s="6" t="str">
        <v>United Kingdom</v>
      </c>
      <c r="G1181" s="6" t="str">
        <v>QuantiQ Technology Ltd</v>
      </c>
      <c r="H1181" s="6" t="str">
        <v>Business Services</v>
      </c>
      <c r="I1181" s="6" t="str">
        <v>6H1899</v>
      </c>
      <c r="J1181" s="6" t="str">
        <v>QuantiQ Technology Ltd</v>
      </c>
      <c r="K1181" s="6" t="str">
        <v>QuantiQ Technology Ltd</v>
      </c>
      <c r="L1181" s="7">
        <f>=DATE(2021,10,19)</f>
        <v>44487.99949074074</v>
      </c>
      <c r="M1181" s="7">
        <f>=DATE(2021,10,19)</f>
        <v>44487.99949074074</v>
      </c>
      <c r="R1181" s="8">
        <v>4.27280309556039</v>
      </c>
      <c r="S1181" s="8">
        <v>42.5694245046967</v>
      </c>
      <c r="W1181" s="6" t="str">
        <v>Computer Consulting Services;Other Software (inq. Games);Other Computer Related Svcs</v>
      </c>
      <c r="X1181" s="6" t="str">
        <v>Other Software (inq. Games);Other Computer Related Svcs;Computer Consulting Services;Data Processing Services</v>
      </c>
      <c r="Y1181" s="6" t="str">
        <v>Computer Consulting Services;Data Processing Services;Other Software (inq. Games);Other Computer Related Svcs</v>
      </c>
      <c r="Z1181" s="6" t="str">
        <v>Other Software (inq. Games);Data Processing Services;Computer Consulting Services;Other Computer Related Svcs</v>
      </c>
      <c r="AA1181" s="6" t="str">
        <v>Turnkey Systems;Other Software (inq. Games);Networking Systems (LAN,WAN);CAD/CAM/CAE/Graphics Systems;Workstations;Utilities/File Mgmt Software;Communication/Network Software;Desktop Publishing;Applications Software(Home);Applications Software(Business;Other Computer Systems;Operating Systems;Data Commun(Exclude networking;Primary Business not Hi-Tech;Internet Services &amp; Software;Computer Consulting Services;Data Processing Services;Other Computer Related Svcs</v>
      </c>
      <c r="AB1181" s="6" t="str">
        <v>Data Commun(Exclude networking;Applications Software(Home);Networking Systems (LAN,WAN);Operating Systems;Other Computer Systems;Desktop Publishing;Other Computer Related Svcs;Applications Software(Business;Workstations;Turnkey Systems;Internet Services &amp; Software;CAD/CAM/CAE/Graphics Systems;Primary Business not Hi-Tech;Data Processing Services;Computer Consulting Services;Utilities/File Mgmt Software;Other Software (inq. Games);Communication/Network Software</v>
      </c>
      <c r="AH1181" s="6" t="str">
        <v>True</v>
      </c>
      <c r="AI1181" s="6" t="str">
        <v>2021</v>
      </c>
      <c r="AJ1181" s="6" t="str">
        <v>Completed</v>
      </c>
      <c r="AM1181" s="6" t="str">
        <v>Not Applicable</v>
      </c>
      <c r="AN1181" s="8">
        <v>1.25791323133298</v>
      </c>
      <c r="AO1181" s="6" t="str">
        <v>UK - Avanade Inc of the US, jointly owned by Accenture PLC and Microsoft Corp, agreed to acquire QuantiQ Technology Ltd, a London-based software publisher. Terms of the deal were not disclosed.</v>
      </c>
    </row>
    <row r="1182">
      <c r="A1182" s="6" t="str">
        <v>594918</v>
      </c>
      <c r="B1182" s="6" t="str">
        <v>United States</v>
      </c>
      <c r="C1182" s="6" t="str">
        <v>Microsoft Corp</v>
      </c>
      <c r="D1182" s="6" t="str">
        <v>Microsoft Corp</v>
      </c>
      <c r="F1182" s="6" t="str">
        <v>United States</v>
      </c>
      <c r="G1182" s="6" t="str">
        <v>Clear Software LLC</v>
      </c>
      <c r="H1182" s="6" t="str">
        <v>Prepackaged Software</v>
      </c>
      <c r="I1182" s="6" t="str">
        <v>18509C</v>
      </c>
      <c r="J1182" s="6" t="str">
        <v>Clear Software LLC</v>
      </c>
      <c r="K1182" s="6" t="str">
        <v>Clear Software LLC</v>
      </c>
      <c r="L1182" s="7">
        <f>=DATE(2021,10,22)</f>
        <v>44490.99949074074</v>
      </c>
      <c r="M1182" s="7">
        <f>=DATE(2021,10,22)</f>
        <v>44490.99949074074</v>
      </c>
      <c r="W1182" s="6" t="str">
        <v>Monitors/Terminals;Computer Consulting Services;Other Peripherals;Internet Services &amp; Software;Operating Systems;Applications Software(Business</v>
      </c>
      <c r="X1182" s="6" t="str">
        <v>Applications Software(Business</v>
      </c>
      <c r="Y1182" s="6" t="str">
        <v>Applications Software(Business</v>
      </c>
      <c r="Z1182" s="6" t="str">
        <v>Applications Software(Business</v>
      </c>
      <c r="AA1182" s="6" t="str">
        <v>Applications Software(Business;Operating Systems;Monitors/Terminals;Internet Services &amp; Software;Other Peripherals;Computer Consulting Services</v>
      </c>
      <c r="AB1182" s="6" t="str">
        <v>Operating Systems;Internet Services &amp; Software;Other Peripherals;Monitors/Terminals;Computer Consulting Services;Applications Software(Business</v>
      </c>
      <c r="AH1182" s="6" t="str">
        <v>False</v>
      </c>
      <c r="AI1182" s="6" t="str">
        <v>2021</v>
      </c>
      <c r="AJ1182" s="6" t="str">
        <v>Completed</v>
      </c>
      <c r="AM1182" s="6" t="str">
        <v>Not Applicable</v>
      </c>
      <c r="AO1182" s="6" t="str">
        <v>US - Microsoft Corp acquired Clear Software LLC, a Zionsville-based reproducer of software. Terms of the transaction were not disclosed.</v>
      </c>
    </row>
    <row r="1183">
      <c r="A1183" s="6" t="str">
        <v>9K8707</v>
      </c>
      <c r="B1183" s="6" t="str">
        <v>United States</v>
      </c>
      <c r="C1183" s="6" t="str">
        <v>The Climate Pledge Fund</v>
      </c>
      <c r="D1183" s="6" t="str">
        <v>Amazon.com Inc</v>
      </c>
      <c r="F1183" s="6" t="str">
        <v>Italy</v>
      </c>
      <c r="G1183" s="6" t="str">
        <v>CMC SpA</v>
      </c>
      <c r="H1183" s="6" t="str">
        <v>Miscellaneous Manufacturing</v>
      </c>
      <c r="I1183" s="6" t="str">
        <v>6M0610</v>
      </c>
      <c r="J1183" s="6" t="str">
        <v>KKR &amp; Co Inc</v>
      </c>
      <c r="K1183" s="6" t="str">
        <v>KKR Global Impact Fund SCSp</v>
      </c>
      <c r="L1183" s="7">
        <f>=DATE(2021,10,27)</f>
        <v>44495.99949074074</v>
      </c>
      <c r="M1183" s="7">
        <f>=DATE(2021,10,27)</f>
        <v>44495.99949074074</v>
      </c>
      <c r="R1183" s="8">
        <v>0.708353688324377</v>
      </c>
      <c r="S1183" s="8">
        <v>61.4106008793356</v>
      </c>
      <c r="W1183" s="6" t="str">
        <v>Primary Business not Hi-Tech</v>
      </c>
      <c r="X1183" s="6" t="str">
        <v>Rehabilitation Equipment;General Med. Instruments/Supp.;Artificial Organs/Limbs;Drug Delivery Sys(Not IV Sys);Healthcare Services;Medical Monitoring Systems;Primary Business not Hi-Tech;Surgical Instruments/Equipment</v>
      </c>
      <c r="Y1183" s="6" t="str">
        <v>Primary Business not Hi-Tech</v>
      </c>
      <c r="Z1183" s="6" t="str">
        <v>Primary Business not Hi-Tech</v>
      </c>
      <c r="AA1183" s="6" t="str">
        <v>Primary Business not Hi-Tech</v>
      </c>
      <c r="AB1183" s="6" t="str">
        <v>Primary Business not Hi-Tech</v>
      </c>
      <c r="AH1183" s="6" t="str">
        <v>True</v>
      </c>
      <c r="AI1183" s="6" t="str">
        <v>2021</v>
      </c>
      <c r="AJ1183" s="6" t="str">
        <v>Completed</v>
      </c>
      <c r="AM1183" s="6" t="str">
        <v>Financial Acquiror;Privately Negotiated Purchase</v>
      </c>
      <c r="AN1183" s="8">
        <v>3.08622374206155</v>
      </c>
      <c r="AO1183" s="6" t="str">
        <v>ITALY - The Climate Pledge Fund of the US, a unit of Amazon.com Inc, acquired an undisclosed minority stake in CMC SpA, a Citta Di Castello-based manufacturer, in a privately negotiated transaction.</v>
      </c>
    </row>
    <row r="1184">
      <c r="A1184" s="6" t="str">
        <v>00507V</v>
      </c>
      <c r="B1184" s="6" t="str">
        <v>United States</v>
      </c>
      <c r="C1184" s="6" t="str">
        <v>Activision Blizzard Inc</v>
      </c>
      <c r="D1184" s="6" t="str">
        <v>Activision Blizzard Inc</v>
      </c>
      <c r="F1184" s="6" t="str">
        <v>Spain</v>
      </c>
      <c r="G1184" s="6" t="str">
        <v>Digital Legends Entertainment SL</v>
      </c>
      <c r="H1184" s="6" t="str">
        <v>Prepackaged Software</v>
      </c>
      <c r="I1184" s="6" t="str">
        <v>25572W</v>
      </c>
      <c r="J1184" s="6" t="str">
        <v>Digital Legends Entertainment SL</v>
      </c>
      <c r="K1184" s="6" t="str">
        <v>Digital Legends Entertainment SL</v>
      </c>
      <c r="L1184" s="7">
        <f>=DATE(2021,10,28)</f>
        <v>44496.99949074074</v>
      </c>
      <c r="M1184" s="7">
        <f>=DATE(2021,10,28)</f>
        <v>44496.99949074074</v>
      </c>
      <c r="R1184" s="8">
        <v>-3.73351245725452</v>
      </c>
      <c r="S1184" s="8">
        <v>1.37884709330728</v>
      </c>
      <c r="W1184" s="6" t="str">
        <v>Operating Systems;Other Software (inq. Games);Other Computer Systems</v>
      </c>
      <c r="X1184" s="6" t="str">
        <v>Other Software (inq. Games)</v>
      </c>
      <c r="Y1184" s="6" t="str">
        <v>Other Software (inq. Games)</v>
      </c>
      <c r="Z1184" s="6" t="str">
        <v>Other Software (inq. Games)</v>
      </c>
      <c r="AA1184" s="6" t="str">
        <v>Other Software (inq. Games);Operating Systems;Other Computer Systems</v>
      </c>
      <c r="AB1184" s="6" t="str">
        <v>Other Computer Systems;Operating Systems;Other Software (inq. Games)</v>
      </c>
      <c r="AH1184" s="6" t="str">
        <v>True</v>
      </c>
      <c r="AI1184" s="6" t="str">
        <v>2021</v>
      </c>
      <c r="AJ1184" s="6" t="str">
        <v>Completed</v>
      </c>
      <c r="AM1184" s="6" t="str">
        <v>Not Applicable</v>
      </c>
      <c r="AN1184" s="8">
        <v>8.6675622862726</v>
      </c>
      <c r="AO1184" s="6" t="str">
        <v>SPAIN - Activision Blizzard Inc of the US acquired Digital Legends Entertainment SL, a Barcelona-based software publisher. Terms were not disclosed.</v>
      </c>
    </row>
    <row r="1185">
      <c r="A1185" s="6" t="str">
        <v>594918</v>
      </c>
      <c r="B1185" s="6" t="str">
        <v>United States</v>
      </c>
      <c r="C1185" s="6" t="str">
        <v>Microsoft Corp</v>
      </c>
      <c r="D1185" s="6" t="str">
        <v>Microsoft Corp</v>
      </c>
      <c r="F1185" s="6" t="str">
        <v>Canada</v>
      </c>
      <c r="G1185" s="6" t="str">
        <v>Two Hat Security Ltd</v>
      </c>
      <c r="H1185" s="6" t="str">
        <v>Prepackaged Software</v>
      </c>
      <c r="I1185" s="6" t="str">
        <v>1J0960</v>
      </c>
      <c r="J1185" s="6" t="str">
        <v>Two Hat Security Ltd</v>
      </c>
      <c r="K1185" s="6" t="str">
        <v>Two Hat Security Ltd</v>
      </c>
      <c r="L1185" s="7">
        <f>=DATE(2021,10,29)</f>
        <v>44497.99949074074</v>
      </c>
      <c r="M1185" s="7">
        <f>=DATE(2021,10,29)</f>
        <v>44497.99949074074</v>
      </c>
      <c r="W1185" s="6" t="str">
        <v>Operating Systems;Monitors/Terminals;Computer Consulting Services;Other Peripherals;Applications Software(Business;Internet Services &amp; Software</v>
      </c>
      <c r="X1185" s="6" t="str">
        <v>Other Software (inq. Games)</v>
      </c>
      <c r="Y1185" s="6" t="str">
        <v>Other Software (inq. Games)</v>
      </c>
      <c r="Z1185" s="6" t="str">
        <v>Other Software (inq. Games)</v>
      </c>
      <c r="AA1185" s="6" t="str">
        <v>Operating Systems;Applications Software(Business;Internet Services &amp; Software;Monitors/Terminals;Computer Consulting Services;Other Peripherals</v>
      </c>
      <c r="AB1185" s="6" t="str">
        <v>Computer Consulting Services;Applications Software(Business;Monitors/Terminals;Other Peripherals;Operating Systems;Internet Services &amp; Software</v>
      </c>
      <c r="AH1185" s="6" t="str">
        <v>False</v>
      </c>
      <c r="AI1185" s="6" t="str">
        <v>2021</v>
      </c>
      <c r="AJ1185" s="6" t="str">
        <v>Completed</v>
      </c>
      <c r="AM1185" s="6" t="str">
        <v>Not Applicable</v>
      </c>
      <c r="AO1185" s="6" t="str">
        <v>CANADA - Microsoft Corp of the US acquired Two Hat Security Ltd, a Kelowna-based software publisher.</v>
      </c>
    </row>
    <row r="1186">
      <c r="A1186" s="6" t="str">
        <v>30303M</v>
      </c>
      <c r="B1186" s="6" t="str">
        <v>United States</v>
      </c>
      <c r="C1186" s="6" t="str">
        <v>Meta Platforms Inc</v>
      </c>
      <c r="D1186" s="6" t="str">
        <v>Meta Platforms Inc</v>
      </c>
      <c r="F1186" s="6" t="str">
        <v>United States</v>
      </c>
      <c r="G1186" s="6" t="str">
        <v>Within Unlimited Inc</v>
      </c>
      <c r="H1186" s="6" t="str">
        <v>Prepackaged Software</v>
      </c>
      <c r="I1186" s="6" t="str">
        <v>9F6812</v>
      </c>
      <c r="J1186" s="6" t="str">
        <v>Within Unlimited Inc</v>
      </c>
      <c r="K1186" s="6" t="str">
        <v>Within Unlimited Inc</v>
      </c>
      <c r="L1186" s="7">
        <f>=DATE(2021,10,29)</f>
        <v>44497.99949074074</v>
      </c>
      <c r="M1186" s="7">
        <f>=DATE(2023,2,2)</f>
        <v>44958.99949074074</v>
      </c>
      <c r="W1186" s="6" t="str">
        <v>Internet Services &amp; Software</v>
      </c>
      <c r="X1186" s="6" t="str">
        <v>Other Software (inq. Games)</v>
      </c>
      <c r="Y1186" s="6" t="str">
        <v>Other Software (inq. Games)</v>
      </c>
      <c r="Z1186" s="6" t="str">
        <v>Other Software (inq. Games)</v>
      </c>
      <c r="AA1186" s="6" t="str">
        <v>Internet Services &amp; Software</v>
      </c>
      <c r="AB1186" s="6" t="str">
        <v>Internet Services &amp; Software</v>
      </c>
      <c r="AH1186" s="6" t="str">
        <v>False</v>
      </c>
      <c r="AI1186" s="6" t="str">
        <v>2023</v>
      </c>
      <c r="AJ1186" s="6" t="str">
        <v>Completed</v>
      </c>
      <c r="AM1186" s="6" t="str">
        <v>Financial Acquiror</v>
      </c>
      <c r="AO1186" s="6" t="str">
        <v>US - Meta Platforms Inc acquired Within Unlimited Inc, a Los Angeles-based software publisher. Terms of the deal were not disclosed.</v>
      </c>
    </row>
    <row r="1187">
      <c r="A1187" s="6" t="str">
        <v>023135</v>
      </c>
      <c r="B1187" s="6" t="str">
        <v>United States</v>
      </c>
      <c r="C1187" s="6" t="str">
        <v>Amazon.com Inc</v>
      </c>
      <c r="D1187" s="6" t="str">
        <v>Amazon.com Inc</v>
      </c>
      <c r="F1187" s="6" t="str">
        <v>United Kingdom</v>
      </c>
      <c r="G1187" s="6" t="str">
        <v>Veeqo Ltd</v>
      </c>
      <c r="H1187" s="6" t="str">
        <v>Business Services</v>
      </c>
      <c r="I1187" s="6" t="str">
        <v>4E0693</v>
      </c>
      <c r="J1187" s="6" t="str">
        <v>Veeqo Ltd</v>
      </c>
      <c r="K1187" s="6" t="str">
        <v>Veeqo Ltd</v>
      </c>
      <c r="L1187" s="7">
        <f>=DATE(2021,11,2)</f>
        <v>44501.99949074074</v>
      </c>
      <c r="M1187" s="7">
        <f>=DATE(2021,11,2)</f>
        <v>44501.99949074074</v>
      </c>
      <c r="W1187" s="6" t="str">
        <v>Primary Business not Hi-Tech</v>
      </c>
      <c r="X1187" s="6" t="str">
        <v>Internet Services &amp; Software</v>
      </c>
      <c r="Y1187" s="6" t="str">
        <v>Internet Services &amp; Software</v>
      </c>
      <c r="Z1187" s="6" t="str">
        <v>Internet Services &amp; Software</v>
      </c>
      <c r="AA1187" s="6" t="str">
        <v>Primary Business not Hi-Tech</v>
      </c>
      <c r="AB1187" s="6" t="str">
        <v>Primary Business not Hi-Tech</v>
      </c>
      <c r="AH1187" s="6" t="str">
        <v>True</v>
      </c>
      <c r="AI1187" s="6" t="str">
        <v>2021</v>
      </c>
      <c r="AJ1187" s="6" t="str">
        <v>Completed</v>
      </c>
      <c r="AM1187" s="6" t="str">
        <v>Not Applicable</v>
      </c>
      <c r="AO1187" s="6" t="str">
        <v>UK - Amazon.com Inc of the US acquired Veeqo Ltd, a Swansea-based online retailer.</v>
      </c>
    </row>
    <row r="1188">
      <c r="A1188" s="6" t="str">
        <v>7J8440</v>
      </c>
      <c r="B1188" s="6" t="str">
        <v>United States</v>
      </c>
      <c r="C1188" s="6" t="str">
        <v>Google LLC</v>
      </c>
      <c r="D1188" s="6" t="str">
        <v>Alphabet Inc</v>
      </c>
      <c r="F1188" s="6" t="str">
        <v>France</v>
      </c>
      <c r="G1188" s="6" t="str">
        <v>TAP Sound System SAS</v>
      </c>
      <c r="H1188" s="6" t="str">
        <v>Prepackaged Software</v>
      </c>
      <c r="I1188" s="6" t="str">
        <v>0M9567</v>
      </c>
      <c r="J1188" s="6" t="str">
        <v>TAP Sound System SAS</v>
      </c>
      <c r="K1188" s="6" t="str">
        <v>TAP Sound System SAS</v>
      </c>
      <c r="L1188" s="7">
        <f>=DATE(2021,11,18)</f>
        <v>44517.99949074074</v>
      </c>
      <c r="M1188" s="7">
        <f>=DATE(2021,11,18)</f>
        <v>44517.99949074074</v>
      </c>
      <c r="W1188" s="6" t="str">
        <v>Programming Services;Internet Services &amp; Software</v>
      </c>
      <c r="X1188" s="6" t="str">
        <v>Other Software (inq. Games);Internet Services &amp; Software;Utilities/File Mgmt Software;Applications Software(Business;Desktop Publishing;Communication/Network Software;Applications Software(Home)</v>
      </c>
      <c r="Y1188" s="6" t="str">
        <v>Other Software (inq. Games);Internet Services &amp; Software;Utilities/File Mgmt Software;Desktop Publishing;Communication/Network Software;Applications Software(Business;Applications Software(Home)</v>
      </c>
      <c r="Z1188" s="6" t="str">
        <v>Internet Services &amp; Software;Applications Software(Business;Applications Software(Home);Desktop Publishing;Utilities/File Mgmt Software;Communication/Network Software;Other Software (inq. Games)</v>
      </c>
      <c r="AA1188" s="6" t="str">
        <v>Primary Business not Hi-Tech;Telecommunications Equipment;Internet Services &amp; Software;Computer Consulting Services;Programming Services</v>
      </c>
      <c r="AB1188" s="6" t="str">
        <v>Computer Consulting Services;Programming Services;Internet Services &amp; Software;Primary Business not Hi-Tech;Telecommunications Equipment</v>
      </c>
      <c r="AH1188" s="6" t="str">
        <v>False</v>
      </c>
      <c r="AI1188" s="6" t="str">
        <v>2021</v>
      </c>
      <c r="AJ1188" s="6" t="str">
        <v>Completed</v>
      </c>
      <c r="AM1188" s="6" t="str">
        <v>Not Applicable</v>
      </c>
      <c r="AO1188" s="6" t="str">
        <v>FRANCE - Google LLC of the US, a unit of Alphabet Inc, agreed to acquire Tap Sound System Sas, software publisher.</v>
      </c>
    </row>
    <row r="1189">
      <c r="A1189" s="6" t="str">
        <v>037833</v>
      </c>
      <c r="B1189" s="6" t="str">
        <v>United States</v>
      </c>
      <c r="C1189" s="6" t="str">
        <v>Apple Inc</v>
      </c>
      <c r="D1189" s="6" t="str">
        <v>Apple Inc</v>
      </c>
      <c r="F1189" s="6" t="str">
        <v>United States</v>
      </c>
      <c r="G1189" s="6" t="str">
        <v>Apple Inc</v>
      </c>
      <c r="H1189" s="6" t="str">
        <v>Computer and Office Equipment</v>
      </c>
      <c r="I1189" s="6" t="str">
        <v>037833</v>
      </c>
      <c r="J1189" s="6" t="str">
        <v>Apple Inc</v>
      </c>
      <c r="K1189" s="6" t="str">
        <v>Apple Inc</v>
      </c>
      <c r="L1189" s="7">
        <f>=DATE(2021,11,30)</f>
        <v>44529.99949074074</v>
      </c>
      <c r="M1189" s="7">
        <f>=DATE(2022,1,30)</f>
        <v>44590.99949074074</v>
      </c>
      <c r="N1189" s="8">
        <v>6000</v>
      </c>
      <c r="O1189" s="8">
        <v>6000</v>
      </c>
      <c r="P1189" s="8" t="str">
        <v>2,875,453.20</v>
      </c>
      <c r="R1189" s="8">
        <v>94680</v>
      </c>
      <c r="S1189" s="8">
        <v>365817</v>
      </c>
      <c r="T1189" s="8">
        <v>-93353</v>
      </c>
      <c r="U1189" s="8">
        <v>-14545</v>
      </c>
      <c r="V1189" s="8">
        <v>104038</v>
      </c>
      <c r="W1189" s="6" t="str">
        <v>Portable Computers;Mainframes &amp; Super Computers;Other Peripherals;Disk Drives;Micro-Computers (PCs);Printers;Monitors/Terminals;Other Software (inq. Games)</v>
      </c>
      <c r="X1189" s="6" t="str">
        <v>Disk Drives;Monitors/Terminals;Portable Computers;Mainframes &amp; Super Computers;Other Peripherals;Micro-Computers (PCs);Printers;Other Software (inq. Games)</v>
      </c>
      <c r="Y1189" s="6" t="str">
        <v>Printers;Monitors/Terminals;Micro-Computers (PCs);Disk Drives;Portable Computers;Mainframes &amp; Super Computers;Other Software (inq. Games);Other Peripherals</v>
      </c>
      <c r="Z1189" s="6" t="str">
        <v>Mainframes &amp; Super Computers;Other Software (inq. Games);Micro-Computers (PCs);Disk Drives;Portable Computers;Monitors/Terminals;Other Peripherals;Printers</v>
      </c>
      <c r="AA1189" s="6" t="str">
        <v>Other Software (inq. Games);Mainframes &amp; Super Computers;Printers;Other Peripherals;Disk Drives;Portable Computers;Micro-Computers (PCs);Monitors/Terminals</v>
      </c>
      <c r="AB1189" s="6" t="str">
        <v>Other Software (inq. Games);Printers;Disk Drives;Portable Computers;Monitors/Terminals;Other Peripherals;Mainframes &amp; Super Computers;Micro-Computers (PCs)</v>
      </c>
      <c r="AC1189" s="8">
        <v>6000</v>
      </c>
      <c r="AD1189" s="7">
        <f>=DATE(2021,11,30)</f>
        <v>44529.99949074074</v>
      </c>
      <c r="AF1189" s="8" t="str">
        <v>2,875,453.20</v>
      </c>
      <c r="AG1189" s="8" t="str">
        <v>2,875,453.20</v>
      </c>
      <c r="AH1189" s="6" t="str">
        <v>True</v>
      </c>
      <c r="AI1189" s="6" t="str">
        <v>2022</v>
      </c>
      <c r="AJ1189" s="6" t="str">
        <v>Completed</v>
      </c>
      <c r="AL1189" s="8">
        <v>35</v>
      </c>
      <c r="AM1189" s="6" t="str">
        <v>Repurchase;Open Market Purchase</v>
      </c>
      <c r="AO1189" s="6" t="str">
        <v>US - On Nov 2015, the board of Apple Inc, a Cupertino-based manufacturer and wholesaler of mobile communication and media devices, completed the repurchase of USD 6 bil of the company's entire share capital, in an accelerated buyback transaction.</v>
      </c>
    </row>
    <row r="1190">
      <c r="A1190" s="6" t="str">
        <v>30303M</v>
      </c>
      <c r="B1190" s="6" t="str">
        <v>United States</v>
      </c>
      <c r="C1190" s="6" t="str">
        <v>Meta Platforms Inc</v>
      </c>
      <c r="D1190" s="6" t="str">
        <v>Meta Platforms Inc</v>
      </c>
      <c r="F1190" s="6" t="str">
        <v>United States</v>
      </c>
      <c r="G1190" s="6" t="str">
        <v>BlinkAI Technologies Inc</v>
      </c>
      <c r="H1190" s="6" t="str">
        <v>Prepackaged Software</v>
      </c>
      <c r="I1190" s="6" t="str">
        <v>5M5489</v>
      </c>
      <c r="J1190" s="6" t="str">
        <v>BlinkAI Technologies Inc</v>
      </c>
      <c r="K1190" s="6" t="str">
        <v>BlinkAI Technologies Inc</v>
      </c>
      <c r="L1190" s="7">
        <f>=DATE(2021,12,4)</f>
        <v>44533.99949074074</v>
      </c>
      <c r="M1190" s="7">
        <f>=DATE(2021,12,4)</f>
        <v>44533.99949074074</v>
      </c>
      <c r="W1190" s="6" t="str">
        <v>Internet Services &amp; Software</v>
      </c>
      <c r="X1190" s="6" t="str">
        <v>Other Software (inq. Games)</v>
      </c>
      <c r="Y1190" s="6" t="str">
        <v>Other Software (inq. Games)</v>
      </c>
      <c r="Z1190" s="6" t="str">
        <v>Other Software (inq. Games)</v>
      </c>
      <c r="AA1190" s="6" t="str">
        <v>Internet Services &amp; Software</v>
      </c>
      <c r="AB1190" s="6" t="str">
        <v>Internet Services &amp; Software</v>
      </c>
      <c r="AH1190" s="6" t="str">
        <v>False</v>
      </c>
      <c r="AI1190" s="6" t="str">
        <v>2021</v>
      </c>
      <c r="AJ1190" s="6" t="str">
        <v>Completed</v>
      </c>
      <c r="AM1190" s="6" t="str">
        <v>Financial Acquiror</v>
      </c>
      <c r="AO1190" s="6" t="str">
        <v>US - Meta Platforms Inc acquired BlinkAI Technologies Inc, a Boston-based developer of image enhancing software. Terms of the deal were not disclosed.</v>
      </c>
    </row>
    <row r="1191">
      <c r="A1191" s="6" t="str">
        <v>30303M</v>
      </c>
      <c r="B1191" s="6" t="str">
        <v>United States</v>
      </c>
      <c r="C1191" s="6" t="str">
        <v>Meta Platforms Inc</v>
      </c>
      <c r="D1191" s="6" t="str">
        <v>Meta Platforms Inc</v>
      </c>
      <c r="F1191" s="6" t="str">
        <v>United States</v>
      </c>
      <c r="G1191" s="6" t="str">
        <v>ImagineOptix Corp</v>
      </c>
      <c r="H1191" s="6" t="str">
        <v>Electronic and Electrical Equipment</v>
      </c>
      <c r="I1191" s="6" t="str">
        <v>4N7175</v>
      </c>
      <c r="J1191" s="6" t="str">
        <v>ImagineOptix Corp</v>
      </c>
      <c r="K1191" s="6" t="str">
        <v>ImagineOptix Corp</v>
      </c>
      <c r="L1191" s="7">
        <f>=DATE(2021,12,21)</f>
        <v>44550.99949074074</v>
      </c>
      <c r="M1191" s="7">
        <f>=DATE(2021,12,21)</f>
        <v>44550.99949074074</v>
      </c>
      <c r="W1191" s="6" t="str">
        <v>Internet Services &amp; Software</v>
      </c>
      <c r="X1191" s="6" t="str">
        <v>Lasers(Excluding Medical);Semiconductors;Other Electronics;Superconductors;Robotics</v>
      </c>
      <c r="Y1191" s="6" t="str">
        <v>Lasers(Excluding Medical);Robotics;Superconductors;Other Electronics;Semiconductors</v>
      </c>
      <c r="Z1191" s="6" t="str">
        <v>Other Electronics;Superconductors;Semiconductors;Lasers(Excluding Medical);Robotics</v>
      </c>
      <c r="AA1191" s="6" t="str">
        <v>Internet Services &amp; Software</v>
      </c>
      <c r="AB1191" s="6" t="str">
        <v>Internet Services &amp; Software</v>
      </c>
      <c r="AH1191" s="6" t="str">
        <v>True</v>
      </c>
      <c r="AI1191" s="6" t="str">
        <v>2021</v>
      </c>
      <c r="AJ1191" s="6" t="str">
        <v>Completed</v>
      </c>
      <c r="AM1191" s="6" t="str">
        <v>Financial Acquiror</v>
      </c>
      <c r="AO1191" s="6" t="str">
        <v>US - Meta Platforms Inc acquired ImagineOptix Corp, a Durham-based manufacturer of optical thin films to develop video projectors.</v>
      </c>
    </row>
    <row r="1192">
      <c r="A1192" s="6" t="str">
        <v>594918</v>
      </c>
      <c r="B1192" s="6" t="str">
        <v>United States</v>
      </c>
      <c r="C1192" s="6" t="str">
        <v>Microsoft Corp</v>
      </c>
      <c r="D1192" s="6" t="str">
        <v>Microsoft Corp</v>
      </c>
      <c r="F1192" s="6" t="str">
        <v>United States</v>
      </c>
      <c r="G1192" s="6" t="str">
        <v>Xandr Inc</v>
      </c>
      <c r="H1192" s="6" t="str">
        <v>Prepackaged Software</v>
      </c>
      <c r="I1192" s="6" t="str">
        <v>5J9777</v>
      </c>
      <c r="J1192" s="6" t="str">
        <v>AT&amp;T Inc</v>
      </c>
      <c r="K1192" s="6" t="str">
        <v>AT&amp;T Inc</v>
      </c>
      <c r="L1192" s="7">
        <f>=DATE(2021,12,21)</f>
        <v>44550.99949074074</v>
      </c>
      <c r="M1192" s="7">
        <f>=DATE(2022,6,6)</f>
        <v>44717.99949074074</v>
      </c>
      <c r="W1192" s="6" t="str">
        <v>Internet Services &amp; Software;Applications Software(Business;Other Peripherals;Monitors/Terminals;Operating Systems;Computer Consulting Services</v>
      </c>
      <c r="X1192" s="6" t="str">
        <v>Other Software (inq. Games)</v>
      </c>
      <c r="Y1192" s="6" t="str">
        <v>Satellite Communications;Data Commun(Exclude networking;Cellular Communications;Networking Systems (LAN,WAN);Internet Services &amp; Software</v>
      </c>
      <c r="Z1192" s="6" t="str">
        <v>Networking Systems (LAN,WAN);Internet Services &amp; Software;Data Commun(Exclude networking;Satellite Communications;Cellular Communications</v>
      </c>
      <c r="AA1192" s="6" t="str">
        <v>Applications Software(Business;Monitors/Terminals;Computer Consulting Services;Other Peripherals;Internet Services &amp; Software;Operating Systems</v>
      </c>
      <c r="AB1192" s="6" t="str">
        <v>Monitors/Terminals;Computer Consulting Services;Operating Systems;Internet Services &amp; Software;Other Peripherals;Applications Software(Business</v>
      </c>
      <c r="AH1192" s="6" t="str">
        <v>False</v>
      </c>
      <c r="AI1192" s="6" t="str">
        <v>2022</v>
      </c>
      <c r="AJ1192" s="6" t="str">
        <v>Completed</v>
      </c>
      <c r="AM1192" s="6" t="str">
        <v>Divestiture</v>
      </c>
      <c r="AO1192" s="6" t="str">
        <v>US - Microsoft Corp acquired Xandr Inc, a New York City-based software publisher, from AT&amp;T Inc.</v>
      </c>
    </row>
    <row r="1193">
      <c r="A1193" s="6" t="str">
        <v>7J8440</v>
      </c>
      <c r="B1193" s="6" t="str">
        <v>United States</v>
      </c>
      <c r="C1193" s="6" t="str">
        <v>Google LLC</v>
      </c>
      <c r="D1193" s="6" t="str">
        <v>Alphabet Inc</v>
      </c>
      <c r="F1193" s="6" t="str">
        <v>Taiwan</v>
      </c>
      <c r="G1193" s="6" t="str">
        <v>Ennoconn Corp</v>
      </c>
      <c r="H1193" s="6" t="str">
        <v>Computer and Office Equipment</v>
      </c>
      <c r="I1193" s="6" t="str">
        <v>0A9524</v>
      </c>
      <c r="J1193" s="6" t="str">
        <v>Ennoconn Corp</v>
      </c>
      <c r="K1193" s="6" t="str">
        <v>Ennoconn Corp</v>
      </c>
      <c r="L1193" s="7">
        <f>=DATE(2022,1,4)</f>
        <v>44564.99949074074</v>
      </c>
      <c r="N1193" s="8">
        <v>40.0683865832037</v>
      </c>
      <c r="O1193" s="8">
        <v>40.0683865832037</v>
      </c>
      <c r="P1193" s="8" t="str">
        <v>2,011.21</v>
      </c>
      <c r="R1193" s="8">
        <v>120.962904157044</v>
      </c>
      <c r="S1193" s="8">
        <v>3484.29005484988</v>
      </c>
      <c r="T1193" s="8">
        <v>72.923931871</v>
      </c>
      <c r="U1193" s="8">
        <v>-40.197784353</v>
      </c>
      <c r="V1193" s="8">
        <v>57.503319861</v>
      </c>
      <c r="W1193" s="6" t="str">
        <v>Programming Services;Internet Services &amp; Software</v>
      </c>
      <c r="X1193" s="6" t="str">
        <v>Disk Drives;Monitors/Terminals;Computer Consulting Services;Other Peripherals</v>
      </c>
      <c r="Y1193" s="6" t="str">
        <v>Disk Drives;Monitors/Terminals;Other Peripherals;Computer Consulting Services</v>
      </c>
      <c r="Z1193" s="6" t="str">
        <v>Monitors/Terminals;Other Peripherals;Disk Drives;Computer Consulting Services</v>
      </c>
      <c r="AA1193" s="6" t="str">
        <v>Primary Business not Hi-Tech;Computer Consulting Services;Telecommunications Equipment;Internet Services &amp; Software;Programming Services</v>
      </c>
      <c r="AB1193" s="6" t="str">
        <v>Internet Services &amp; Software;Programming Services;Computer Consulting Services;Telecommunications Equipment;Primary Business not Hi-Tech</v>
      </c>
      <c r="AC1193" s="8">
        <v>40.0683865832037</v>
      </c>
      <c r="AD1193" s="7">
        <f>=DATE(2022,1,4)</f>
        <v>44564.99949074074</v>
      </c>
      <c r="AE1193" s="8">
        <v>876.019573451532</v>
      </c>
      <c r="AF1193" s="8" t="str">
        <v>1,282.88</v>
      </c>
      <c r="AH1193" s="6" t="str">
        <v>True</v>
      </c>
      <c r="AJ1193" s="6" t="str">
        <v>Pending</v>
      </c>
      <c r="AK1193" s="8">
        <v>876.019573451532</v>
      </c>
      <c r="AL1193" s="8">
        <v>4.88</v>
      </c>
      <c r="AM1193" s="6" t="str">
        <v>Privately Negotiated Purchase</v>
      </c>
      <c r="AN1193" s="8">
        <v>709.445294457275</v>
      </c>
      <c r="AO1193" s="6" t="str">
        <v>TAIWAN - Google LLC of the US, a unit of Alphabet Inc, agreed to acquire a 4.574% stake, or 4.88 mil new ordinary shares in Ennoconn Corp, a New Taipei-based manufacturer and wholesaler of recording media, for an estimated TWD 226.92 (USD 8.211) per share, or a total value of TWD 1.107 bil (USD 40.068 mil), in a privately negotiated transaction.</v>
      </c>
    </row>
    <row r="1194">
      <c r="A1194" s="6" t="str">
        <v>594918</v>
      </c>
      <c r="B1194" s="6" t="str">
        <v>United States</v>
      </c>
      <c r="C1194" s="6" t="str">
        <v>Microsoft Corp</v>
      </c>
      <c r="D1194" s="6" t="str">
        <v>Microsoft Corp</v>
      </c>
      <c r="E1194" s="6" t="str">
        <v>Ubisoft Entertainment SA</v>
      </c>
      <c r="F1194" s="6" t="str">
        <v>United States</v>
      </c>
      <c r="G1194" s="6" t="str">
        <v>Activision Blizzard Inc</v>
      </c>
      <c r="H1194" s="6" t="str">
        <v>Prepackaged Software</v>
      </c>
      <c r="I1194" s="6" t="str">
        <v>00507V</v>
      </c>
      <c r="J1194" s="6" t="str">
        <v>Activision Blizzard Inc</v>
      </c>
      <c r="K1194" s="6" t="str">
        <v>Activision Blizzard Inc</v>
      </c>
      <c r="L1194" s="7">
        <f>=DATE(2022,1,18)</f>
        <v>44578.99949074074</v>
      </c>
      <c r="M1194" s="7">
        <f>=DATE(2023,10,13)</f>
        <v>45211.99949074074</v>
      </c>
      <c r="N1194" s="8">
        <v>75621.309</v>
      </c>
      <c r="O1194" s="8">
        <v>75621.309</v>
      </c>
      <c r="P1194" s="8" t="str">
        <v>67,427.44</v>
      </c>
      <c r="R1194" s="8">
        <v>2699</v>
      </c>
      <c r="S1194" s="8">
        <v>8803</v>
      </c>
      <c r="T1194" s="8">
        <v>-521</v>
      </c>
      <c r="U1194" s="8">
        <v>-59</v>
      </c>
      <c r="V1194" s="8">
        <v>2414</v>
      </c>
      <c r="W1194" s="6" t="str">
        <v>Other Peripherals;Operating Systems;Applications Software(Business;Computer Consulting Services;Internet Services &amp; Software;Monitors/Terminals</v>
      </c>
      <c r="X1194" s="6" t="str">
        <v>Other Computer Systems;Operating Systems;Other Software (inq. Games)</v>
      </c>
      <c r="Y1194" s="6" t="str">
        <v>Other Software (inq. Games);Other Computer Systems;Operating Systems</v>
      </c>
      <c r="Z1194" s="6" t="str">
        <v>Other Software (inq. Games);Other Computer Systems;Operating Systems</v>
      </c>
      <c r="AA1194" s="6" t="str">
        <v>Operating Systems;Internet Services &amp; Software;Computer Consulting Services;Applications Software(Business;Monitors/Terminals;Other Peripherals</v>
      </c>
      <c r="AB1194" s="6" t="str">
        <v>Monitors/Terminals;Internet Services &amp; Software;Applications Software(Business;Other Peripherals;Computer Consulting Services;Operating Systems</v>
      </c>
      <c r="AC1194" s="8">
        <v>75621.309</v>
      </c>
      <c r="AD1194" s="7">
        <f>=DATE(2022,1,18)</f>
        <v>44578.99949074074</v>
      </c>
      <c r="AE1194" s="8">
        <v>76176.23925</v>
      </c>
      <c r="AF1194" s="8" t="str">
        <v>67,427.84</v>
      </c>
      <c r="AG1194" s="8" t="str">
        <v>67,427.44</v>
      </c>
      <c r="AH1194" s="6" t="str">
        <v>True</v>
      </c>
      <c r="AI1194" s="6" t="str">
        <v>2023</v>
      </c>
      <c r="AJ1194" s="6" t="str">
        <v>Completed</v>
      </c>
      <c r="AK1194" s="8">
        <v>76176.23925</v>
      </c>
      <c r="AL1194" s="8">
        <v>801.85515</v>
      </c>
      <c r="AM1194" s="6" t="str">
        <v>Not Applicable</v>
      </c>
      <c r="AN1194" s="8">
        <v>10457</v>
      </c>
      <c r="AO1194" s="6" t="str">
        <v>US - Microsoft Corp merged with Activision Blizzard Inc (Activision), a Santa Monica-based developer and wholesaler of interactive entertainment software, for USD 95 in cash per share, or total value of USD 75.621 bil. Concurrently, Ubisoft Entertainment SA acquired the streaming rights of Activision.</v>
      </c>
    </row>
    <row r="1195">
      <c r="A1195" s="6" t="str">
        <v>73959W</v>
      </c>
      <c r="B1195" s="6" t="str">
        <v>United States</v>
      </c>
      <c r="C1195" s="6" t="str">
        <v>PowerSchool Group LLC</v>
      </c>
      <c r="D1195" s="6" t="str">
        <v>Powerschool Holdings Inc</v>
      </c>
      <c r="F1195" s="6" t="str">
        <v>United States</v>
      </c>
      <c r="G1195" s="6" t="str">
        <v>Kinvolved Inc</v>
      </c>
      <c r="H1195" s="6" t="str">
        <v>Prepackaged Software</v>
      </c>
      <c r="I1195" s="6" t="str">
        <v>3M3301</v>
      </c>
      <c r="J1195" s="6" t="str">
        <v>Kinvolved Inc</v>
      </c>
      <c r="K1195" s="6" t="str">
        <v>Kinvolved Inc</v>
      </c>
      <c r="L1195" s="7">
        <f>=DATE(2022,1,25)</f>
        <v>44585.99949074074</v>
      </c>
      <c r="N1195" s="8">
        <v>23.3</v>
      </c>
      <c r="O1195" s="8">
        <v>23.3</v>
      </c>
      <c r="W1195" s="6" t="str">
        <v>Other Software (inq. Games)</v>
      </c>
      <c r="X1195" s="6" t="str">
        <v>Applications Software(Home);Applications Software(Business;Internet Services &amp; Software;Desktop Publishing;Communication/Network Software;Other Software (inq. Games);Utilities/File Mgmt Software;Primary Business not Hi-Tech</v>
      </c>
      <c r="Y1195" s="6" t="str">
        <v>Other Software (inq. Games);Internet Services &amp; Software;Applications Software(Home);Applications Software(Business;Desktop Publishing;Communication/Network Software;Primary Business not Hi-Tech;Utilities/File Mgmt Software</v>
      </c>
      <c r="Z1195" s="6" t="str">
        <v>Applications Software(Business;Primary Business not Hi-Tech;Desktop Publishing;Internet Services &amp; Software;Other Software (inq. Games);Applications Software(Home);Communication/Network Software;Utilities/File Mgmt Software</v>
      </c>
      <c r="AA1195" s="6" t="str">
        <v>Internet Services &amp; Software;Applications Software(Home);Desktop Publishing;Applications Software(Business;Primary Business not Hi-Tech;Communication/Network Software;Utilities/File Mgmt Software;Other Software (inq. Games)</v>
      </c>
      <c r="AB1195" s="6" t="str">
        <v>Utilities/File Mgmt Software;Communication/Network Software;Desktop Publishing;Applications Software(Home);Applications Software(Business;Other Software (inq. Games);Primary Business not Hi-Tech;Internet Services &amp; Software</v>
      </c>
      <c r="AC1195" s="8">
        <v>23.3</v>
      </c>
      <c r="AD1195" s="7">
        <f>=DATE(2022,1,25)</f>
        <v>44585.99949074074</v>
      </c>
      <c r="AH1195" s="6" t="str">
        <v>True</v>
      </c>
      <c r="AJ1195" s="6" t="str">
        <v>Pending</v>
      </c>
      <c r="AM1195" s="6" t="str">
        <v>Financial Acquiror</v>
      </c>
      <c r="AO1195" s="6" t="str">
        <v>US - PowerSchool Group LLC, a unit of Vista Equity Partners Management LLC, agreed to acquire Kinvolved Inc, a New York-based software publisher, for a total USD 23.3 mil.</v>
      </c>
    </row>
    <row r="1196">
      <c r="A1196" s="6" t="str">
        <v>7J8440</v>
      </c>
      <c r="B1196" s="6" t="str">
        <v>United States</v>
      </c>
      <c r="C1196" s="6" t="str">
        <v>Google LLC</v>
      </c>
      <c r="D1196" s="6" t="str">
        <v>Alphabet Inc</v>
      </c>
      <c r="F1196" s="6" t="str">
        <v>India</v>
      </c>
      <c r="G1196" s="6" t="str">
        <v>Bharti Airtel Ltd</v>
      </c>
      <c r="H1196" s="6" t="str">
        <v>Telecommunications</v>
      </c>
      <c r="I1196" s="6" t="str">
        <v>08898H</v>
      </c>
      <c r="J1196" s="6" t="str">
        <v>Bharti Airtel Ltd</v>
      </c>
      <c r="K1196" s="6" t="str">
        <v>Bharti Airtel Ltd</v>
      </c>
      <c r="L1196" s="7">
        <f>=DATE(2022,1,28)</f>
        <v>44588.99949074074</v>
      </c>
      <c r="N1196" s="8">
        <v>694.842262063095</v>
      </c>
      <c r="O1196" s="8">
        <v>694.842262063095</v>
      </c>
      <c r="P1196" s="8" t="str">
        <v>75,035.48</v>
      </c>
      <c r="R1196" s="8">
        <v>819.315938603677</v>
      </c>
      <c r="S1196" s="8">
        <v>14878.254797427</v>
      </c>
      <c r="T1196" s="8">
        <v>290.343373575</v>
      </c>
      <c r="U1196" s="8">
        <v>-6729.638631877</v>
      </c>
      <c r="V1196" s="8">
        <v>6240.791222958</v>
      </c>
      <c r="W1196" s="6" t="str">
        <v>Programming Services;Internet Services &amp; Software</v>
      </c>
      <c r="X1196" s="6" t="str">
        <v>Telecommunications Equipment</v>
      </c>
      <c r="Y1196" s="6" t="str">
        <v>Telecommunications Equipment</v>
      </c>
      <c r="Z1196" s="6" t="str">
        <v>Telecommunications Equipment</v>
      </c>
      <c r="AA1196" s="6" t="str">
        <v>Computer Consulting Services;Internet Services &amp; Software;Programming Services;Primary Business not Hi-Tech;Telecommunications Equipment</v>
      </c>
      <c r="AB1196" s="6" t="str">
        <v>Programming Services;Primary Business not Hi-Tech;Internet Services &amp; Software;Telecommunications Equipment;Computer Consulting Services</v>
      </c>
      <c r="AC1196" s="8">
        <v>694.842262063095</v>
      </c>
      <c r="AD1196" s="7">
        <f>=DATE(2022,1,28)</f>
        <v>44588.99949074074</v>
      </c>
      <c r="AE1196" s="8">
        <v>57443.8362321115</v>
      </c>
      <c r="AF1196" s="8" t="str">
        <v>75,281.75</v>
      </c>
      <c r="AH1196" s="6" t="str">
        <v>True</v>
      </c>
      <c r="AJ1196" s="6" t="str">
        <v>Pending</v>
      </c>
      <c r="AK1196" s="8">
        <v>57443.8362321115</v>
      </c>
      <c r="AL1196" s="8">
        <v>71.176839</v>
      </c>
      <c r="AM1196" s="6" t="str">
        <v>Privately Negotiated Purchase</v>
      </c>
      <c r="AN1196" s="8">
        <v>16690.050626452</v>
      </c>
      <c r="AO1196" s="6" t="str">
        <v>INDIA - Google Inc of the US, a unit of Alphabet Inc, planned to acquire a 1.28% stake, or 71.177 mil newly issued shares in Bharti Airtel Ltd, a Gurgaon-based wired telecommunications carrier, for INR 734 (USD 9.762) in cash per share, or a total INR 52.244 bil (USD 694.842 mil) in cash, in a privately negotiated transaction.</v>
      </c>
    </row>
    <row r="1197">
      <c r="A1197" s="6" t="str">
        <v>30303M</v>
      </c>
      <c r="B1197" s="6" t="str">
        <v>United States</v>
      </c>
      <c r="C1197" s="6" t="str">
        <v>Meta Platforms Inc</v>
      </c>
      <c r="D1197" s="6" t="str">
        <v>Meta Platforms Inc</v>
      </c>
      <c r="F1197" s="6" t="str">
        <v>Greece</v>
      </c>
      <c r="G1197" s="6" t="str">
        <v>Accusonus SA</v>
      </c>
      <c r="H1197" s="6" t="str">
        <v>Prepackaged Software</v>
      </c>
      <c r="I1197" s="6" t="str">
        <v>4M7222</v>
      </c>
      <c r="J1197" s="6" t="str">
        <v>Accusonus SA</v>
      </c>
      <c r="K1197" s="6" t="str">
        <v>Accusonus SA</v>
      </c>
      <c r="L1197" s="7">
        <f>=DATE(2022,2,1)</f>
        <v>44592.99949074074</v>
      </c>
      <c r="W1197" s="6" t="str">
        <v>Internet Services &amp; Software</v>
      </c>
      <c r="X1197" s="6" t="str">
        <v>Other Software (inq. Games)</v>
      </c>
      <c r="Y1197" s="6" t="str">
        <v>Other Software (inq. Games)</v>
      </c>
      <c r="Z1197" s="6" t="str">
        <v>Other Software (inq. Games)</v>
      </c>
      <c r="AA1197" s="6" t="str">
        <v>Internet Services &amp; Software</v>
      </c>
      <c r="AB1197" s="6" t="str">
        <v>Internet Services &amp; Software</v>
      </c>
      <c r="AD1197" s="7">
        <f>=DATE(2022,2,1)</f>
        <v>44592.99949074074</v>
      </c>
      <c r="AH1197" s="6" t="str">
        <v>True</v>
      </c>
      <c r="AJ1197" s="6" t="str">
        <v>Dismissed Rumor</v>
      </c>
      <c r="AM1197" s="6" t="str">
        <v>Financial Acquiror;Rumored Deal</v>
      </c>
      <c r="AO1197" s="6" t="str">
        <v>GREECE - Meta Platforms Inc of the US was rumored to be planning to acquire the entire share capital of Accusonus SA, a Patras-based software publisher. The terms of the transaction were not disclosed, but according to sources close to the transaction, the value was estimated at EUR 100 mil (USD 112.33 mil). The Current status of this deal is unknown.</v>
      </c>
    </row>
    <row r="1198">
      <c r="A1198" s="6" t="str">
        <v>037833</v>
      </c>
      <c r="B1198" s="6" t="str">
        <v>United States</v>
      </c>
      <c r="C1198" s="6" t="str">
        <v>Apple Inc</v>
      </c>
      <c r="D1198" s="6" t="str">
        <v>Apple Inc</v>
      </c>
      <c r="F1198" s="6" t="str">
        <v>United Kingdom</v>
      </c>
      <c r="G1198" s="6" t="str">
        <v>AI Music Ltd</v>
      </c>
      <c r="H1198" s="6" t="str">
        <v>Prepackaged Software</v>
      </c>
      <c r="I1198" s="6" t="str">
        <v>3M7993</v>
      </c>
      <c r="J1198" s="6" t="str">
        <v>AI Music Ltd</v>
      </c>
      <c r="K1198" s="6" t="str">
        <v>AI Music Ltd</v>
      </c>
      <c r="L1198" s="7">
        <f>=DATE(2022,2,7)</f>
        <v>44598.99949074074</v>
      </c>
      <c r="W1198" s="6" t="str">
        <v>Monitors/Terminals;Micro-Computers (PCs);Other Software (inq. Games);Portable Computers;Printers;Mainframes &amp; Super Computers;Other Peripherals;Disk Drives</v>
      </c>
      <c r="X1198" s="6" t="str">
        <v>Primary Business not Hi-Tech;Other Software (inq. Games);Applications Software(Business;Internet Services &amp; Software;Communication/Network Software;Computer Consulting Services;Other Computer Related Svcs;Data Processing Services;Applications Software(Home);Desktop Publishing;Utilities/File Mgmt Software</v>
      </c>
      <c r="Y1198" s="6" t="str">
        <v>Applications Software(Home);Desktop Publishing;Communication/Network Software;Utilities/File Mgmt Software;Other Software (inq. Games);Computer Consulting Services;Data Processing Services;Applications Software(Business;Other Computer Related Svcs;Primary Business not Hi-Tech;Internet Services &amp; Software</v>
      </c>
      <c r="Z1198" s="6" t="str">
        <v>Applications Software(Business;Primary Business not Hi-Tech;Communication/Network Software;Other Computer Related Svcs;Other Software (inq. Games);Computer Consulting Services;Desktop Publishing;Internet Services &amp; Software;Applications Software(Home);Data Processing Services;Utilities/File Mgmt Software</v>
      </c>
      <c r="AA1198" s="6" t="str">
        <v>Other Software (inq. Games);Micro-Computers (PCs);Monitors/Terminals;Printers;Mainframes &amp; Super Computers;Portable Computers;Disk Drives;Other Peripherals</v>
      </c>
      <c r="AB1198" s="6" t="str">
        <v>Monitors/Terminals;Other Peripherals;Other Software (inq. Games);Printers;Disk Drives;Mainframes &amp; Super Computers;Portable Computers;Micro-Computers (PCs)</v>
      </c>
      <c r="AH1198" s="6" t="str">
        <v>True</v>
      </c>
      <c r="AJ1198" s="6" t="str">
        <v>Dismissed Rumor</v>
      </c>
      <c r="AM1198" s="6" t="str">
        <v>Rumored Deal</v>
      </c>
      <c r="AO1198" s="6" t="str">
        <v>UK - Apple Inc of the US was rumored to be planning to acquire AI Music Ltd, a Sevenoaks-based software publisher. Terms were not disclosed. The Current status of this deal is unknown.</v>
      </c>
    </row>
    <row r="1199">
      <c r="A1199" s="6" t="str">
        <v>594918</v>
      </c>
      <c r="B1199" s="6" t="str">
        <v>United States</v>
      </c>
      <c r="C1199" s="6" t="str">
        <v>Microsoft Corp</v>
      </c>
      <c r="D1199" s="6" t="str">
        <v>Microsoft Corp</v>
      </c>
      <c r="F1199" s="6" t="str">
        <v>United States</v>
      </c>
      <c r="G1199" s="6" t="str">
        <v>Mandiant Inc</v>
      </c>
      <c r="H1199" s="6" t="str">
        <v>Prepackaged Software</v>
      </c>
      <c r="I1199" s="6" t="str">
        <v>2A4198</v>
      </c>
      <c r="J1199" s="6" t="str">
        <v>Mandiant Inc</v>
      </c>
      <c r="K1199" s="6" t="str">
        <v>Mandiant Inc</v>
      </c>
      <c r="L1199" s="7">
        <f>=DATE(2022,2,8)</f>
        <v>44599.99949074074</v>
      </c>
      <c r="W1199" s="6" t="str">
        <v>Computer Consulting Services;Monitors/Terminals;Internet Services &amp; Software;Other Peripherals;Applications Software(Business;Operating Systems</v>
      </c>
      <c r="X1199" s="6" t="str">
        <v>Applications Software(Business</v>
      </c>
      <c r="Y1199" s="6" t="str">
        <v>Applications Software(Business;Other Peripherals</v>
      </c>
      <c r="Z1199" s="6" t="str">
        <v>Other Peripherals;Applications Software(Business</v>
      </c>
      <c r="AA1199" s="6" t="str">
        <v>Computer Consulting Services;Internet Services &amp; Software;Operating Systems;Other Peripherals;Monitors/Terminals;Applications Software(Business</v>
      </c>
      <c r="AB1199" s="6" t="str">
        <v>Monitors/Terminals;Operating Systems;Internet Services &amp; Software;Other Peripherals;Applications Software(Business;Computer Consulting Services</v>
      </c>
      <c r="AD1199" s="7">
        <f>=DATE(2022,2,8)</f>
        <v>44599.99949074074</v>
      </c>
      <c r="AH1199" s="6" t="str">
        <v>False</v>
      </c>
      <c r="AJ1199" s="6" t="str">
        <v>Dismissed Rumor</v>
      </c>
      <c r="AM1199" s="6" t="str">
        <v>Rumored Deal</v>
      </c>
      <c r="AO1199" s="6" t="str">
        <v>US - Microsoft Corp was rumored to be planning to acquire the entire share capital of Mandiant Inc, an Alexandria-based reproducer of software. The terms of the transaction were not disclosed, but according to sources close to the transaction, the value was estimated at USD 3.2 bil. The Current status of this deal is unknown.</v>
      </c>
    </row>
    <row r="1200">
      <c r="A1200" s="6" t="str">
        <v>30303M</v>
      </c>
      <c r="B1200" s="6" t="str">
        <v>United States</v>
      </c>
      <c r="C1200" s="6" t="str">
        <v>Meta Platforms Inc</v>
      </c>
      <c r="D1200" s="6" t="str">
        <v>Meta Platforms Inc</v>
      </c>
      <c r="F1200" s="6" t="str">
        <v>United States</v>
      </c>
      <c r="G1200" s="6" t="str">
        <v>Kustomer Inc</v>
      </c>
      <c r="H1200" s="6" t="str">
        <v>Prepackaged Software</v>
      </c>
      <c r="I1200" s="6" t="str">
        <v>4H9237</v>
      </c>
      <c r="J1200" s="6" t="str">
        <v>Kustomer Inc</v>
      </c>
      <c r="K1200" s="6" t="str">
        <v>Kustomer Inc</v>
      </c>
      <c r="L1200" s="7">
        <f>=DATE(2022,2,16)</f>
        <v>44607.99949074074</v>
      </c>
      <c r="M1200" s="7">
        <f>=DATE(2022,2,16)</f>
        <v>44607.99949074074</v>
      </c>
      <c r="W1200" s="6" t="str">
        <v>Internet Services &amp; Software</v>
      </c>
      <c r="X1200" s="6" t="str">
        <v>Internet Services &amp; Software;Data Commun(Exclude networking;Primary Business not Hi-Tech;Operating Systems;Turnkey Systems;CAD/CAM/CAE/Graphics Systems;Communication/Network Software;Other Software (inq. Games);Networking Systems (LAN,WAN);Utilities/File Mgmt Software;Other Computer Systems;Desktop Publishing;Computer Consulting Services;Other Computer Related Svcs;Applications Software(Home);Workstations;Applications Software(Business</v>
      </c>
      <c r="Y1200" s="6" t="str">
        <v>Other Software (inq. Games);Applications Software(Home);Desktop Publishing;Utilities/File Mgmt Software;Workstations;Internet Services &amp; Software;Other Computer Systems;Networking Systems (LAN,WAN);CAD/CAM/CAE/Graphics Systems;Turnkey Systems;Primary Business not Hi-Tech;Other Computer Related Svcs;Operating Systems;Computer Consulting Services;Applications Software(Business;Data Commun(Exclude networking;Communication/Network Software</v>
      </c>
      <c r="Z1200" s="6" t="str">
        <v>Applications Software(Business;Operating Systems;Networking Systems (LAN,WAN);Data Commun(Exclude networking;Computer Consulting Services;Turnkey Systems;Applications Software(Home);Other Computer Systems;CAD/CAM/CAE/Graphics Systems;Communication/Network Software;Utilities/File Mgmt Software;Other Software (inq. Games);Other Computer Related Svcs;Workstations;Internet Services &amp; Software;Desktop Publishing;Primary Business not Hi-Tech</v>
      </c>
      <c r="AA1200" s="6" t="str">
        <v>Internet Services &amp; Software</v>
      </c>
      <c r="AB1200" s="6" t="str">
        <v>Internet Services &amp; Software</v>
      </c>
      <c r="AD1200" s="7">
        <f>=DATE(2020,11,30)</f>
        <v>44164.99949074074</v>
      </c>
      <c r="AH1200" s="6" t="str">
        <v>False</v>
      </c>
      <c r="AI1200" s="6" t="str">
        <v>2022</v>
      </c>
      <c r="AJ1200" s="6" t="str">
        <v>Completed</v>
      </c>
      <c r="AM1200" s="6" t="str">
        <v>Financial Acquiror;Rumored Deal</v>
      </c>
      <c r="AO1200" s="6" t="str">
        <v>US - Meta Platforms Inc acquired Kustomer Inc, a New York City-based software publisher. The terms of the transaction were not disclosed, but according to sources close to the transaction, the value was estimated at USD 1 bil. Originally, in November 2020, Facebook was rumored to be planning to acquire Kustomer.</v>
      </c>
    </row>
    <row r="1201">
      <c r="A1201" s="6" t="str">
        <v>53578A</v>
      </c>
      <c r="B1201" s="6" t="str">
        <v>United States</v>
      </c>
      <c r="C1201" s="6" t="str">
        <v>LinkedIn Corp</v>
      </c>
      <c r="D1201" s="6" t="str">
        <v>Microsoft Corp</v>
      </c>
      <c r="F1201" s="6" t="str">
        <v>Israel</v>
      </c>
      <c r="G1201" s="6" t="str">
        <v>Oribi Ltd</v>
      </c>
      <c r="H1201" s="6" t="str">
        <v>Business Services</v>
      </c>
      <c r="I1201" s="6" t="str">
        <v>3L8164</v>
      </c>
      <c r="J1201" s="6" t="str">
        <v>Oribi Ltd</v>
      </c>
      <c r="K1201" s="6" t="str">
        <v>Oribi Ltd</v>
      </c>
      <c r="L1201" s="7">
        <f>=DATE(2022,2,28)</f>
        <v>44619.99949074074</v>
      </c>
      <c r="M1201" s="7">
        <f>=DATE(2022,2,28)</f>
        <v>44619.99949074074</v>
      </c>
      <c r="W1201" s="6" t="str">
        <v>Internet Services &amp; Software</v>
      </c>
      <c r="X1201" s="6" t="str">
        <v>Computer Consulting Services;Other Computer Related Svcs;Other Software (inq. Games);Data Processing Services</v>
      </c>
      <c r="Y1201" s="6" t="str">
        <v>Computer Consulting Services;Data Processing Services;Other Computer Related Svcs;Other Software (inq. Games)</v>
      </c>
      <c r="Z1201" s="6" t="str">
        <v>Other Computer Related Svcs;Computer Consulting Services;Data Processing Services;Other Software (inq. Games)</v>
      </c>
      <c r="AA1201" s="6" t="str">
        <v>Operating Systems;Monitors/Terminals;Internet Services &amp; Software;Computer Consulting Services;Applications Software(Business;Other Peripherals</v>
      </c>
      <c r="AB1201" s="6" t="str">
        <v>Operating Systems;Internet Services &amp; Software;Other Peripherals;Monitors/Terminals;Computer Consulting Services;Applications Software(Business</v>
      </c>
      <c r="AD1201" s="7">
        <f>=DATE(2022,2,28)</f>
        <v>44619.99949074074</v>
      </c>
      <c r="AH1201" s="6" t="str">
        <v>False</v>
      </c>
      <c r="AI1201" s="6" t="str">
        <v>2022</v>
      </c>
      <c r="AJ1201" s="6" t="str">
        <v>Completed</v>
      </c>
      <c r="AM1201" s="6" t="str">
        <v>Financial Acquiror</v>
      </c>
      <c r="AO1201" s="6" t="str">
        <v>ISRAEL - LinkedIn Corp of the US, a unit of Microsoft Corp, acquired Oribi Ltd, a Tel Aviv-Yafo-based software publisher. The terms of the transaction were not disclosed, but according to sources close to the transaction, the value was estimated at ILS 290.196 mil (USD 90 mil).</v>
      </c>
    </row>
    <row r="1202">
      <c r="A1202" s="6" t="str">
        <v>7J8440</v>
      </c>
      <c r="B1202" s="6" t="str">
        <v>United States</v>
      </c>
      <c r="C1202" s="6" t="str">
        <v>Google LLC</v>
      </c>
      <c r="D1202" s="6" t="str">
        <v>Alphabet Inc</v>
      </c>
      <c r="F1202" s="6" t="str">
        <v>United States</v>
      </c>
      <c r="G1202" s="6" t="str">
        <v>Mandiant Inc</v>
      </c>
      <c r="H1202" s="6" t="str">
        <v>Prepackaged Software</v>
      </c>
      <c r="I1202" s="6" t="str">
        <v>562662</v>
      </c>
      <c r="J1202" s="6" t="str">
        <v>Mandiant Inc</v>
      </c>
      <c r="K1202" s="6" t="str">
        <v>Mandiant Inc</v>
      </c>
      <c r="L1202" s="7">
        <f>=DATE(2022,3,8)</f>
        <v>44627.99949074074</v>
      </c>
      <c r="M1202" s="7">
        <f>=DATE(2022,9,12)</f>
        <v>44815.99949074074</v>
      </c>
      <c r="N1202" s="8">
        <v>5914.604</v>
      </c>
      <c r="O1202" s="8">
        <v>5914.604</v>
      </c>
      <c r="P1202" s="8" t="str">
        <v>4,576.46</v>
      </c>
      <c r="R1202" s="8">
        <v>-412.1</v>
      </c>
      <c r="S1202" s="8">
        <v>483.455</v>
      </c>
      <c r="T1202" s="8">
        <v>-273.393</v>
      </c>
      <c r="U1202" s="8">
        <v>705.752</v>
      </c>
      <c r="V1202" s="8">
        <v>-62.389</v>
      </c>
      <c r="W1202" s="6" t="str">
        <v>Programming Services;Internet Services &amp; Software</v>
      </c>
      <c r="X1202" s="6" t="str">
        <v>Applications Software(Business;Other Peripherals</v>
      </c>
      <c r="Y1202" s="6" t="str">
        <v>Other Peripherals;Applications Software(Business</v>
      </c>
      <c r="Z1202" s="6" t="str">
        <v>Applications Software(Business;Other Peripherals</v>
      </c>
      <c r="AA1202" s="6" t="str">
        <v>Computer Consulting Services;Programming Services;Internet Services &amp; Software;Primary Business not Hi-Tech;Telecommunications Equipment</v>
      </c>
      <c r="AB1202" s="6" t="str">
        <v>Telecommunications Equipment;Internet Services &amp; Software;Computer Consulting Services;Primary Business not Hi-Tech;Programming Services</v>
      </c>
      <c r="AC1202" s="8">
        <v>5914.604</v>
      </c>
      <c r="AD1202" s="7">
        <f>=DATE(2022,3,8)</f>
        <v>44627.99949074074</v>
      </c>
      <c r="AE1202" s="8">
        <v>5926.729125</v>
      </c>
      <c r="AF1202" s="8" t="str">
        <v>4,637.92</v>
      </c>
      <c r="AG1202" s="8" t="str">
        <v>4,576.46</v>
      </c>
      <c r="AH1202" s="6" t="str">
        <v>True</v>
      </c>
      <c r="AI1202" s="6" t="str">
        <v>2022</v>
      </c>
      <c r="AJ1202" s="6" t="str">
        <v>Completed</v>
      </c>
      <c r="AK1202" s="8">
        <v>5926.729125</v>
      </c>
      <c r="AL1202" s="8">
        <v>257.683875</v>
      </c>
      <c r="AM1202" s="6" t="str">
        <v>Rumored Deal</v>
      </c>
      <c r="AN1202" s="8">
        <v>1139.534</v>
      </c>
      <c r="AO1202" s="6" t="str">
        <v>US - Google LLC (Google), a unit of Alphabet Inc, acquired the entire share capital of Mandiant Inc (Mandiant), an Alexandria-based reproducer of software, for USD 23 in cash per share, or a total value of USD 5.915 bil. Originally, in March 2022, Google was rumored to be planning to acquire Mandiant.</v>
      </c>
    </row>
    <row r="1203">
      <c r="A1203" s="6" t="str">
        <v>53578A</v>
      </c>
      <c r="B1203" s="6" t="str">
        <v>United States</v>
      </c>
      <c r="C1203" s="6" t="str">
        <v>LinkedIn Corp</v>
      </c>
      <c r="D1203" s="6" t="str">
        <v>Microsoft Corp</v>
      </c>
      <c r="F1203" s="6" t="str">
        <v>Canada</v>
      </c>
      <c r="G1203" s="6" t="str">
        <v>Paddle Inc</v>
      </c>
      <c r="H1203" s="6" t="str">
        <v>Prepackaged Software</v>
      </c>
      <c r="I1203" s="6" t="str">
        <v>5M3945</v>
      </c>
      <c r="J1203" s="6" t="str">
        <v>Paddle Inc</v>
      </c>
      <c r="K1203" s="6" t="str">
        <v>Paddle Inc</v>
      </c>
      <c r="L1203" s="7">
        <f>=DATE(2022,3,29)</f>
        <v>44648.99949074074</v>
      </c>
      <c r="M1203" s="7">
        <f>=DATE(2022,3,29)</f>
        <v>44648.99949074074</v>
      </c>
      <c r="W1203" s="6" t="str">
        <v>Internet Services &amp; Software</v>
      </c>
      <c r="X1203" s="6" t="str">
        <v>Other Software (inq. Games)</v>
      </c>
      <c r="Y1203" s="6" t="str">
        <v>Other Software (inq. Games)</v>
      </c>
      <c r="Z1203" s="6" t="str">
        <v>Other Software (inq. Games)</v>
      </c>
      <c r="AA1203" s="6" t="str">
        <v>Internet Services &amp; Software;Applications Software(Business;Computer Consulting Services;Other Peripherals;Operating Systems;Monitors/Terminals</v>
      </c>
      <c r="AB1203" s="6" t="str">
        <v>Operating Systems;Internet Services &amp; Software;Computer Consulting Services;Applications Software(Business;Monitors/Terminals;Other Peripherals</v>
      </c>
      <c r="AH1203" s="6" t="str">
        <v>False</v>
      </c>
      <c r="AI1203" s="6" t="str">
        <v>2022</v>
      </c>
      <c r="AJ1203" s="6" t="str">
        <v>Completed</v>
      </c>
      <c r="AM1203" s="6" t="str">
        <v>Financial Acquiror</v>
      </c>
      <c r="AO1203" s="6" t="str">
        <v>CANADA - LinkedIn Corp of the US, a unit of Microsoft Corp, acquired Paddle Inc, a Toronto-based HR software developer.</v>
      </c>
    </row>
    <row r="1204">
      <c r="A1204" s="6" t="str">
        <v>594918</v>
      </c>
      <c r="B1204" s="6" t="str">
        <v>United States</v>
      </c>
      <c r="C1204" s="6" t="str">
        <v>Microsoft Corp</v>
      </c>
      <c r="D1204" s="6" t="str">
        <v>Microsoft Corp</v>
      </c>
      <c r="F1204" s="6" t="str">
        <v>Slovakia</v>
      </c>
      <c r="G1204" s="6" t="str">
        <v>Minit jsa</v>
      </c>
      <c r="H1204" s="6" t="str">
        <v>Prepackaged Software</v>
      </c>
      <c r="I1204" s="6" t="str">
        <v>0M5423</v>
      </c>
      <c r="J1204" s="6" t="str">
        <v>Minit jsa</v>
      </c>
      <c r="K1204" s="6" t="str">
        <v>Minit jsa</v>
      </c>
      <c r="L1204" s="7">
        <f>=DATE(2022,3,31)</f>
        <v>44650.99949074074</v>
      </c>
      <c r="M1204" s="7">
        <f>=DATE(2022,3,31)</f>
        <v>44650.99949074074</v>
      </c>
      <c r="R1204" s="8">
        <v>-4.58131550826456</v>
      </c>
      <c r="S1204" s="8">
        <v>0.984471272991838</v>
      </c>
      <c r="W1204" s="6" t="str">
        <v>Other Peripherals;Applications Software(Business;Monitors/Terminals;Internet Services &amp; Software;Computer Consulting Services;Operating Systems</v>
      </c>
      <c r="X1204" s="6" t="str">
        <v>Other Computer Related Svcs;Other Software (inq. Games);Computer Consulting Services</v>
      </c>
      <c r="Y1204" s="6" t="str">
        <v>Other Computer Related Svcs;Computer Consulting Services;Other Software (inq. Games)</v>
      </c>
      <c r="Z1204" s="6" t="str">
        <v>Other Computer Related Svcs;Other Software (inq. Games);Computer Consulting Services</v>
      </c>
      <c r="AA1204" s="6" t="str">
        <v>Computer Consulting Services;Applications Software(Business;Operating Systems;Other Peripherals;Monitors/Terminals;Internet Services &amp; Software</v>
      </c>
      <c r="AB1204" s="6" t="str">
        <v>Applications Software(Business;Monitors/Terminals;Operating Systems;Computer Consulting Services;Internet Services &amp; Software;Other Peripherals</v>
      </c>
      <c r="AH1204" s="6" t="str">
        <v>True</v>
      </c>
      <c r="AI1204" s="6" t="str">
        <v>2022</v>
      </c>
      <c r="AJ1204" s="6" t="str">
        <v>Completed</v>
      </c>
      <c r="AM1204" s="6" t="str">
        <v>Not Applicable</v>
      </c>
      <c r="AN1204" s="8">
        <v>1.00152331582657</v>
      </c>
      <c r="AO1204" s="6" t="str">
        <v>SLOVAK REPUBLIC - Microsoft Corp of the US acquired Minit J.S.A, a Bratislava-based software publisher. Terms were not disclosed.</v>
      </c>
    </row>
    <row r="1205">
      <c r="A1205" s="6" t="str">
        <v>30303M</v>
      </c>
      <c r="B1205" s="6" t="str">
        <v>United States</v>
      </c>
      <c r="C1205" s="6" t="str">
        <v>Meta Platforms Inc</v>
      </c>
      <c r="D1205" s="6" t="str">
        <v>Meta Platforms Inc</v>
      </c>
      <c r="F1205" s="6" t="str">
        <v>Germany</v>
      </c>
      <c r="G1205" s="6" t="str">
        <v>Presize GmbH</v>
      </c>
      <c r="H1205" s="6" t="str">
        <v>Business Services</v>
      </c>
      <c r="I1205" s="6" t="str">
        <v>6K8826</v>
      </c>
      <c r="J1205" s="6" t="str">
        <v>Presize GmbH</v>
      </c>
      <c r="K1205" s="6" t="str">
        <v>Presize GmbH</v>
      </c>
      <c r="L1205" s="7">
        <f>=DATE(2022,4,13)</f>
        <v>44663.99949074074</v>
      </c>
      <c r="W1205" s="6" t="str">
        <v>Internet Services &amp; Software</v>
      </c>
      <c r="X1205" s="6" t="str">
        <v>Primary Business not Hi-Tech;Database Software/Programming;Programming Services</v>
      </c>
      <c r="Y1205" s="6" t="str">
        <v>Primary Business not Hi-Tech;Programming Services;Database Software/Programming</v>
      </c>
      <c r="Z1205" s="6" t="str">
        <v>Database Software/Programming;Programming Services;Primary Business not Hi-Tech</v>
      </c>
      <c r="AA1205" s="6" t="str">
        <v>Internet Services &amp; Software</v>
      </c>
      <c r="AB1205" s="6" t="str">
        <v>Internet Services &amp; Software</v>
      </c>
      <c r="AH1205" s="6" t="str">
        <v>False</v>
      </c>
      <c r="AJ1205" s="6" t="str">
        <v>Pending</v>
      </c>
      <c r="AM1205" s="6" t="str">
        <v>Financial Acquiror</v>
      </c>
      <c r="AO1205" s="6" t="str">
        <v>GERMANY - Meta Platforms Inc of the US planned to acquire Presize GmbH, a Munich-based provider of custom computer programming services.</v>
      </c>
    </row>
    <row r="1206">
      <c r="A1206" s="6" t="str">
        <v>6M0301</v>
      </c>
      <c r="B1206" s="6" t="str">
        <v>United States</v>
      </c>
      <c r="C1206" s="6" t="str">
        <v>Amazon Industrial Innovation Fund</v>
      </c>
      <c r="D1206" s="6" t="str">
        <v>Amazon.com Inc</v>
      </c>
      <c r="F1206" s="6" t="str">
        <v>United States</v>
      </c>
      <c r="G1206" s="6" t="str">
        <v>Mantis Robotics Inc</v>
      </c>
      <c r="H1206" s="6" t="str">
        <v>Business Services</v>
      </c>
      <c r="I1206" s="6" t="str">
        <v>0N1758</v>
      </c>
      <c r="J1206" s="6" t="str">
        <v>Mantis Robotics Inc</v>
      </c>
      <c r="K1206" s="6" t="str">
        <v>Mantis Robotics Inc</v>
      </c>
      <c r="L1206" s="7">
        <f>=DATE(2022,4,21)</f>
        <v>44671.99949074074</v>
      </c>
      <c r="M1206" s="7">
        <f>=DATE(2022,4,21)</f>
        <v>44671.99949074074</v>
      </c>
      <c r="W1206" s="6" t="str">
        <v>Primary Business not Hi-Tech</v>
      </c>
      <c r="X1206" s="6" t="str">
        <v>Database Software/Programming;Programming Services</v>
      </c>
      <c r="Y1206" s="6" t="str">
        <v>Programming Services;Database Software/Programming</v>
      </c>
      <c r="Z1206" s="6" t="str">
        <v>Programming Services;Database Software/Programming</v>
      </c>
      <c r="AA1206" s="6" t="str">
        <v>Primary Business not Hi-Tech</v>
      </c>
      <c r="AB1206" s="6" t="str">
        <v>Primary Business not Hi-Tech</v>
      </c>
      <c r="AH1206" s="6" t="str">
        <v>False</v>
      </c>
      <c r="AI1206" s="6" t="str">
        <v>2022</v>
      </c>
      <c r="AJ1206" s="6" t="str">
        <v>Completed</v>
      </c>
      <c r="AM1206" s="6" t="str">
        <v>Financial Acquiror;Privately Negotiated Purchase</v>
      </c>
      <c r="AO1206" s="6" t="str">
        <v>US - Amazon Industrial Innovation Fund, a unit of Amazon.com Inc, acquired an undisclosed minority stake in Mantis Robotics Inc, a San Francisco-based provider of custom computer programming services, in a privately negotiated transaction.</v>
      </c>
    </row>
    <row r="1207">
      <c r="A1207" s="6" t="str">
        <v>7J8440</v>
      </c>
      <c r="B1207" s="6" t="str">
        <v>United States</v>
      </c>
      <c r="C1207" s="6" t="str">
        <v>Google LLC</v>
      </c>
      <c r="D1207" s="6" t="str">
        <v>Alphabet Inc</v>
      </c>
      <c r="F1207" s="6" t="str">
        <v>United States</v>
      </c>
      <c r="G1207" s="6" t="str">
        <v>Raxium Inc</v>
      </c>
      <c r="H1207" s="6" t="str">
        <v>Electronic and Electrical Equipment</v>
      </c>
      <c r="I1207" s="6" t="str">
        <v>6M4704</v>
      </c>
      <c r="J1207" s="6" t="str">
        <v>Raxium Inc</v>
      </c>
      <c r="K1207" s="6" t="str">
        <v>Raxium Inc</v>
      </c>
      <c r="L1207" s="7">
        <f>=DATE(2022,5,4)</f>
        <v>44684.99949074074</v>
      </c>
      <c r="M1207" s="7">
        <f>=DATE(2022,5,4)</f>
        <v>44684.99949074074</v>
      </c>
      <c r="W1207" s="6" t="str">
        <v>Programming Services;Internet Services &amp; Software</v>
      </c>
      <c r="X1207" s="6" t="str">
        <v>Other Electronics;Semiconductors</v>
      </c>
      <c r="Y1207" s="6" t="str">
        <v>Semiconductors;Other Electronics</v>
      </c>
      <c r="Z1207" s="6" t="str">
        <v>Semiconductors;Other Electronics</v>
      </c>
      <c r="AA1207" s="6" t="str">
        <v>Computer Consulting Services;Internet Services &amp; Software;Programming Services;Primary Business not Hi-Tech;Telecommunications Equipment</v>
      </c>
      <c r="AB1207" s="6" t="str">
        <v>Computer Consulting Services;Primary Business not Hi-Tech;Internet Services &amp; Software;Programming Services;Telecommunications Equipment</v>
      </c>
      <c r="AD1207" s="7">
        <f>=DATE(2022,5,4)</f>
        <v>44684.99949074074</v>
      </c>
      <c r="AH1207" s="6" t="str">
        <v>False</v>
      </c>
      <c r="AI1207" s="6" t="str">
        <v>2022</v>
      </c>
      <c r="AJ1207" s="6" t="str">
        <v>Completed</v>
      </c>
      <c r="AM1207" s="6" t="str">
        <v>Rumored Deal</v>
      </c>
      <c r="AO1207" s="6" t="str">
        <v>US - Google LLC (Google), a unit of Alphabet Inc, acquired Raxium Inc (Raxium), a Fremont-based manufacturer of MicroLED display technologies. Originally, in March 2022, Google was rumored to be planning to acquire Raxium. The terms of the transaction were not disclosed, but according to sources close to the transaction, the value was estimated at USD 1 bil.</v>
      </c>
    </row>
    <row r="1208">
      <c r="A1208" s="6" t="str">
        <v>7J8440</v>
      </c>
      <c r="B1208" s="6" t="str">
        <v>United States</v>
      </c>
      <c r="C1208" s="6" t="str">
        <v>Google LLC</v>
      </c>
      <c r="D1208" s="6" t="str">
        <v>Alphabet Inc</v>
      </c>
      <c r="F1208" s="6" t="str">
        <v>Sweden</v>
      </c>
      <c r="G1208" s="6" t="str">
        <v>Foreseeti AB</v>
      </c>
      <c r="H1208" s="6" t="str">
        <v>Prepackaged Software</v>
      </c>
      <c r="I1208" s="6" t="str">
        <v>6M6017</v>
      </c>
      <c r="J1208" s="6" t="str">
        <v>Foreseeti AB</v>
      </c>
      <c r="K1208" s="6" t="str">
        <v>Foreseeti AB</v>
      </c>
      <c r="L1208" s="7">
        <f>=DATE(2022,5,16)</f>
        <v>44696.99949074074</v>
      </c>
      <c r="M1208" s="7">
        <f>=DATE(2022,5,16)</f>
        <v>44696.99949074074</v>
      </c>
      <c r="R1208" s="8">
        <v>-1.28440569961944</v>
      </c>
      <c r="S1208" s="8">
        <v>1.25564209222055</v>
      </c>
      <c r="W1208" s="6" t="str">
        <v>Internet Services &amp; Software;Programming Services</v>
      </c>
      <c r="X1208" s="6" t="str">
        <v>Other Computer Systems;Turnkey Systems;Computer Consulting Services;Programming Services;Data Commun(Exclude networking;Networking Systems (LAN,WAN);CAD/CAM/CAE/Graphics Systems;Other Computer Related Svcs;Other Software (inq. Games);Operating Systems;Internet Services &amp; Software;Workstations;Database Software/Programming;Applications Software(Business;Applications Software(Home);Communication/Network Software;Utilities/File Mgmt Software;Desktop Publishing</v>
      </c>
      <c r="Y1208" s="6" t="str">
        <v>Utilities/File Mgmt Software;Communication/Network Software;Other Software (inq. Games);Desktop Publishing;Applications Software(Home);Applications Software(Business;Database Software/Programming;Turnkey Systems;Data Commun(Exclude networking;Other Computer Systems;Operating Systems;Programming Services;Networking Systems (LAN,WAN);Workstations;CAD/CAM/CAE/Graphics Systems;Other Computer Related Svcs;Internet Services &amp; Software;Computer Consulting Services</v>
      </c>
      <c r="Z1208" s="6" t="str">
        <v>Other Computer Related Svcs;Programming Services;Data Commun(Exclude networking;Computer Consulting Services;Networking Systems (LAN,WAN);Workstations;Applications Software(Business;Turnkey Systems;CAD/CAM/CAE/Graphics Systems;Other Computer Systems;Other Software (inq. Games);Operating Systems;Utilities/File Mgmt Software;Internet Services &amp; Software;Communication/Network Software;Database Software/Programming;Applications Software(Home);Desktop Publishing</v>
      </c>
      <c r="AA1208" s="6" t="str">
        <v>Telecommunications Equipment;Internet Services &amp; Software;Programming Services;Primary Business not Hi-Tech;Computer Consulting Services</v>
      </c>
      <c r="AB1208" s="6" t="str">
        <v>Primary Business not Hi-Tech;Internet Services &amp; Software;Telecommunications Equipment;Programming Services;Computer Consulting Services</v>
      </c>
      <c r="AH1208" s="6" t="str">
        <v>True</v>
      </c>
      <c r="AI1208" s="6" t="str">
        <v>2022</v>
      </c>
      <c r="AJ1208" s="6" t="str">
        <v>Completed</v>
      </c>
      <c r="AM1208" s="6" t="str">
        <v>Not Applicable</v>
      </c>
      <c r="AO1208" s="6" t="str">
        <v>SWEDEN - Google LLC of the US, a unit of Alphabet Inc, acquired Foreseeti AB, a Stockholm-based software publisher.</v>
      </c>
    </row>
    <row r="1209">
      <c r="A1209" s="6" t="str">
        <v>01864J</v>
      </c>
      <c r="B1209" s="6" t="str">
        <v>United States</v>
      </c>
      <c r="C1209" s="6" t="str">
        <v>Avanade Inc</v>
      </c>
      <c r="D1209" s="6" t="str">
        <v>Accenture PLC</v>
      </c>
      <c r="F1209" s="6" t="str">
        <v>Spain</v>
      </c>
      <c r="G1209" s="6" t="str">
        <v>Kabel Sistemas de Informacion SL</v>
      </c>
      <c r="H1209" s="6" t="str">
        <v>Prepackaged Software</v>
      </c>
      <c r="I1209" s="6" t="str">
        <v>6M9914</v>
      </c>
      <c r="J1209" s="6" t="str">
        <v>Kabel Sistemas de Informacion SL</v>
      </c>
      <c r="K1209" s="6" t="str">
        <v>Kabel Sistemas de Informacion SL</v>
      </c>
      <c r="L1209" s="7">
        <f>=DATE(2022,5,27)</f>
        <v>44707.99949074074</v>
      </c>
      <c r="M1209" s="7">
        <f>=DATE(2022,5,27)</f>
        <v>44707.99949074074</v>
      </c>
      <c r="R1209" s="8">
        <v>1.32210172111952</v>
      </c>
      <c r="S1209" s="8">
        <v>18.5014664756838</v>
      </c>
      <c r="W1209" s="6" t="str">
        <v>Other Computer Related Svcs;Other Software (inq. Games);Computer Consulting Services</v>
      </c>
      <c r="X1209" s="6" t="str">
        <v>Internet Services &amp; Software;Utilities/File Mgmt Software;Desktop Publishing;Applications Software(Business;Applications Software(Home);Communication/Network Software;Other Software (inq. Games)</v>
      </c>
      <c r="Y1209" s="6" t="str">
        <v>Applications Software(Home);Communication/Network Software;Applications Software(Business;Internet Services &amp; Software;Desktop Publishing;Other Software (inq. Games);Utilities/File Mgmt Software</v>
      </c>
      <c r="Z1209" s="6" t="str">
        <v>Other Software (inq. Games);Communication/Network Software;Utilities/File Mgmt Software;Internet Services &amp; Software;Applications Software(Business;Applications Software(Home);Desktop Publishing</v>
      </c>
      <c r="AA1209" s="6" t="str">
        <v>Utilities/File Mgmt Software;Networking Systems (LAN,WAN);Other Software (inq. Games);Internet Services &amp; Software;Turnkey Systems;Other Computer Systems;Applications Software(Business;Primary Business not Hi-Tech;Other Computer Related Svcs;Computer Consulting Services;Workstations;Communication/Network Software;Data Commun(Exclude networking;Applications Software(Home);Desktop Publishing;CAD/CAM/CAE/Graphics Systems;Data Processing Services;Operating Systems</v>
      </c>
      <c r="AB1209" s="6" t="str">
        <v>Desktop Publishing;Applications Software(Home);Utilities/File Mgmt Software;Primary Business not Hi-Tech;CAD/CAM/CAE/Graphics Systems;Other Computer Related Svcs;Communication/Network Software;Data Processing Services;Applications Software(Business;Operating Systems;Networking Systems (LAN,WAN);Other Software (inq. Games);Computer Consulting Services;Data Commun(Exclude networking;Other Computer Systems;Workstations;Internet Services &amp; Software;Turnkey Systems</v>
      </c>
      <c r="AH1209" s="6" t="str">
        <v>True</v>
      </c>
      <c r="AI1209" s="6" t="str">
        <v>2022</v>
      </c>
      <c r="AJ1209" s="6" t="str">
        <v>Completed</v>
      </c>
      <c r="AM1209" s="6" t="str">
        <v>Not Applicable</v>
      </c>
      <c r="AN1209" s="8">
        <v>0.079576199895414</v>
      </c>
      <c r="AO1209" s="6" t="str">
        <v>SPAIN - Avanade Inc of the US, jointly owned by Accenture PLC and Microsoft Corp, acquired Kabel Sistemas de Informacion SL, software publisher. Terms were not disclosed.</v>
      </c>
    </row>
    <row r="1210">
      <c r="A1210" s="6" t="str">
        <v>09362H</v>
      </c>
      <c r="B1210" s="6" t="str">
        <v>United States</v>
      </c>
      <c r="C1210" s="6" t="str">
        <v>Blizzard Entertainment Inc</v>
      </c>
      <c r="D1210" s="6" t="str">
        <v>Activision Blizzard Inc</v>
      </c>
      <c r="F1210" s="6" t="str">
        <v>United States</v>
      </c>
      <c r="G1210" s="6" t="str">
        <v>Proletariat Inc</v>
      </c>
      <c r="H1210" s="6" t="str">
        <v>Prepackaged Software</v>
      </c>
      <c r="I1210" s="6" t="str">
        <v>8K6753</v>
      </c>
      <c r="J1210" s="6" t="str">
        <v>Proletariat Inc</v>
      </c>
      <c r="K1210" s="6" t="str">
        <v>Proletariat Inc</v>
      </c>
      <c r="L1210" s="7">
        <f>=DATE(2022,7,1)</f>
        <v>44742.99949074074</v>
      </c>
      <c r="M1210" s="7">
        <f>=DATE(2022,7,1)</f>
        <v>44742.99949074074</v>
      </c>
      <c r="W1210" s="6" t="str">
        <v>Other Software (inq. Games)</v>
      </c>
      <c r="X1210" s="6" t="str">
        <v>Internet Services &amp; Software;Applications Software(Home);Other Software (inq. Games);Utilities/File Mgmt Software;Desktop Publishing;Applications Software(Business;Communication/Network Software</v>
      </c>
      <c r="Y1210" s="6" t="str">
        <v>Utilities/File Mgmt Software;Other Software (inq. Games);Communication/Network Software;Desktop Publishing;Applications Software(Business;Internet Services &amp; Software;Applications Software(Home)</v>
      </c>
      <c r="Z1210" s="6" t="str">
        <v>Internet Services &amp; Software;Other Software (inq. Games);Communication/Network Software;Applications Software(Business;Applications Software(Home);Utilities/File Mgmt Software;Desktop Publishing</v>
      </c>
      <c r="AA1210" s="6" t="str">
        <v>Other Software (inq. Games);Other Computer Systems;Operating Systems</v>
      </c>
      <c r="AB1210" s="6" t="str">
        <v>Other Software (inq. Games);Other Computer Systems;Operating Systems</v>
      </c>
      <c r="AH1210" s="6" t="str">
        <v>True</v>
      </c>
      <c r="AI1210" s="6" t="str">
        <v>2022</v>
      </c>
      <c r="AJ1210" s="6" t="str">
        <v>Completed</v>
      </c>
      <c r="AM1210" s="6" t="str">
        <v>Not Applicable</v>
      </c>
      <c r="AO1210" s="6" t="str">
        <v>US - Blizzard Entertainment Inc, a unit of Activision Blizzard Inc, acquired Proletariat Inc, a Boston-based software publisher. Terms of this transaction were not disclosed.</v>
      </c>
    </row>
    <row r="1211">
      <c r="A1211" s="6" t="str">
        <v>023135</v>
      </c>
      <c r="B1211" s="6" t="str">
        <v>United States</v>
      </c>
      <c r="C1211" s="6" t="str">
        <v>Amazon.com Inc</v>
      </c>
      <c r="D1211" s="6" t="str">
        <v>Amazon.com Inc</v>
      </c>
      <c r="F1211" s="6" t="str">
        <v>United States</v>
      </c>
      <c r="G1211" s="6" t="str">
        <v>Grubhub Inc</v>
      </c>
      <c r="H1211" s="6" t="str">
        <v>Business Services</v>
      </c>
      <c r="I1211" s="6" t="str">
        <v>400110</v>
      </c>
      <c r="J1211" s="6" t="str">
        <v>Just Eat Takeaway.com NV</v>
      </c>
      <c r="K1211" s="6" t="str">
        <v>Just Eat Takeaway.com NV</v>
      </c>
      <c r="L1211" s="7">
        <f>=DATE(2022,7,6)</f>
        <v>44747.99949074074</v>
      </c>
      <c r="W1211" s="6" t="str">
        <v>Primary Business not Hi-Tech</v>
      </c>
      <c r="X1211" s="6" t="str">
        <v>Other Software (inq. Games);Database Software/Programming;Computer Consulting Services;Desktop Publishing;Applications Software(Business;Communication/Network Software;Primary Business not Hi-Tech;Internet Services &amp; Software;Applications Software(Home);Networking Systems (LAN,WAN);Utilities/File Mgmt Software;Other Computer Related Svcs</v>
      </c>
      <c r="Y1211" s="6" t="str">
        <v>Desktop Publishing;Applications Software(Business;Primary Business not Hi-Tech;Other Software (inq. Games);Networking Systems (LAN,WAN);Applications Software(Home);Other Computer Related Svcs;Internet Services &amp; Software;Computer Consulting Services;Utilities/File Mgmt Software;Communication/Network Software</v>
      </c>
      <c r="Z1211" s="6" t="str">
        <v>Applications Software(Business;Computer Consulting Services;Applications Software(Home);Other Computer Related Svcs;Utilities/File Mgmt Software;Communication/Network Software;Other Software (inq. Games);Primary Business not Hi-Tech;Internet Services &amp; Software;Networking Systems (LAN,WAN);Desktop Publishing</v>
      </c>
      <c r="AA1211" s="6" t="str">
        <v>Primary Business not Hi-Tech</v>
      </c>
      <c r="AB1211" s="6" t="str">
        <v>Primary Business not Hi-Tech</v>
      </c>
      <c r="AD1211" s="7">
        <f>=DATE(2022,7,6)</f>
        <v>44747.99949074074</v>
      </c>
      <c r="AH1211" s="6" t="str">
        <v>True</v>
      </c>
      <c r="AJ1211" s="6" t="str">
        <v>Pending</v>
      </c>
      <c r="AM1211" s="6" t="str">
        <v>Privately Negotiated Purchase</v>
      </c>
      <c r="AO1211" s="6" t="str">
        <v>US - Amazon.com Inc was granted an option to acquire warrants convertible into a 15% stake in Grubhub Inc, a Chicago-based internet service provider, a unit of Just Eat Takeaway.Com NV, in a privately negotiated transaction. Originally, Just Eat Takeaway.Com NV was seeking a buyer for its Grubhub Inc unit, the value was estimated at USD 1.307 bil.</v>
      </c>
    </row>
    <row r="1212">
      <c r="A1212" s="6" t="str">
        <v>4K2733</v>
      </c>
      <c r="B1212" s="6" t="str">
        <v>United States</v>
      </c>
      <c r="C1212" s="6" t="str">
        <v>Google International LLC</v>
      </c>
      <c r="D1212" s="6" t="str">
        <v>Alphabet Inc</v>
      </c>
      <c r="F1212" s="6" t="str">
        <v>Singapore</v>
      </c>
      <c r="G1212" s="6" t="str">
        <v>Twid Pay Global Pte Ltd</v>
      </c>
      <c r="H1212" s="6" t="str">
        <v>Prepackaged Software</v>
      </c>
      <c r="I1212" s="6" t="str">
        <v>9M0958</v>
      </c>
      <c r="J1212" s="6" t="str">
        <v>Twid Pay Global Pte Ltd</v>
      </c>
      <c r="K1212" s="6" t="str">
        <v>Twid Pay Global Pte Ltd</v>
      </c>
      <c r="L1212" s="7">
        <f>=DATE(2022,7,7)</f>
        <v>44748.99949074074</v>
      </c>
      <c r="M1212" s="7">
        <f>=DATE(2022,7,7)</f>
        <v>44748.99949074074</v>
      </c>
      <c r="N1212" s="8">
        <v>2.5</v>
      </c>
      <c r="O1212" s="8">
        <v>2.5</v>
      </c>
      <c r="S1212" s="8">
        <v>0.558754059639799</v>
      </c>
      <c r="W1212" s="6" t="str">
        <v>Internet Services &amp; Software</v>
      </c>
      <c r="X1212" s="6" t="str">
        <v>Other Software (inq. Games);Internet Services &amp; Software</v>
      </c>
      <c r="Y1212" s="6" t="str">
        <v>Internet Services &amp; Software;Other Software (inq. Games)</v>
      </c>
      <c r="Z1212" s="6" t="str">
        <v>Other Software (inq. Games);Internet Services &amp; Software</v>
      </c>
      <c r="AA1212" s="6" t="str">
        <v>Internet Services &amp; Software;Programming Services</v>
      </c>
      <c r="AB1212" s="6" t="str">
        <v>Telecommunications Equipment;Primary Business not Hi-Tech;Programming Services;Computer Consulting Services;Internet Services &amp; Software</v>
      </c>
      <c r="AC1212" s="8">
        <v>2.5</v>
      </c>
      <c r="AD1212" s="7">
        <f>=DATE(2022,7,7)</f>
        <v>44748.99949074074</v>
      </c>
      <c r="AH1212" s="6" t="str">
        <v>True</v>
      </c>
      <c r="AI1212" s="6" t="str">
        <v>2022</v>
      </c>
      <c r="AJ1212" s="6" t="str">
        <v>Completed</v>
      </c>
      <c r="AM1212" s="6" t="str">
        <v>Privately Negotiated Purchase</v>
      </c>
      <c r="AO1212" s="6" t="str">
        <v>SINGAPORE - Google International LLC of the US, a unit of Alphabet Inc, acquired an undisclosed minority stake in Twid Pay Global Pte Ltd, software publisher, for a total SGD 3.512 mil (USD 2.5 mil), in a privately negotiated transaction.</v>
      </c>
    </row>
    <row r="1213">
      <c r="A1213" s="6" t="str">
        <v>023135</v>
      </c>
      <c r="B1213" s="6" t="str">
        <v>United States</v>
      </c>
      <c r="C1213" s="6" t="str">
        <v>Amazon.com Inc</v>
      </c>
      <c r="D1213" s="6" t="str">
        <v>Amazon.com Inc</v>
      </c>
      <c r="F1213" s="6" t="str">
        <v>United States</v>
      </c>
      <c r="G1213" s="6" t="str">
        <v>iRobot Corp</v>
      </c>
      <c r="H1213" s="6" t="str">
        <v>Electronic and Electrical Equipment</v>
      </c>
      <c r="I1213" s="6" t="str">
        <v>462726</v>
      </c>
      <c r="J1213" s="6" t="str">
        <v>iRobot Corp</v>
      </c>
      <c r="K1213" s="6" t="str">
        <v>iRobot Corp</v>
      </c>
      <c r="L1213" s="7">
        <f>=DATE(2022,8,5)</f>
        <v>44777.99949074074</v>
      </c>
      <c r="N1213" s="8">
        <v>1487.13</v>
      </c>
      <c r="O1213" s="8">
        <v>1487.13</v>
      </c>
      <c r="P1213" s="8" t="str">
        <v>1,375.71</v>
      </c>
      <c r="R1213" s="8">
        <v>-374.38</v>
      </c>
      <c r="S1213" s="8">
        <v>1032.923</v>
      </c>
      <c r="T1213" s="8">
        <v>-35.353</v>
      </c>
      <c r="U1213" s="8">
        <v>-9.823</v>
      </c>
      <c r="V1213" s="8">
        <v>38.38</v>
      </c>
      <c r="W1213" s="6" t="str">
        <v>Primary Business not Hi-Tech</v>
      </c>
      <c r="X1213" s="6" t="str">
        <v>Robotics</v>
      </c>
      <c r="Y1213" s="6" t="str">
        <v>Robotics</v>
      </c>
      <c r="Z1213" s="6" t="str">
        <v>Robotics</v>
      </c>
      <c r="AA1213" s="6" t="str">
        <v>Primary Business not Hi-Tech</v>
      </c>
      <c r="AB1213" s="6" t="str">
        <v>Primary Business not Hi-Tech</v>
      </c>
      <c r="AC1213" s="8">
        <v>1487.13</v>
      </c>
      <c r="AD1213" s="7">
        <f>=DATE(2023,7,25)</f>
        <v>45131.99949074074</v>
      </c>
      <c r="AE1213" s="8">
        <v>1487.13017625</v>
      </c>
      <c r="AF1213" s="8" t="str">
        <v>1,429.58</v>
      </c>
      <c r="AH1213" s="6" t="str">
        <v>True</v>
      </c>
      <c r="AJ1213" s="6" t="str">
        <v>Withdrawn</v>
      </c>
      <c r="AK1213" s="8">
        <v>1487.13017625</v>
      </c>
      <c r="AL1213" s="8">
        <v>28.736815</v>
      </c>
      <c r="AM1213" s="6" t="str">
        <v>Not Applicable</v>
      </c>
      <c r="AN1213" s="8">
        <v>181.294</v>
      </c>
      <c r="AO1213" s="6" t="str">
        <v>US - Amazon.com Inc (Amazon) withdrew its agreement to acquire the entire share capital of iRobot Corp (Robot), a Bedford-based manufacturer and designer of consumer robots, for an amended USD 51.75 in cash per share, or a total value of USD 1.487 bil. Originally, Amazon offered USD 61 in cash per share, or a total value of USD 1.753 bil.</v>
      </c>
    </row>
    <row r="1214">
      <c r="A1214" s="6" t="str">
        <v>023135</v>
      </c>
      <c r="B1214" s="6" t="str">
        <v>United States</v>
      </c>
      <c r="C1214" s="6" t="str">
        <v>Amazon.com Inc</v>
      </c>
      <c r="D1214" s="6" t="str">
        <v>Amazon.com Inc</v>
      </c>
      <c r="F1214" s="6" t="str">
        <v>India</v>
      </c>
      <c r="G1214" s="6" t="str">
        <v>Ecom Express Ltd</v>
      </c>
      <c r="H1214" s="6" t="str">
        <v>Transportation and Shipping (except air)</v>
      </c>
      <c r="I1214" s="6" t="str">
        <v>6Q6174</v>
      </c>
      <c r="J1214" s="6" t="str">
        <v>Ecom Express Ltd</v>
      </c>
      <c r="K1214" s="6" t="str">
        <v>Ecom Express Ltd</v>
      </c>
      <c r="L1214" s="7">
        <f>=DATE(2022,8,8)</f>
        <v>44780.99949074074</v>
      </c>
      <c r="R1214" s="8">
        <v>-12.0411349461275</v>
      </c>
      <c r="S1214" s="8">
        <v>280.276977763256</v>
      </c>
      <c r="T1214" s="8">
        <v>28.823513137</v>
      </c>
      <c r="U1214" s="8">
        <v>-7.89463699</v>
      </c>
      <c r="V1214" s="8">
        <v>-5.934185667</v>
      </c>
      <c r="W1214" s="6" t="str">
        <v>Primary Business not Hi-Tech</v>
      </c>
      <c r="X1214" s="6" t="str">
        <v>Primary Business not Hi-Tech;Internet Services &amp; Software</v>
      </c>
      <c r="Y1214" s="6" t="str">
        <v>Primary Business not Hi-Tech;Internet Services &amp; Software</v>
      </c>
      <c r="Z1214" s="6" t="str">
        <v>Internet Services &amp; Software;Primary Business not Hi-Tech</v>
      </c>
      <c r="AA1214" s="6" t="str">
        <v>Primary Business not Hi-Tech</v>
      </c>
      <c r="AB1214" s="6" t="str">
        <v>Primary Business not Hi-Tech</v>
      </c>
      <c r="AD1214" s="7">
        <f>=DATE(2022,8,8)</f>
        <v>44780.99949074074</v>
      </c>
      <c r="AH1214" s="6" t="str">
        <v>True</v>
      </c>
      <c r="AJ1214" s="6" t="str">
        <v>Dismissed Rumor</v>
      </c>
      <c r="AM1214" s="6" t="str">
        <v>Rumored Deal;Divestiture</v>
      </c>
      <c r="AN1214" s="8">
        <v>8.51918409937103</v>
      </c>
      <c r="AO1214" s="6" t="str">
        <v>INDIA - Amazon.com Inc of the US was rumored to be planning to acquire a 51% interest in Ecom Express Pvt Ltd, a Gurgaon-based provider of freight transportation arrangement services, from Partners Group AG, ultimately owned by Partners Group Holding AG. The terms of the transaction were not disclosed, but according to sources close to the transaction, the value was estimated at INR 47.616 bil (USD 600 mil). The Current status of this deal is unknown.</v>
      </c>
    </row>
    <row r="1215">
      <c r="A1215" s="6" t="str">
        <v>30303M</v>
      </c>
      <c r="B1215" s="6" t="str">
        <v>United States</v>
      </c>
      <c r="C1215" s="6" t="str">
        <v>Meta Platforms Inc</v>
      </c>
      <c r="D1215" s="6" t="str">
        <v>Meta Platforms Inc</v>
      </c>
      <c r="F1215" s="6" t="str">
        <v>Germany</v>
      </c>
      <c r="G1215" s="6" t="str">
        <v>Lofelt Gmbh</v>
      </c>
      <c r="H1215" s="6" t="str">
        <v>Prepackaged Software</v>
      </c>
      <c r="I1215" s="6" t="str">
        <v>9M7934</v>
      </c>
      <c r="J1215" s="6" t="str">
        <v>Lofelt Gmbh</v>
      </c>
      <c r="K1215" s="6" t="str">
        <v>Lofelt Gmbh</v>
      </c>
      <c r="L1215" s="7">
        <f>=DATE(2022,9,2)</f>
        <v>44805.99949074074</v>
      </c>
      <c r="M1215" s="7">
        <f>=DATE(2022,9,2)</f>
        <v>44805.99949074074</v>
      </c>
      <c r="W1215" s="6" t="str">
        <v>Internet Services &amp; Software</v>
      </c>
      <c r="X1215" s="6" t="str">
        <v>Applications Software(Home);Communication/Network Software;Utilities/File Mgmt Software;Other Software (inq. Games);Computer Consulting Services;Internet Services &amp; Software;Desktop Publishing;Other Computer Related Svcs;Applications Software(Business</v>
      </c>
      <c r="Y1215" s="6" t="str">
        <v>Applications Software(Home);Communication/Network Software;Applications Software(Business;Utilities/File Mgmt Software;Other Computer Related Svcs;Desktop Publishing;Internet Services &amp; Software;Computer Consulting Services;Other Software (inq. Games)</v>
      </c>
      <c r="Z1215" s="6" t="str">
        <v>Utilities/File Mgmt Software;Desktop Publishing;Other Computer Related Svcs;Computer Consulting Services;Other Software (inq. Games);Internet Services &amp; Software;Communication/Network Software;Applications Software(Home);Applications Software(Business</v>
      </c>
      <c r="AA1215" s="6" t="str">
        <v>Internet Services &amp; Software</v>
      </c>
      <c r="AB1215" s="6" t="str">
        <v>Internet Services &amp; Software</v>
      </c>
      <c r="AH1215" s="6" t="str">
        <v>True</v>
      </c>
      <c r="AI1215" s="6" t="str">
        <v>2022</v>
      </c>
      <c r="AJ1215" s="6" t="str">
        <v>Completed</v>
      </c>
      <c r="AM1215" s="6" t="str">
        <v>Financial Acquiror</v>
      </c>
      <c r="AO1215" s="6" t="str">
        <v>GERMANY - Meta Platforms Inc of the US acquired Lofelt Gmbh, a Berlin-based software publisher.</v>
      </c>
    </row>
    <row r="1216">
      <c r="A1216" s="6" t="str">
        <v>023135</v>
      </c>
      <c r="B1216" s="6" t="str">
        <v>United States</v>
      </c>
      <c r="C1216" s="6" t="str">
        <v>Amazon.com Inc</v>
      </c>
      <c r="D1216" s="6" t="str">
        <v>Amazon.com Inc</v>
      </c>
      <c r="F1216" s="6" t="str">
        <v>Belgium</v>
      </c>
      <c r="G1216" s="6" t="str">
        <v>D. Cloostermans-Huwaert NV</v>
      </c>
      <c r="H1216" s="6" t="str">
        <v>Machinery</v>
      </c>
      <c r="I1216" s="6" t="str">
        <v>0N2071</v>
      </c>
      <c r="J1216" s="6" t="str">
        <v>D. Cloostermans-Huwaert NV</v>
      </c>
      <c r="K1216" s="6" t="str">
        <v>D. Cloostermans-Huwaert NV</v>
      </c>
      <c r="L1216" s="7">
        <f>=DATE(2022,9,9)</f>
        <v>44812.99949074074</v>
      </c>
      <c r="R1216" s="8">
        <v>0.014674744764261</v>
      </c>
      <c r="S1216" s="8">
        <v>40.3754638267542</v>
      </c>
      <c r="W1216" s="6" t="str">
        <v>Primary Business not Hi-Tech</v>
      </c>
      <c r="X1216" s="6" t="str">
        <v>Lab Equipment;Primary Business not Hi-Tech</v>
      </c>
      <c r="Y1216" s="6" t="str">
        <v>Lab Equipment;Primary Business not Hi-Tech</v>
      </c>
      <c r="Z1216" s="6" t="str">
        <v>Lab Equipment;Primary Business not Hi-Tech</v>
      </c>
      <c r="AA1216" s="6" t="str">
        <v>Primary Business not Hi-Tech</v>
      </c>
      <c r="AB1216" s="6" t="str">
        <v>Primary Business not Hi-Tech</v>
      </c>
      <c r="AH1216" s="6" t="str">
        <v>True</v>
      </c>
      <c r="AJ1216" s="6" t="str">
        <v>Pending</v>
      </c>
      <c r="AM1216" s="6" t="str">
        <v>Not Applicable</v>
      </c>
      <c r="AO1216" s="6" t="str">
        <v>BELGIUM - Amazon.com Inc of the US planned to acquire D. Cloostermans-Huwaert NV, a Hamme-based manufacturer of plastics and rubber industry machinery.</v>
      </c>
    </row>
    <row r="1217">
      <c r="A1217" s="6" t="str">
        <v>30303M</v>
      </c>
      <c r="B1217" s="6" t="str">
        <v>United States</v>
      </c>
      <c r="C1217" s="6" t="str">
        <v>Meta Platforms Inc</v>
      </c>
      <c r="D1217" s="6" t="str">
        <v>Meta Platforms Inc</v>
      </c>
      <c r="F1217" s="6" t="str">
        <v>United States</v>
      </c>
      <c r="G1217" s="6" t="str">
        <v>Camouflaj</v>
      </c>
      <c r="H1217" s="6" t="str">
        <v>Prepackaged Software</v>
      </c>
      <c r="I1217" s="6" t="str">
        <v>2N4113</v>
      </c>
      <c r="J1217" s="6" t="str">
        <v>Camouflaj</v>
      </c>
      <c r="K1217" s="6" t="str">
        <v>Camouflaj</v>
      </c>
      <c r="L1217" s="7">
        <f>=DATE(2022,10,11)</f>
        <v>44844.99949074074</v>
      </c>
      <c r="M1217" s="7">
        <f>=DATE(2022,10,11)</f>
        <v>44844.99949074074</v>
      </c>
      <c r="W1217" s="6" t="str">
        <v>Internet Services &amp; Software</v>
      </c>
      <c r="X1217" s="6" t="str">
        <v>Other Software (inq. Games)</v>
      </c>
      <c r="Y1217" s="6" t="str">
        <v>Other Software (inq. Games)</v>
      </c>
      <c r="Z1217" s="6" t="str">
        <v>Other Software (inq. Games)</v>
      </c>
      <c r="AA1217" s="6" t="str">
        <v>Internet Services &amp; Software</v>
      </c>
      <c r="AB1217" s="6" t="str">
        <v>Internet Services &amp; Software</v>
      </c>
      <c r="AH1217" s="6" t="str">
        <v>True</v>
      </c>
      <c r="AI1217" s="6" t="str">
        <v>2022</v>
      </c>
      <c r="AJ1217" s="6" t="str">
        <v>Completed</v>
      </c>
      <c r="AM1217" s="6" t="str">
        <v>Financial Acquiror</v>
      </c>
      <c r="AO1217" s="6" t="str">
        <v>US - Meta Platforms Inc acquired Camouflaj, a Bellevue-based software publisher. The acquisition was to include Armature Studio and Twisted Pixel.</v>
      </c>
    </row>
    <row r="1218">
      <c r="A1218" s="6" t="str">
        <v>7J8440</v>
      </c>
      <c r="B1218" s="6" t="str">
        <v>United States</v>
      </c>
      <c r="C1218" s="6" t="str">
        <v>Google LLC</v>
      </c>
      <c r="D1218" s="6" t="str">
        <v>Alphabet Inc</v>
      </c>
      <c r="F1218" s="6" t="str">
        <v>United States</v>
      </c>
      <c r="G1218" s="6" t="str">
        <v>BrightBytes Inc</v>
      </c>
      <c r="H1218" s="6" t="str">
        <v>Prepackaged Software</v>
      </c>
      <c r="I1218" s="6" t="str">
        <v>6F4094</v>
      </c>
      <c r="J1218" s="6" t="str">
        <v>BrightBytes Inc</v>
      </c>
      <c r="K1218" s="6" t="str">
        <v>BrightBytes Inc</v>
      </c>
      <c r="L1218" s="7">
        <f>=DATE(2022,10,11)</f>
        <v>44844.99949074074</v>
      </c>
      <c r="M1218" s="7">
        <f>=DATE(2022,10,11)</f>
        <v>44844.99949074074</v>
      </c>
      <c r="W1218" s="6" t="str">
        <v>Internet Services &amp; Software;Programming Services</v>
      </c>
      <c r="X1218" s="6" t="str">
        <v>Communication/Network Software</v>
      </c>
      <c r="Y1218" s="6" t="str">
        <v>Communication/Network Software</v>
      </c>
      <c r="Z1218" s="6" t="str">
        <v>Communication/Network Software</v>
      </c>
      <c r="AA1218" s="6" t="str">
        <v>Telecommunications Equipment;Internet Services &amp; Software;Primary Business not Hi-Tech;Programming Services;Computer Consulting Services</v>
      </c>
      <c r="AB1218" s="6" t="str">
        <v>Primary Business not Hi-Tech;Programming Services;Internet Services &amp; Software;Computer Consulting Services;Telecommunications Equipment</v>
      </c>
      <c r="AH1218" s="6" t="str">
        <v>False</v>
      </c>
      <c r="AI1218" s="6" t="str">
        <v>2022</v>
      </c>
      <c r="AJ1218" s="6" t="str">
        <v>Completed</v>
      </c>
      <c r="AM1218" s="6" t="str">
        <v>Not Applicable</v>
      </c>
      <c r="AO1218" s="6" t="str">
        <v>US - Google LLC, a unit of Alphabet Inc, acquired BrightBytes Inc, a San Francisco-based software publisher.</v>
      </c>
    </row>
    <row r="1219">
      <c r="A1219" s="6" t="str">
        <v>594918</v>
      </c>
      <c r="B1219" s="6" t="str">
        <v>United States</v>
      </c>
      <c r="C1219" s="6" t="str">
        <v>Microsoft Corp</v>
      </c>
      <c r="D1219" s="6" t="str">
        <v>Microsoft Corp</v>
      </c>
      <c r="F1219" s="6" t="str">
        <v>India</v>
      </c>
      <c r="G1219" s="6" t="str">
        <v>Darwinbox Digital Solutions Pvt Ltd</v>
      </c>
      <c r="H1219" s="6" t="str">
        <v>Prepackaged Software</v>
      </c>
      <c r="I1219" s="6" t="str">
        <v>1L5287</v>
      </c>
      <c r="J1219" s="6" t="str">
        <v>Darwinbox Digital Solutions Pvt Ltd</v>
      </c>
      <c r="K1219" s="6" t="str">
        <v>Darwinbox Digital Solutions Pvt Ltd</v>
      </c>
      <c r="L1219" s="7">
        <f>=DATE(2022,11,1)</f>
        <v>44865.99949074074</v>
      </c>
      <c r="M1219" s="7">
        <f>=DATE(2022,11,1)</f>
        <v>44865.99949074074</v>
      </c>
      <c r="N1219" s="8">
        <v>4</v>
      </c>
      <c r="O1219" s="8">
        <v>4</v>
      </c>
      <c r="S1219" s="8">
        <v>6.33063975826189</v>
      </c>
      <c r="W1219" s="6" t="str">
        <v>Computer Consulting Services;Other Peripherals;Operating Systems;Internet Services &amp; Software;Monitors/Terminals;Applications Software(Business</v>
      </c>
      <c r="X1219" s="6" t="str">
        <v>Desktop Publishing;Other Software (inq. Games);Applications Software(Business;Utilities/File Mgmt Software;Internet Services &amp; Software;Applications Software(Home);Communication/Network Software</v>
      </c>
      <c r="Y1219" s="6" t="str">
        <v>Other Software (inq. Games);Utilities/File Mgmt Software;Internet Services &amp; Software;Applications Software(Home);Desktop Publishing;Communication/Network Software;Applications Software(Business</v>
      </c>
      <c r="Z1219" s="6" t="str">
        <v>Communication/Network Software;Applications Software(Home);Desktop Publishing;Internet Services &amp; Software;Other Software (inq. Games);Applications Software(Business;Utilities/File Mgmt Software</v>
      </c>
      <c r="AA1219" s="6" t="str">
        <v>Computer Consulting Services;Applications Software(Business;Internet Services &amp; Software;Operating Systems;Monitors/Terminals;Other Peripherals</v>
      </c>
      <c r="AB1219" s="6" t="str">
        <v>Internet Services &amp; Software;Operating Systems;Other Peripherals;Computer Consulting Services;Monitors/Terminals;Applications Software(Business</v>
      </c>
      <c r="AC1219" s="8">
        <v>4</v>
      </c>
      <c r="AD1219" s="7">
        <f>=DATE(2022,11,1)</f>
        <v>44865.99949074074</v>
      </c>
      <c r="AH1219" s="6" t="str">
        <v>True</v>
      </c>
      <c r="AI1219" s="6" t="str">
        <v>2022</v>
      </c>
      <c r="AJ1219" s="6" t="str">
        <v>Completed</v>
      </c>
      <c r="AM1219" s="6" t="str">
        <v>Privately Negotiated Purchase;Financial Acquiror</v>
      </c>
      <c r="AO1219" s="6" t="str">
        <v>INDIA - Microsoft Corp of the US acquired an undisclosed minority stake in Darwinbox Digital Solutions Pvt Ltd, a Hyderabad-based software publisher, for a total INR 331.08 mil (USD 4 mil), in a privately negotiated transaction.</v>
      </c>
    </row>
    <row r="1220">
      <c r="A1220" s="6" t="str">
        <v>594918</v>
      </c>
      <c r="B1220" s="6" t="str">
        <v>United States</v>
      </c>
      <c r="C1220" s="6" t="str">
        <v>Microsoft Corp</v>
      </c>
      <c r="D1220" s="6" t="str">
        <v>Microsoft Corp</v>
      </c>
      <c r="F1220" s="6" t="str">
        <v>United Kingdom</v>
      </c>
      <c r="G1220" s="6" t="str">
        <v>Lumenisity Ltd</v>
      </c>
      <c r="H1220" s="6" t="str">
        <v>Business Services</v>
      </c>
      <c r="I1220" s="6" t="str">
        <v>2N7204</v>
      </c>
      <c r="J1220" s="6" t="str">
        <v>Lumenisity Ltd</v>
      </c>
      <c r="K1220" s="6" t="str">
        <v>Lumenisity Ltd</v>
      </c>
      <c r="L1220" s="7">
        <f>=DATE(2022,12,9)</f>
        <v>44903.99949074074</v>
      </c>
      <c r="M1220" s="7">
        <f>=DATE(2022,12,9)</f>
        <v>44903.99949074074</v>
      </c>
      <c r="W1220" s="6" t="str">
        <v>Computer Consulting Services;Monitors/Terminals;Operating Systems;Internet Services &amp; Software;Other Peripherals;Applications Software(Business</v>
      </c>
      <c r="X1220" s="6" t="str">
        <v>Other Software (inq. Games);Other Computer Related Svcs;Data Processing Services;Computer Consulting Services</v>
      </c>
      <c r="Y1220" s="6" t="str">
        <v>Other Software (inq. Games);Other Computer Related Svcs;Computer Consulting Services;Data Processing Services</v>
      </c>
      <c r="Z1220" s="6" t="str">
        <v>Computer Consulting Services;Other Software (inq. Games);Other Computer Related Svcs;Data Processing Services</v>
      </c>
      <c r="AA1220" s="6" t="str">
        <v>Monitors/Terminals;Other Peripherals;Computer Consulting Services;Applications Software(Business;Operating Systems;Internet Services &amp; Software</v>
      </c>
      <c r="AB1220" s="6" t="str">
        <v>Applications Software(Business;Operating Systems;Internet Services &amp; Software;Other Peripherals;Monitors/Terminals;Computer Consulting Services</v>
      </c>
      <c r="AH1220" s="6" t="str">
        <v>False</v>
      </c>
      <c r="AI1220" s="6" t="str">
        <v>2022</v>
      </c>
      <c r="AJ1220" s="6" t="str">
        <v>Completed</v>
      </c>
      <c r="AM1220" s="6" t="str">
        <v>Not Applicable</v>
      </c>
      <c r="AO1220" s="6" t="str">
        <v>UK - Microsoft Corp of the US acquired Lumenisity Ltd, a London-based software publisher. Terms were not disclosed.</v>
      </c>
    </row>
    <row r="1221">
      <c r="A1221" s="6" t="str">
        <v>30303M</v>
      </c>
      <c r="B1221" s="6" t="str">
        <v>United States</v>
      </c>
      <c r="C1221" s="6" t="str">
        <v>Meta Platforms Inc</v>
      </c>
      <c r="D1221" s="6" t="str">
        <v>Meta Platforms Inc</v>
      </c>
      <c r="F1221" s="6" t="str">
        <v>Netherlands</v>
      </c>
      <c r="G1221" s="6" t="str">
        <v>LUXeXceL Group BV</v>
      </c>
      <c r="H1221" s="6" t="str">
        <v>Prepackaged Software</v>
      </c>
      <c r="I1221" s="6" t="str">
        <v>9C5294</v>
      </c>
      <c r="J1221" s="6" t="str">
        <v>LUXeXceL Group BV</v>
      </c>
      <c r="K1221" s="6" t="str">
        <v>LUXeXceL Group BV</v>
      </c>
      <c r="L1221" s="7">
        <f>=DATE(2022,12,28)</f>
        <v>44922.99949074074</v>
      </c>
      <c r="M1221" s="7">
        <f>=DATE(2022,12,31)</f>
        <v>44925.99949074074</v>
      </c>
      <c r="S1221" s="8">
        <v>3.11029261305504</v>
      </c>
      <c r="W1221" s="6" t="str">
        <v>Internet Services &amp; Software</v>
      </c>
      <c r="X1221" s="6" t="str">
        <v>Other Software (inq. Games)</v>
      </c>
      <c r="Y1221" s="6" t="str">
        <v>Other Software (inq. Games)</v>
      </c>
      <c r="Z1221" s="6" t="str">
        <v>Other Software (inq. Games)</v>
      </c>
      <c r="AA1221" s="6" t="str">
        <v>Internet Services &amp; Software</v>
      </c>
      <c r="AB1221" s="6" t="str">
        <v>Internet Services &amp; Software</v>
      </c>
      <c r="AH1221" s="6" t="str">
        <v>True</v>
      </c>
      <c r="AI1221" s="6" t="str">
        <v>2022</v>
      </c>
      <c r="AJ1221" s="6" t="str">
        <v>Completed</v>
      </c>
      <c r="AM1221" s="6" t="str">
        <v>Financial Acquiror</v>
      </c>
      <c r="AO1221" s="6" t="str">
        <v>NETHERLANDS - Meta Platforms Inc of the US acquired LUXeXceL Group BV, a Kruiningen-based software publisher.</v>
      </c>
    </row>
    <row r="1222">
      <c r="A1222" s="6" t="str">
        <v>023135</v>
      </c>
      <c r="B1222" s="6" t="str">
        <v>United States</v>
      </c>
      <c r="C1222" s="6" t="str">
        <v>Amazon.com Inc</v>
      </c>
      <c r="D1222" s="6" t="str">
        <v>Amazon.com Inc</v>
      </c>
      <c r="F1222" s="6" t="str">
        <v>United States</v>
      </c>
      <c r="G1222" s="6" t="str">
        <v>Snackable.AI</v>
      </c>
      <c r="H1222" s="6" t="str">
        <v>Prepackaged Software</v>
      </c>
      <c r="I1222" s="6" t="str">
        <v>7N4480</v>
      </c>
      <c r="J1222" s="6" t="str">
        <v>Snackable.AI</v>
      </c>
      <c r="K1222" s="6" t="str">
        <v>Snackable.AI</v>
      </c>
      <c r="L1222" s="7">
        <f>=DATE(2022,12,31)</f>
        <v>44925.99949074074</v>
      </c>
      <c r="M1222" s="7">
        <f>=DATE(2022,12,31)</f>
        <v>44925.99949074074</v>
      </c>
      <c r="W1222" s="6" t="str">
        <v>Primary Business not Hi-Tech</v>
      </c>
      <c r="X1222" s="6" t="str">
        <v>Other Software (inq. Games)</v>
      </c>
      <c r="Y1222" s="6" t="str">
        <v>Other Software (inq. Games)</v>
      </c>
      <c r="Z1222" s="6" t="str">
        <v>Other Software (inq. Games)</v>
      </c>
      <c r="AA1222" s="6" t="str">
        <v>Primary Business not Hi-Tech</v>
      </c>
      <c r="AB1222" s="6" t="str">
        <v>Primary Business not Hi-Tech</v>
      </c>
      <c r="AH1222" s="6" t="str">
        <v>True</v>
      </c>
      <c r="AI1222" s="6" t="str">
        <v>2022</v>
      </c>
      <c r="AJ1222" s="6" t="str">
        <v>Completed</v>
      </c>
      <c r="AM1222" s="6" t="str">
        <v>Not Applicable</v>
      </c>
      <c r="AO1222" s="6" t="str">
        <v>US - Amazon.com Inc acquired Snackable.Ai, software publisher. Terms were not disclosed.</v>
      </c>
    </row>
    <row r="1223">
      <c r="A1223" s="6" t="str">
        <v>594918</v>
      </c>
      <c r="B1223" s="6" t="str">
        <v>United States</v>
      </c>
      <c r="C1223" s="6" t="str">
        <v>Microsoft Corp</v>
      </c>
      <c r="D1223" s="6" t="str">
        <v>Microsoft Corp</v>
      </c>
      <c r="F1223" s="6" t="str">
        <v>United States</v>
      </c>
      <c r="G1223" s="6" t="str">
        <v>Fungible Inc</v>
      </c>
      <c r="H1223" s="6" t="str">
        <v>Prepackaged Software</v>
      </c>
      <c r="I1223" s="6" t="str">
        <v>4J8001</v>
      </c>
      <c r="J1223" s="6" t="str">
        <v>Fungible Inc</v>
      </c>
      <c r="K1223" s="6" t="str">
        <v>Fungible Inc</v>
      </c>
      <c r="L1223" s="7">
        <f>=DATE(2023,1,9)</f>
        <v>44934.99949074074</v>
      </c>
      <c r="M1223" s="7">
        <f>=DATE(2023,1,9)</f>
        <v>44934.99949074074</v>
      </c>
      <c r="W1223" s="6" t="str">
        <v>Monitors/Terminals;Computer Consulting Services;Applications Software(Business;Other Peripherals;Internet Services &amp; Software;Operating Systems</v>
      </c>
      <c r="X1223" s="6" t="str">
        <v>Computer Consulting Services;Data Processing Services;Other Computer Related Svcs;Other Software (inq. Games)</v>
      </c>
      <c r="Y1223" s="6" t="str">
        <v>Other Computer Related Svcs;Data Processing Services;Computer Consulting Services;Other Software (inq. Games)</v>
      </c>
      <c r="Z1223" s="6" t="str">
        <v>Data Processing Services;Computer Consulting Services;Other Computer Related Svcs;Other Software (inq. Games)</v>
      </c>
      <c r="AA1223" s="6" t="str">
        <v>Computer Consulting Services;Applications Software(Business;Monitors/Terminals;Other Peripherals;Operating Systems;Internet Services &amp; Software</v>
      </c>
      <c r="AB1223" s="6" t="str">
        <v>Monitors/Terminals;Internet Services &amp; Software;Operating Systems;Other Peripherals;Applications Software(Business;Computer Consulting Services</v>
      </c>
      <c r="AD1223" s="7">
        <f>=DATE(2023,1,9)</f>
        <v>44934.99949074074</v>
      </c>
      <c r="AH1223" s="6" t="str">
        <v>False</v>
      </c>
      <c r="AI1223" s="6" t="str">
        <v>2023</v>
      </c>
      <c r="AJ1223" s="6" t="str">
        <v>Completed</v>
      </c>
      <c r="AM1223" s="6" t="str">
        <v>Rumored Deal</v>
      </c>
      <c r="AO1223" s="6" t="str">
        <v>US - Microsoft Corp (Microsoft) acquired Fungible Inc (Fungible), a Santa Clara-based software publisher. The terms of the transaction were not disclosed, but according to sources close to the transaction, the value was estimated at USD 190 mil. Originally, in December 2022, Microsoft was rumored to be planning to acquire Fungible.</v>
      </c>
    </row>
    <row r="1224">
      <c r="A1224" s="6" t="str">
        <v>594918</v>
      </c>
      <c r="B1224" s="6" t="str">
        <v>United States</v>
      </c>
      <c r="C1224" s="6" t="str">
        <v>Microsoft Corp</v>
      </c>
      <c r="D1224" s="6" t="str">
        <v>Microsoft Corp</v>
      </c>
      <c r="F1224" s="6" t="str">
        <v>India</v>
      </c>
      <c r="G1224" s="6" t="str">
        <v>Darwinbox Digital Solutions Pvt Ltd</v>
      </c>
      <c r="H1224" s="6" t="str">
        <v>Prepackaged Software</v>
      </c>
      <c r="I1224" s="6" t="str">
        <v>1L5287</v>
      </c>
      <c r="J1224" s="6" t="str">
        <v>Darwinbox Digital Solutions Pvt Ltd</v>
      </c>
      <c r="K1224" s="6" t="str">
        <v>Darwinbox Digital Solutions Pvt Ltd</v>
      </c>
      <c r="L1224" s="7">
        <f>=DATE(2023,1,17)</f>
        <v>44942.99949074074</v>
      </c>
      <c r="M1224" s="7">
        <f>=DATE(2023,1,17)</f>
        <v>44942.99949074074</v>
      </c>
      <c r="R1224" s="8">
        <v>-8.77253910995054</v>
      </c>
      <c r="S1224" s="8">
        <v>15.3749337956876</v>
      </c>
      <c r="W1224" s="6" t="str">
        <v>Internet Services &amp; Software;Operating Systems;Applications Software(Business;Monitors/Terminals;Computer Consulting Services;Other Peripherals</v>
      </c>
      <c r="X1224" s="6" t="str">
        <v>Applications Software(Home);Utilities/File Mgmt Software;Internet Services &amp; Software;Desktop Publishing;Applications Software(Business;Communication/Network Software;Other Software (inq. Games)</v>
      </c>
      <c r="Y1224" s="6" t="str">
        <v>Utilities/File Mgmt Software;Communication/Network Software;Applications Software(Business;Applications Software(Home);Other Software (inq. Games);Internet Services &amp; Software;Desktop Publishing</v>
      </c>
      <c r="Z1224" s="6" t="str">
        <v>Applications Software(Business;Utilities/File Mgmt Software;Applications Software(Home);Communication/Network Software;Other Software (inq. Games);Internet Services &amp; Software;Desktop Publishing</v>
      </c>
      <c r="AA1224" s="6" t="str">
        <v>Monitors/Terminals;Applications Software(Business;Internet Services &amp; Software;Other Peripherals;Operating Systems;Computer Consulting Services</v>
      </c>
      <c r="AB1224" s="6" t="str">
        <v>Monitors/Terminals;Applications Software(Business;Other Peripherals;Internet Services &amp; Software;Operating Systems;Computer Consulting Services</v>
      </c>
      <c r="AH1224" s="6" t="str">
        <v>True</v>
      </c>
      <c r="AI1224" s="6" t="str">
        <v>2023</v>
      </c>
      <c r="AJ1224" s="6" t="str">
        <v>Completed</v>
      </c>
      <c r="AM1224" s="6" t="str">
        <v>Privately Negotiated Purchase</v>
      </c>
      <c r="AN1224" s="8">
        <v>5.11990556168924</v>
      </c>
      <c r="AO1224" s="6" t="str">
        <v>INDIA - Microsoft Corp of the US acquired an undisclosed minority stake in Darwinbox Digital Solutions Pvt Ltd, a Hyderabad-based software publisher, in a privately negotiated transaction.</v>
      </c>
    </row>
    <row r="1225">
      <c r="A1225" s="6" t="str">
        <v>594918</v>
      </c>
      <c r="B1225" s="6" t="str">
        <v>United States</v>
      </c>
      <c r="C1225" s="6" t="str">
        <v>Microsoft Corp</v>
      </c>
      <c r="D1225" s="6" t="str">
        <v>Microsoft Corp</v>
      </c>
      <c r="F1225" s="6" t="str">
        <v>United States</v>
      </c>
      <c r="G1225" s="6" t="str">
        <v>OpenAI LLC</v>
      </c>
      <c r="H1225" s="6" t="str">
        <v>Prepackaged Software</v>
      </c>
      <c r="I1225" s="6" t="str">
        <v>1N4489</v>
      </c>
      <c r="J1225" s="6" t="str">
        <v>OpenAI LLC</v>
      </c>
      <c r="K1225" s="6" t="str">
        <v>OpenAI LLC</v>
      </c>
      <c r="L1225" s="7">
        <f>=DATE(2023,1,23)</f>
        <v>44948.99949074074</v>
      </c>
      <c r="M1225" s="7">
        <f>=DATE(2023,1,23)</f>
        <v>44948.99949074074</v>
      </c>
      <c r="W1225" s="6" t="str">
        <v>Computer Consulting Services;Other Peripherals;Operating Systems;Applications Software(Business;Internet Services &amp; Software;Monitors/Terminals</v>
      </c>
      <c r="X1225" s="6" t="str">
        <v>Other Software (inq. Games)</v>
      </c>
      <c r="Y1225" s="6" t="str">
        <v>Other Software (inq. Games)</v>
      </c>
      <c r="Z1225" s="6" t="str">
        <v>Other Software (inq. Games)</v>
      </c>
      <c r="AA1225" s="6" t="str">
        <v>Operating Systems;Applications Software(Business;Computer Consulting Services;Monitors/Terminals;Internet Services &amp; Software;Other Peripherals</v>
      </c>
      <c r="AB1225" s="6" t="str">
        <v>Monitors/Terminals;Applications Software(Business;Operating Systems;Computer Consulting Services;Internet Services &amp; Software;Other Peripherals</v>
      </c>
      <c r="AD1225" s="7">
        <f>=DATE(2023,1,10)</f>
        <v>44935.99949074074</v>
      </c>
      <c r="AH1225" s="6" t="str">
        <v>False</v>
      </c>
      <c r="AI1225" s="6" t="str">
        <v>2023</v>
      </c>
      <c r="AJ1225" s="6" t="str">
        <v>Completed</v>
      </c>
      <c r="AM1225" s="6" t="str">
        <v>Rumored Deal;Privately Negotiated Purchase</v>
      </c>
      <c r="AO1225" s="6" t="str">
        <v>US - Microsoft Corp acquired an undisclosed minority stake in OpenAI LLC, a San Francisco-based software publisher, in a privately negotiated transaction. The terms of the transaction were not disclosed, but according to sources close to the transaction, the value was estimated at USD 10 bil. Originally in January 2023, Microsoft Corp was rumored to be planning to acquire an undisclosed minority stake in OpenAI LLC.</v>
      </c>
    </row>
    <row r="1226">
      <c r="A1226" s="6" t="str">
        <v>7J8440</v>
      </c>
      <c r="B1226" s="6" t="str">
        <v>United States</v>
      </c>
      <c r="C1226" s="6" t="str">
        <v>Google LLC</v>
      </c>
      <c r="D1226" s="6" t="str">
        <v>Alphabet Inc</v>
      </c>
      <c r="F1226" s="6" t="str">
        <v>Croatia</v>
      </c>
      <c r="G1226" s="6" t="str">
        <v>Photomath doo</v>
      </c>
      <c r="H1226" s="6" t="str">
        <v>Prepackaged Software</v>
      </c>
      <c r="I1226" s="6" t="str">
        <v>5N0544</v>
      </c>
      <c r="J1226" s="6" t="str">
        <v>Photomath Inc</v>
      </c>
      <c r="K1226" s="6" t="str">
        <v>Photomath Inc</v>
      </c>
      <c r="L1226" s="7">
        <f>=DATE(2023,2,22)</f>
        <v>44978.99949074074</v>
      </c>
      <c r="M1226" s="7">
        <f>=DATE(2023,6,3)</f>
        <v>45079.99949074074</v>
      </c>
      <c r="W1226" s="6" t="str">
        <v>Programming Services;Internet Services &amp; Software</v>
      </c>
      <c r="X1226" s="6" t="str">
        <v>Other Software (inq. Games)</v>
      </c>
      <c r="Y1226" s="6" t="str">
        <v>Other Software (inq. Games)</v>
      </c>
      <c r="Z1226" s="6" t="str">
        <v>Other Software (inq. Games)</v>
      </c>
      <c r="AA1226" s="6" t="str">
        <v>Programming Services;Internet Services &amp; Software;Computer Consulting Services;Telecommunications Equipment;Primary Business not Hi-Tech</v>
      </c>
      <c r="AB1226" s="6" t="str">
        <v>Internet Services &amp; Software;Computer Consulting Services;Telecommunications Equipment;Primary Business not Hi-Tech;Programming Services</v>
      </c>
      <c r="AH1226" s="6" t="str">
        <v>True</v>
      </c>
      <c r="AI1226" s="6" t="str">
        <v>2023</v>
      </c>
      <c r="AJ1226" s="6" t="str">
        <v>Completed</v>
      </c>
      <c r="AM1226" s="6" t="str">
        <v>Divestiture</v>
      </c>
      <c r="AO1226" s="6" t="str">
        <v>CROATIA - Google LLC of the US, a unit of Alphabet Inc, acquired Photomath doo, a Zagreb-based software publisher, from Photomath Inc. Terms were not disclosed.</v>
      </c>
    </row>
    <row r="1227">
      <c r="A1227" s="6" t="str">
        <v>7J8440</v>
      </c>
      <c r="B1227" s="6" t="str">
        <v>United States</v>
      </c>
      <c r="C1227" s="6" t="str">
        <v>Google LLC</v>
      </c>
      <c r="D1227" s="6" t="str">
        <v>Alphabet Inc</v>
      </c>
      <c r="F1227" s="6" t="str">
        <v>India</v>
      </c>
      <c r="G1227" s="6" t="str">
        <v>NoBroker Technologies Solutions Pvt Ltd</v>
      </c>
      <c r="H1227" s="6" t="str">
        <v>Real Estate; Mortgage Bankers and Brokers</v>
      </c>
      <c r="I1227" s="6" t="str">
        <v>3J9706</v>
      </c>
      <c r="J1227" s="6" t="str">
        <v>NoBroker Technologies Solutions Pvt Ltd</v>
      </c>
      <c r="K1227" s="6" t="str">
        <v>NoBroker Technologies Solutions Pvt Ltd</v>
      </c>
      <c r="L1227" s="7">
        <f>=DATE(2023,3,1)</f>
        <v>44985.99949074074</v>
      </c>
      <c r="M1227" s="7">
        <f>=DATE(2023,3,1)</f>
        <v>44985.99949074074</v>
      </c>
      <c r="N1227" s="8">
        <v>5</v>
      </c>
      <c r="O1227" s="8">
        <v>5</v>
      </c>
      <c r="S1227" s="8">
        <v>8.40739118314683</v>
      </c>
      <c r="W1227" s="6" t="str">
        <v>Internet Services &amp; Software;Programming Services</v>
      </c>
      <c r="X1227" s="6" t="str">
        <v>Internet Services &amp; Software;Networking Systems (LAN,WAN)</v>
      </c>
      <c r="Y1227" s="6" t="str">
        <v>Networking Systems (LAN,WAN);Internet Services &amp; Software</v>
      </c>
      <c r="Z1227" s="6" t="str">
        <v>Networking Systems (LAN,WAN);Internet Services &amp; Software</v>
      </c>
      <c r="AA1227" s="6" t="str">
        <v>Internet Services &amp; Software;Programming Services;Computer Consulting Services;Primary Business not Hi-Tech;Telecommunications Equipment</v>
      </c>
      <c r="AB1227" s="6" t="str">
        <v>Telecommunications Equipment;Computer Consulting Services;Internet Services &amp; Software;Programming Services;Primary Business not Hi-Tech</v>
      </c>
      <c r="AC1227" s="8">
        <v>5</v>
      </c>
      <c r="AD1227" s="7">
        <f>=DATE(2023,3,1)</f>
        <v>44985.99949074074</v>
      </c>
      <c r="AH1227" s="6" t="str">
        <v>True</v>
      </c>
      <c r="AI1227" s="6" t="str">
        <v>2023</v>
      </c>
      <c r="AJ1227" s="6" t="str">
        <v>Completed</v>
      </c>
      <c r="AM1227" s="6" t="str">
        <v>Privately Negotiated Purchase;Financial Acquiror</v>
      </c>
      <c r="AO1227" s="6" t="str">
        <v>INDIA - Google LLC of the US, a unit of Alphabet Inc, acquired an undisclosed minority stake in NoBroker Technologies Solutions Pvt Ltd, a Bengaluru-based lessor of residential buildings and dwellings, for a total INR 413.2 mil (USD 5 mil), in a privately negotiated transaction.</v>
      </c>
    </row>
    <row r="1228">
      <c r="A1228" s="6" t="str">
        <v>023135</v>
      </c>
      <c r="B1228" s="6" t="str">
        <v>United States</v>
      </c>
      <c r="C1228" s="6" t="str">
        <v>Amazon.com Inc</v>
      </c>
      <c r="D1228" s="6" t="str">
        <v>Amazon.com Inc</v>
      </c>
      <c r="F1228" s="6" t="str">
        <v>Canada</v>
      </c>
      <c r="G1228" s="6" t="str">
        <v>Genecis Bioindustries Inc</v>
      </c>
      <c r="H1228" s="6" t="str">
        <v>Business Services</v>
      </c>
      <c r="I1228" s="6" t="str">
        <v>4N6081</v>
      </c>
      <c r="J1228" s="6" t="str">
        <v>Genecis Bioindustries Inc</v>
      </c>
      <c r="K1228" s="6" t="str">
        <v>Genecis Bioindustries Inc</v>
      </c>
      <c r="L1228" s="7">
        <f>=DATE(2023,3,1)</f>
        <v>44985.99949074074</v>
      </c>
      <c r="M1228" s="7">
        <f>=DATE(2023,3,1)</f>
        <v>44985.99949074074</v>
      </c>
      <c r="W1228" s="6" t="str">
        <v>Primary Business not Hi-Tech</v>
      </c>
      <c r="X1228" s="6" t="str">
        <v>Research &amp; Development Firm</v>
      </c>
      <c r="Y1228" s="6" t="str">
        <v>Research &amp; Development Firm</v>
      </c>
      <c r="Z1228" s="6" t="str">
        <v>Research &amp; Development Firm</v>
      </c>
      <c r="AA1228" s="6" t="str">
        <v>Primary Business not Hi-Tech</v>
      </c>
      <c r="AB1228" s="6" t="str">
        <v>Primary Business not Hi-Tech</v>
      </c>
      <c r="AH1228" s="6" t="str">
        <v>True</v>
      </c>
      <c r="AI1228" s="6" t="str">
        <v>2023</v>
      </c>
      <c r="AJ1228" s="6" t="str">
        <v>Completed</v>
      </c>
      <c r="AM1228" s="6" t="str">
        <v>Financial Acquiror;Privately Negotiated Purchase</v>
      </c>
      <c r="AO1228" s="6" t="str">
        <v>CANADA - Amazon.com Inc of the US acquired an undisclosed minority stake in Genecis Bioindustries Inc, a Scarborough-based provider of biotechnology research and development services, in a privately negotiated transaction.</v>
      </c>
    </row>
    <row r="1229">
      <c r="A1229" s="6" t="str">
        <v>5N8867</v>
      </c>
      <c r="B1229" s="6" t="str">
        <v>United States</v>
      </c>
      <c r="C1229" s="6" t="str">
        <v>Industrial Innovation Fund</v>
      </c>
      <c r="D1229" s="6" t="str">
        <v>Amazon.com Inc</v>
      </c>
      <c r="F1229" s="6" t="str">
        <v>Israel</v>
      </c>
      <c r="G1229" s="6" t="str">
        <v>Flymingo Inc</v>
      </c>
      <c r="H1229" s="6" t="str">
        <v>Prepackaged Software</v>
      </c>
      <c r="I1229" s="6" t="str">
        <v>5N8857</v>
      </c>
      <c r="J1229" s="6" t="str">
        <v>Flymingo Inc</v>
      </c>
      <c r="K1229" s="6" t="str">
        <v>Flymingo Inc</v>
      </c>
      <c r="L1229" s="7">
        <f>=DATE(2023,3,16)</f>
        <v>45000.99949074074</v>
      </c>
      <c r="M1229" s="7">
        <f>=DATE(2023,3,16)</f>
        <v>45000.99949074074</v>
      </c>
      <c r="W1229" s="6" t="str">
        <v>Primary Business not Hi-Tech</v>
      </c>
      <c r="X1229" s="6" t="str">
        <v>Applications Software(Home);Desktop Publishing;Internet Services &amp; Software;Other Software (inq. Games);Communication/Network Software;Utilities/File Mgmt Software;Applications Software(Business</v>
      </c>
      <c r="Y1229" s="6" t="str">
        <v>Applications Software(Business;Applications Software(Home);Utilities/File Mgmt Software;Desktop Publishing;Internet Services &amp; Software;Communication/Network Software;Other Software (inq. Games)</v>
      </c>
      <c r="Z1229" s="6" t="str">
        <v>Other Software (inq. Games);Internet Services &amp; Software;Desktop Publishing;Applications Software(Home);Communication/Network Software;Applications Software(Business;Utilities/File Mgmt Software</v>
      </c>
      <c r="AA1229" s="6" t="str">
        <v>Primary Business not Hi-Tech</v>
      </c>
      <c r="AB1229" s="6" t="str">
        <v>Primary Business not Hi-Tech</v>
      </c>
      <c r="AH1229" s="6" t="str">
        <v>False</v>
      </c>
      <c r="AI1229" s="6" t="str">
        <v>2023</v>
      </c>
      <c r="AJ1229" s="6" t="str">
        <v>Completed</v>
      </c>
      <c r="AM1229" s="6" t="str">
        <v>Privately Negotiated Purchase;Financial Acquiror</v>
      </c>
      <c r="AO1229" s="6" t="str">
        <v>ISRAEL - Industrial Innovation Fund of the US, a unit of Amazon.com Inc, acquired an undisclosed minority stake in Flymingo Inc, a Tel Aviv-based software publisher, in a privately negotiated transaction.</v>
      </c>
    </row>
    <row r="1230">
      <c r="A1230" s="6" t="str">
        <v>037833</v>
      </c>
      <c r="B1230" s="6" t="str">
        <v>United States</v>
      </c>
      <c r="C1230" s="6" t="str">
        <v>Apple Inc</v>
      </c>
      <c r="D1230" s="6" t="str">
        <v>Apple Inc</v>
      </c>
      <c r="F1230" s="6" t="str">
        <v>United States</v>
      </c>
      <c r="G1230" s="6" t="str">
        <v>WaveOne Inc</v>
      </c>
      <c r="H1230" s="6" t="str">
        <v>Prepackaged Software</v>
      </c>
      <c r="I1230" s="6" t="str">
        <v>6N1386</v>
      </c>
      <c r="J1230" s="6" t="str">
        <v>WaveOne Inc</v>
      </c>
      <c r="K1230" s="6" t="str">
        <v>WaveOne Inc</v>
      </c>
      <c r="L1230" s="7">
        <f>=DATE(2023,3,27)</f>
        <v>45011.99949074074</v>
      </c>
      <c r="M1230" s="7">
        <f>=DATE(2023,3,27)</f>
        <v>45011.99949074074</v>
      </c>
      <c r="W1230" s="6" t="str">
        <v>Monitors/Terminals;Micro-Computers (PCs);Mainframes &amp; Super Computers;Disk Drives;Other Peripherals;Printers;Portable Computers;Other Software (inq. Games)</v>
      </c>
      <c r="X1230" s="6" t="str">
        <v>Internet Services &amp; Software;Other Software (inq. Games);Utilities/File Mgmt Software;Communication/Network Software;Desktop Publishing;Applications Software(Home);Applications Software(Business</v>
      </c>
      <c r="Y1230" s="6" t="str">
        <v>Communication/Network Software;Applications Software(Business;Internet Services &amp; Software;Other Software (inq. Games);Applications Software(Home);Desktop Publishing;Utilities/File Mgmt Software</v>
      </c>
      <c r="Z1230" s="6" t="str">
        <v>Other Software (inq. Games);Utilities/File Mgmt Software;Applications Software(Business;Applications Software(Home);Communication/Network Software;Internet Services &amp; Software;Desktop Publishing</v>
      </c>
      <c r="AA1230" s="6" t="str">
        <v>Printers;Micro-Computers (PCs);Disk Drives;Other Software (inq. Games);Mainframes &amp; Super Computers;Other Peripherals;Portable Computers;Monitors/Terminals</v>
      </c>
      <c r="AB1230" s="6" t="str">
        <v>Printers;Other Peripherals;Mainframes &amp; Super Computers;Other Software (inq. Games);Monitors/Terminals;Disk Drives;Portable Computers;Micro-Computers (PCs)</v>
      </c>
      <c r="AH1230" s="6" t="str">
        <v>True</v>
      </c>
      <c r="AI1230" s="6" t="str">
        <v>2023</v>
      </c>
      <c r="AJ1230" s="6" t="str">
        <v>Completed</v>
      </c>
      <c r="AM1230" s="6" t="str">
        <v>Not Applicable</v>
      </c>
      <c r="AO1230" s="6" t="str">
        <v>US - Apple Inc acquired WaveOne Inc, a Mountain View-based software publisher.</v>
      </c>
    </row>
    <row r="1231">
      <c r="A1231" s="6" t="str">
        <v>73959W</v>
      </c>
      <c r="B1231" s="6" t="str">
        <v>United States</v>
      </c>
      <c r="C1231" s="6" t="str">
        <v>PowerSchool Group LLC</v>
      </c>
      <c r="D1231" s="6" t="str">
        <v>Powerschool Holdings Inc</v>
      </c>
      <c r="F1231" s="6" t="str">
        <v>United States</v>
      </c>
      <c r="G1231" s="6" t="str">
        <v>Ellucian Co LP</v>
      </c>
      <c r="H1231" s="6" t="str">
        <v>Prepackaged Software</v>
      </c>
      <c r="I1231" s="6" t="str">
        <v>8A7882</v>
      </c>
      <c r="J1231" s="6" t="str">
        <v>Blackstone Inc</v>
      </c>
      <c r="K1231" s="6" t="str">
        <v>Ellucian Co LP SPV</v>
      </c>
      <c r="L1231" s="7">
        <f>=DATE(2023,3,29)</f>
        <v>45013.99949074074</v>
      </c>
      <c r="M1231" s="7">
        <f>=DATE(2023,3,29)</f>
        <v>45013.99949074074</v>
      </c>
      <c r="W1231" s="6" t="str">
        <v>Other Software (inq. Games)</v>
      </c>
      <c r="X1231" s="6" t="str">
        <v>Other Software (inq. Games)</v>
      </c>
      <c r="Y1231" s="6" t="str">
        <v>Primary Business not Hi-Tech</v>
      </c>
      <c r="Z1231" s="6" t="str">
        <v>Primary Business not Hi-Tech</v>
      </c>
      <c r="AA1231" s="6" t="str">
        <v>Applications Software(Business;Utilities/File Mgmt Software;Internet Services &amp; Software;Primary Business not Hi-Tech;Desktop Publishing;Communication/Network Software;Other Software (inq. Games);Applications Software(Home)</v>
      </c>
      <c r="AB1231" s="6" t="str">
        <v>Other Software (inq. Games);Applications Software(Business;Internet Services &amp; Software;Primary Business not Hi-Tech;Utilities/File Mgmt Software;Communication/Network Software;Applications Software(Home);Desktop Publishing</v>
      </c>
      <c r="AH1231" s="6" t="str">
        <v>True</v>
      </c>
      <c r="AI1231" s="6" t="str">
        <v>2023</v>
      </c>
      <c r="AJ1231" s="6" t="str">
        <v>Completed</v>
      </c>
      <c r="AM1231" s="6" t="str">
        <v>Privately Negotiated Purchase;Financial Acquiror</v>
      </c>
      <c r="AO1231" s="6" t="str">
        <v>US - PowerSchool Group LLC, a unit of Vista Equity Partners Management LLC, acquired an undisclosed minority stake in Ellucian Co LP, a Reston-based software publisher, a unit of Ellucian Co LP SPV, in a privately negotiated transaction.</v>
      </c>
    </row>
    <row r="1232">
      <c r="A1232" s="6" t="str">
        <v>7J8440</v>
      </c>
      <c r="B1232" s="6" t="str">
        <v>United States</v>
      </c>
      <c r="C1232" s="6" t="str">
        <v>Google LLC</v>
      </c>
      <c r="D1232" s="6" t="str">
        <v>Alphabet Inc</v>
      </c>
      <c r="F1232" s="6" t="str">
        <v>Poland</v>
      </c>
      <c r="G1232" s="6" t="str">
        <v>Semhihalf Sp z o o</v>
      </c>
      <c r="H1232" s="6" t="str">
        <v>Prepackaged Software</v>
      </c>
      <c r="I1232" s="6" t="str">
        <v>0P2577</v>
      </c>
      <c r="J1232" s="6" t="str">
        <v>Semhihalf Sp z o o</v>
      </c>
      <c r="K1232" s="6" t="str">
        <v>Semhihalf Sp z o o</v>
      </c>
      <c r="L1232" s="7">
        <f>=DATE(2023,4,30)</f>
        <v>45045.99949074074</v>
      </c>
      <c r="M1232" s="7">
        <f>=DATE(2023,4,30)</f>
        <v>45045.99949074074</v>
      </c>
      <c r="S1232" s="8">
        <v>8.54940034266134</v>
      </c>
      <c r="W1232" s="6" t="str">
        <v>Internet Services &amp; Software;Programming Services</v>
      </c>
      <c r="X1232" s="6" t="str">
        <v>Desktop Publishing;Other Software (inq. Games);Applications Software(Home);Primary Business not Hi-Tech;Satellite Communications;Networking Systems (LAN,WAN);Utilities/File Mgmt Software;Communication/Network Software;Applications Software(Business;Internet Services &amp; Software;Telecommunications Equipment</v>
      </c>
      <c r="Y1232" s="6" t="str">
        <v>Other Software (inq. Games);Primary Business not Hi-Tech;Applications Software(Home);Communication/Network Software;Networking Systems (LAN,WAN);Internet Services &amp; Software;Utilities/File Mgmt Software;Desktop Publishing;Applications Software(Business;Telecommunications Equipment;Satellite Communications</v>
      </c>
      <c r="Z1232" s="6" t="str">
        <v>Applications Software(Business;Communication/Network Software;Other Software (inq. Games);Desktop Publishing;Satellite Communications;Utilities/File Mgmt Software;Applications Software(Home);Networking Systems (LAN,WAN);Primary Business not Hi-Tech;Internet Services &amp; Software;Telecommunications Equipment</v>
      </c>
      <c r="AA1232" s="6" t="str">
        <v>Telecommunications Equipment;Computer Consulting Services;Programming Services;Primary Business not Hi-Tech;Internet Services &amp; Software</v>
      </c>
      <c r="AB1232" s="6" t="str">
        <v>Telecommunications Equipment;Internet Services &amp; Software;Programming Services;Computer Consulting Services;Primary Business not Hi-Tech</v>
      </c>
      <c r="AH1232" s="6" t="str">
        <v>True</v>
      </c>
      <c r="AI1232" s="6" t="str">
        <v>2023</v>
      </c>
      <c r="AJ1232" s="6" t="str">
        <v>Completed</v>
      </c>
      <c r="AM1232" s="6" t="str">
        <v>Not Applicable</v>
      </c>
      <c r="AO1232" s="6" t="str">
        <v>POLAND - Google LLC of the US, a unit of Alphabet Inc, acquired Semhihalf Sp z o o, a Krakow-based software publisher.</v>
      </c>
    </row>
    <row r="1233">
      <c r="A1233" s="6" t="str">
        <v>5L0908</v>
      </c>
      <c r="B1233" s="6" t="str">
        <v>United States</v>
      </c>
      <c r="C1233" s="6" t="str">
        <v>Climate Innovation Fund</v>
      </c>
      <c r="D1233" s="6" t="str">
        <v>Microsoft Corp</v>
      </c>
      <c r="F1233" s="6" t="str">
        <v>United States</v>
      </c>
      <c r="G1233" s="6" t="str">
        <v>AMP Robotics Corp</v>
      </c>
      <c r="H1233" s="6" t="str">
        <v>Machinery</v>
      </c>
      <c r="I1233" s="6" t="str">
        <v>8J4473</v>
      </c>
      <c r="J1233" s="6" t="str">
        <v>AMP Robotics Corp</v>
      </c>
      <c r="K1233" s="6" t="str">
        <v>AMP Robotics Corp</v>
      </c>
      <c r="L1233" s="7">
        <f>=DATE(2023,5,9)</f>
        <v>45054.99949074074</v>
      </c>
      <c r="M1233" s="7">
        <f>=DATE(2023,5,9)</f>
        <v>45054.99949074074</v>
      </c>
      <c r="W1233" s="6" t="str">
        <v>Primary Business not Hi-Tech</v>
      </c>
      <c r="X1233" s="6" t="str">
        <v>Other Software (inq. Games)</v>
      </c>
      <c r="Y1233" s="6" t="str">
        <v>Other Software (inq. Games)</v>
      </c>
      <c r="Z1233" s="6" t="str">
        <v>Other Software (inq. Games)</v>
      </c>
      <c r="AA1233" s="6" t="str">
        <v>Internet Services &amp; Software;Operating Systems;Computer Consulting Services;Monitors/Terminals;Other Peripherals;Applications Software(Business</v>
      </c>
      <c r="AB1233" s="6" t="str">
        <v>Computer Consulting Services;Applications Software(Business;Operating Systems;Monitors/Terminals;Other Peripherals;Internet Services &amp; Software</v>
      </c>
      <c r="AH1233" s="6" t="str">
        <v>False</v>
      </c>
      <c r="AI1233" s="6" t="str">
        <v>2023</v>
      </c>
      <c r="AJ1233" s="6" t="str">
        <v>Completed</v>
      </c>
      <c r="AM1233" s="6" t="str">
        <v>Financial Acquiror;Privately Negotiated Purchase</v>
      </c>
      <c r="AO1233" s="6" t="str">
        <v>US - Climate Innovation Fund, a unit of Microsoft Corp, acquired an undisclosed minority stake in AMP Robotics Corp, a Louisville-based manufacturer of industrial machinery, in a privately negotiated transaction.</v>
      </c>
    </row>
    <row r="1234">
      <c r="A1234" s="6" t="str">
        <v>594918</v>
      </c>
      <c r="B1234" s="6" t="str">
        <v>United States</v>
      </c>
      <c r="C1234" s="6" t="str">
        <v>Microsoft Corp</v>
      </c>
      <c r="D1234" s="6" t="str">
        <v>Microsoft Corp</v>
      </c>
      <c r="F1234" s="6" t="str">
        <v>United Kingdom</v>
      </c>
      <c r="G1234" s="6" t="str">
        <v>Builder.Ai</v>
      </c>
      <c r="H1234" s="6" t="str">
        <v>Business Services</v>
      </c>
      <c r="I1234" s="6" t="str">
        <v>5M3990</v>
      </c>
      <c r="J1234" s="6" t="str">
        <v>Builder.Ai</v>
      </c>
      <c r="K1234" s="6" t="str">
        <v>Builder.Ai</v>
      </c>
      <c r="L1234" s="7">
        <f>=DATE(2023,5,10)</f>
        <v>45055.99949074074</v>
      </c>
      <c r="M1234" s="7">
        <f>=DATE(2023,5,10)</f>
        <v>45055.99949074074</v>
      </c>
      <c r="W1234" s="6" t="str">
        <v>Internet Services &amp; Software;Operating Systems;Applications Software(Business;Other Peripherals;Computer Consulting Services;Monitors/Terminals</v>
      </c>
      <c r="X1234" s="6" t="str">
        <v>Data Processing Services;Computer Consulting Services;Primary Business not Hi-Tech;Other Computer Related Svcs;Internet Services &amp; Software</v>
      </c>
      <c r="Y1234" s="6" t="str">
        <v>Primary Business not Hi-Tech;Data Processing Services;Internet Services &amp; Software;Computer Consulting Services;Other Computer Related Svcs</v>
      </c>
      <c r="Z1234" s="6" t="str">
        <v>Other Computer Related Svcs;Primary Business not Hi-Tech;Computer Consulting Services;Internet Services &amp; Software;Data Processing Services</v>
      </c>
      <c r="AA1234" s="6" t="str">
        <v>Computer Consulting Services;Applications Software(Business;Monitors/Terminals;Other Peripherals;Operating Systems;Internet Services &amp; Software</v>
      </c>
      <c r="AB1234" s="6" t="str">
        <v>Monitors/Terminals;Operating Systems;Computer Consulting Services;Internet Services &amp; Software;Other Peripherals;Applications Software(Business</v>
      </c>
      <c r="AH1234" s="6" t="str">
        <v>False</v>
      </c>
      <c r="AI1234" s="6" t="str">
        <v>2023</v>
      </c>
      <c r="AJ1234" s="6" t="str">
        <v>Completed</v>
      </c>
      <c r="AM1234" s="6" t="str">
        <v>Financial Acquiror;Privately Negotiated Purchase</v>
      </c>
      <c r="AO1234" s="6" t="str">
        <v>UK - Microsoft Corp of the US acquired an undisclosed minority stake in Builder.Ai, a London-based provider of data processing and hosting services, in a privately negotiated transaction.</v>
      </c>
    </row>
    <row r="1235">
      <c r="A1235" s="6" t="str">
        <v>30303M</v>
      </c>
      <c r="B1235" s="6" t="str">
        <v>United States</v>
      </c>
      <c r="C1235" s="6" t="str">
        <v>Meta Platforms Inc</v>
      </c>
      <c r="D1235" s="6" t="str">
        <v>Meta Platforms Inc</v>
      </c>
      <c r="F1235" s="6" t="str">
        <v>United States</v>
      </c>
      <c r="G1235" s="6" t="str">
        <v>Whisper.AI Inc</v>
      </c>
      <c r="H1235" s="6" t="str">
        <v>Measuring, Medical, Photo Equipment; Clocks</v>
      </c>
      <c r="I1235" s="6" t="str">
        <v>9P2793</v>
      </c>
      <c r="J1235" s="6" t="str">
        <v>Whisper.AI Inc</v>
      </c>
      <c r="K1235" s="6" t="str">
        <v>Whisper.AI Inc</v>
      </c>
      <c r="L1235" s="7">
        <f>=DATE(2023,5,31)</f>
        <v>45076.99949074074</v>
      </c>
      <c r="M1235" s="7">
        <f>=DATE(2023,5,31)</f>
        <v>45076.99949074074</v>
      </c>
      <c r="W1235" s="6" t="str">
        <v>Internet Services &amp; Software</v>
      </c>
      <c r="X1235" s="6" t="str">
        <v>Artificial Organs/Limbs;Medical Lasers;Surgical Instruments/Equipment;Drug Delivery Sys(Not IV Sys);Rehabilitation Equipment;General Med. Instruments/Supp.;Healthcare Services;Medical Monitoring Systems;Medical Imaging Systems</v>
      </c>
      <c r="Y1235" s="6" t="str">
        <v>Artificial Organs/Limbs;Drug Delivery Sys(Not IV Sys);Medical Imaging Systems;General Med. Instruments/Supp.;Rehabilitation Equipment;Medical Monitoring Systems;Medical Lasers;Healthcare Services;Surgical Instruments/Equipment</v>
      </c>
      <c r="Z1235" s="6" t="str">
        <v>Drug Delivery Sys(Not IV Sys);Rehabilitation Equipment;General Med. Instruments/Supp.;Medical Monitoring Systems;Healthcare Services;Medical Lasers;Surgical Instruments/Equipment;Artificial Organs/Limbs;Medical Imaging Systems</v>
      </c>
      <c r="AA1235" s="6" t="str">
        <v>Internet Services &amp; Software</v>
      </c>
      <c r="AB1235" s="6" t="str">
        <v>Internet Services &amp; Software</v>
      </c>
      <c r="AH1235" s="6" t="str">
        <v>True</v>
      </c>
      <c r="AI1235" s="6" t="str">
        <v>2023</v>
      </c>
      <c r="AJ1235" s="6" t="str">
        <v>Completed</v>
      </c>
      <c r="AM1235" s="6" t="str">
        <v>Financial Acquiror</v>
      </c>
      <c r="AO1235" s="6" t="str">
        <v>US - Meta Platforms Inc acquired Whisper.AI Inc, a San Francisco-based manufacturer of navigational, measuring, electromedical and control Instruments.</v>
      </c>
    </row>
    <row r="1236">
      <c r="A1236" s="6" t="str">
        <v>037833</v>
      </c>
      <c r="B1236" s="6" t="str">
        <v>United States</v>
      </c>
      <c r="C1236" s="6" t="str">
        <v>Apple Inc</v>
      </c>
      <c r="D1236" s="6" t="str">
        <v>Apple Inc</v>
      </c>
      <c r="F1236" s="6" t="str">
        <v>United States</v>
      </c>
      <c r="G1236" s="6" t="str">
        <v>Mira Labs Inc</v>
      </c>
      <c r="H1236" s="6" t="str">
        <v>Prepackaged Software</v>
      </c>
      <c r="I1236" s="6" t="str">
        <v>6J2685</v>
      </c>
      <c r="J1236" s="6" t="str">
        <v>Mira Labs Inc</v>
      </c>
      <c r="K1236" s="6" t="str">
        <v>Mira Labs Inc</v>
      </c>
      <c r="L1236" s="7">
        <f>=DATE(2023,6,6)</f>
        <v>45082.99949074074</v>
      </c>
      <c r="M1236" s="7">
        <f>=DATE(2023,6,6)</f>
        <v>45082.99949074074</v>
      </c>
      <c r="W1236" s="6" t="str">
        <v>Portable Computers;Printers;Disk Drives;Micro-Computers (PCs);Other Software (inq. Games);Monitors/Terminals;Mainframes &amp; Super Computers;Other Peripherals</v>
      </c>
      <c r="X1236" s="6" t="str">
        <v>Communication/Network Software;Utilities/File Mgmt Software;Other Software (inq. Games);Internet Services &amp; Software;Primary Business not Hi-Tech;Applications Software(Business;Applications Software(Home);Desktop Publishing</v>
      </c>
      <c r="Y1236" s="6" t="str">
        <v>Communication/Network Software;Utilities/File Mgmt Software;Other Software (inq. Games);Desktop Publishing;Primary Business not Hi-Tech;Applications Software(Business;Applications Software(Home);Internet Services &amp; Software</v>
      </c>
      <c r="Z1236" s="6" t="str">
        <v>Other Software (inq. Games);Desktop Publishing;Applications Software(Home);Communication/Network Software;Utilities/File Mgmt Software;Primary Business not Hi-Tech;Applications Software(Business;Internet Services &amp; Software</v>
      </c>
      <c r="AA1236" s="6" t="str">
        <v>Printers;Disk Drives;Portable Computers;Monitors/Terminals;Mainframes &amp; Super Computers;Micro-Computers (PCs);Other Peripherals;Other Software (inq. Games)</v>
      </c>
      <c r="AB1236" s="6" t="str">
        <v>Mainframes &amp; Super Computers;Disk Drives;Monitors/Terminals;Other Peripherals;Other Software (inq. Games);Micro-Computers (PCs);Printers;Portable Computers</v>
      </c>
      <c r="AH1236" s="6" t="str">
        <v>True</v>
      </c>
      <c r="AI1236" s="6" t="str">
        <v>2023</v>
      </c>
      <c r="AJ1236" s="6" t="str">
        <v>Completed</v>
      </c>
      <c r="AM1236" s="6" t="str">
        <v>Not Applicable</v>
      </c>
      <c r="AO1236" s="6" t="str">
        <v>US - Apple Inc acquired Mira Labs Inc, a Los Angeles-based software publisher.</v>
      </c>
    </row>
    <row r="1237">
      <c r="A1237" s="6" t="str">
        <v>5L1951</v>
      </c>
      <c r="B1237" s="6" t="str">
        <v>United States</v>
      </c>
      <c r="C1237" s="6" t="str">
        <v>Google For Startups</v>
      </c>
      <c r="D1237" s="6" t="str">
        <v>Google For Startups</v>
      </c>
      <c r="F1237" s="6" t="str">
        <v>United States</v>
      </c>
      <c r="G1237" s="6" t="str">
        <v>Rocket Systems Inc</v>
      </c>
      <c r="H1237" s="6" t="str">
        <v>Prepackaged Software</v>
      </c>
      <c r="I1237" s="6" t="str">
        <v>1P5237</v>
      </c>
      <c r="J1237" s="6" t="str">
        <v>Rocket Systems Inc</v>
      </c>
      <c r="K1237" s="6" t="str">
        <v>Rocket Systems Inc</v>
      </c>
      <c r="L1237" s="7">
        <f>=DATE(2023,7,17)</f>
        <v>45123.99949074074</v>
      </c>
      <c r="M1237" s="7">
        <f>=DATE(2023,7,17)</f>
        <v>45123.99949074074</v>
      </c>
      <c r="N1237" s="8">
        <v>0.25</v>
      </c>
      <c r="O1237" s="8">
        <v>0.25</v>
      </c>
      <c r="W1237" s="6" t="str">
        <v>Primary Business not Hi-Tech</v>
      </c>
      <c r="X1237" s="6" t="str">
        <v>Communication/Network Software;Other Software (inq. Games);Internet Services &amp; Software;Utilities/File Mgmt Software;Desktop Publishing;Applications Software(Home);Applications Software(Business</v>
      </c>
      <c r="Y1237" s="6" t="str">
        <v>Utilities/File Mgmt Software;Internet Services &amp; Software;Communication/Network Software;Other Software (inq. Games);Applications Software(Business;Applications Software(Home);Desktop Publishing</v>
      </c>
      <c r="Z1237" s="6" t="str">
        <v>Other Software (inq. Games);Communication/Network Software;Utilities/File Mgmt Software;Internet Services &amp; Software;Desktop Publishing;Applications Software(Home);Applications Software(Business</v>
      </c>
      <c r="AA1237" s="6" t="str">
        <v>Primary Business not Hi-Tech</v>
      </c>
      <c r="AB1237" s="6" t="str">
        <v>Primary Business not Hi-Tech</v>
      </c>
      <c r="AC1237" s="8">
        <v>0.25</v>
      </c>
      <c r="AD1237" s="7">
        <f>=DATE(2023,7,17)</f>
        <v>45123.99949074074</v>
      </c>
      <c r="AH1237" s="6" t="str">
        <v>False</v>
      </c>
      <c r="AI1237" s="6" t="str">
        <v>2023</v>
      </c>
      <c r="AJ1237" s="6" t="str">
        <v>Completed</v>
      </c>
      <c r="AM1237" s="6" t="str">
        <v>Privately Negotiated Purchase;Financial Acquiror</v>
      </c>
      <c r="AO1237" s="6" t="str">
        <v>US - Google For Startups acquired an undisclosed minority stake in Rocket Systems Inc, a Dallas-based software publisher, for a total USD 0.25 mil, in a privately negotiated transaction.</v>
      </c>
    </row>
    <row r="1238">
      <c r="A1238" s="6" t="str">
        <v>4C7902</v>
      </c>
      <c r="B1238" s="6" t="str">
        <v>United States</v>
      </c>
      <c r="C1238" s="6" t="str">
        <v>Amazon Web Services Inc</v>
      </c>
      <c r="D1238" s="6" t="str">
        <v>Amazon.com Inc</v>
      </c>
      <c r="F1238" s="6" t="str">
        <v>United States</v>
      </c>
      <c r="G1238" s="6" t="str">
        <v>Hercules Labs Inc</v>
      </c>
      <c r="H1238" s="6" t="str">
        <v>Prepackaged Software</v>
      </c>
      <c r="I1238" s="6" t="str">
        <v>4P9615</v>
      </c>
      <c r="J1238" s="6" t="str">
        <v>Hercules Labs Inc</v>
      </c>
      <c r="K1238" s="6" t="str">
        <v>Hercules Labs Inc</v>
      </c>
      <c r="L1238" s="7">
        <f>=DATE(2023,8,28)</f>
        <v>45165.99949074074</v>
      </c>
      <c r="M1238" s="7">
        <f>=DATE(2023,8,28)</f>
        <v>45165.99949074074</v>
      </c>
      <c r="W1238" s="6" t="str">
        <v>Data Processing Services;Primary Business not Hi-Tech;Internet Services &amp; Software;Computer Consulting Services;Other Computer Related Svcs</v>
      </c>
      <c r="X1238" s="6" t="str">
        <v>Applications Software(Home);Other Software (inq. Games)</v>
      </c>
      <c r="Y1238" s="6" t="str">
        <v>Applications Software(Home);Other Software (inq. Games)</v>
      </c>
      <c r="Z1238" s="6" t="str">
        <v>Other Software (inq. Games);Applications Software(Home)</v>
      </c>
      <c r="AA1238" s="6" t="str">
        <v>Primary Business not Hi-Tech</v>
      </c>
      <c r="AB1238" s="6" t="str">
        <v>Primary Business not Hi-Tech</v>
      </c>
      <c r="AH1238" s="6" t="str">
        <v>False</v>
      </c>
      <c r="AI1238" s="6" t="str">
        <v>2023</v>
      </c>
      <c r="AJ1238" s="6" t="str">
        <v>Completed</v>
      </c>
      <c r="AM1238" s="6" t="str">
        <v>Not Applicable</v>
      </c>
      <c r="AO1238" s="6" t="str">
        <v>US - Amazon Web Services Inc, a unit of Amazon.com Inc, acquired Hercules Labs Inc, a San Francisco-based software publisher.</v>
      </c>
    </row>
    <row r="1239">
      <c r="A1239" s="6" t="str">
        <v>037833</v>
      </c>
      <c r="B1239" s="6" t="str">
        <v>United States</v>
      </c>
      <c r="C1239" s="6" t="str">
        <v>Apple Inc</v>
      </c>
      <c r="D1239" s="6" t="str">
        <v>Apple Inc</v>
      </c>
      <c r="F1239" s="6" t="str">
        <v>United States</v>
      </c>
      <c r="G1239" s="6" t="str">
        <v>Apple Inc</v>
      </c>
      <c r="H1239" s="6" t="str">
        <v>Computer and Office Equipment</v>
      </c>
      <c r="I1239" s="6" t="str">
        <v>037833</v>
      </c>
      <c r="J1239" s="6" t="str">
        <v>Apple Inc</v>
      </c>
      <c r="K1239" s="6" t="str">
        <v>Apple Inc</v>
      </c>
      <c r="L1239" s="7">
        <f>=DATE(2023,8,31)</f>
        <v>45168.99949074074</v>
      </c>
      <c r="M1239" s="7">
        <f>=DATE(2023,8,31)</f>
        <v>45168.99949074074</v>
      </c>
      <c r="N1239" s="8">
        <v>5000</v>
      </c>
      <c r="O1239" s="8">
        <v>5000</v>
      </c>
      <c r="P1239" s="8" t="str">
        <v>2,754,214.97</v>
      </c>
      <c r="R1239" s="8">
        <v>99803</v>
      </c>
      <c r="S1239" s="8">
        <v>394328</v>
      </c>
      <c r="T1239" s="8">
        <v>-110749</v>
      </c>
      <c r="U1239" s="8">
        <v>-22354</v>
      </c>
      <c r="V1239" s="8">
        <v>122151</v>
      </c>
      <c r="W1239" s="6" t="str">
        <v>Other Peripherals;Mainframes &amp; Super Computers;Printers;Portable Computers;Other Software (inq. Games);Micro-Computers (PCs);Disk Drives;Monitors/Terminals</v>
      </c>
      <c r="X1239" s="6" t="str">
        <v>Other Software (inq. Games);Micro-Computers (PCs);Other Peripherals;Monitors/Terminals;Portable Computers;Printers;Mainframes &amp; Super Computers;Disk Drives</v>
      </c>
      <c r="Y1239" s="6" t="str">
        <v>Other Software (inq. Games);Other Peripherals;Disk Drives;Micro-Computers (PCs);Portable Computers;Printers;Monitors/Terminals;Mainframes &amp; Super Computers</v>
      </c>
      <c r="Z1239" s="6" t="str">
        <v>Other Software (inq. Games);Monitors/Terminals;Disk Drives;Micro-Computers (PCs);Mainframes &amp; Super Computers;Portable Computers;Other Peripherals;Printers</v>
      </c>
      <c r="AA1239" s="6" t="str">
        <v>Other Software (inq. Games);Micro-Computers (PCs);Portable Computers;Other Peripherals;Printers;Mainframes &amp; Super Computers;Monitors/Terminals;Disk Drives</v>
      </c>
      <c r="AB1239" s="6" t="str">
        <v>Micro-Computers (PCs);Mainframes &amp; Super Computers;Other Software (inq. Games);Other Peripherals;Portable Computers;Monitors/Terminals;Printers;Disk Drives</v>
      </c>
      <c r="AC1239" s="8">
        <v>5000</v>
      </c>
      <c r="AD1239" s="7">
        <f>=DATE(2023,8,31)</f>
        <v>45168.99949074074</v>
      </c>
      <c r="AF1239" s="8" t="str">
        <v>2,754,214.97</v>
      </c>
      <c r="AG1239" s="8" t="str">
        <v>2,754,214.97</v>
      </c>
      <c r="AH1239" s="6" t="str">
        <v>True</v>
      </c>
      <c r="AI1239" s="6" t="str">
        <v>2023</v>
      </c>
      <c r="AJ1239" s="6" t="str">
        <v>Completed</v>
      </c>
      <c r="AM1239" s="6" t="str">
        <v>Open Market Purchase;Repurchase</v>
      </c>
      <c r="AO1239" s="6" t="str">
        <v>US - On 31 August 2023, the board of Apple Inc, a Cupertino-based manufacturer and wholesaler of mobile communication and computer related products authorized the repurchase of up to USD 5 bil of the company's entire common share capital, in an accelerated transaction.</v>
      </c>
    </row>
    <row r="1240">
      <c r="A1240" s="6" t="str">
        <v>73959W</v>
      </c>
      <c r="B1240" s="6" t="str">
        <v>United States</v>
      </c>
      <c r="C1240" s="6" t="str">
        <v>PowerSchool Group LLC</v>
      </c>
      <c r="D1240" s="6" t="str">
        <v>Powerschool Holdings Inc</v>
      </c>
      <c r="F1240" s="6" t="str">
        <v>India</v>
      </c>
      <c r="G1240" s="6" t="str">
        <v>Jarulss Software Solutions Pvt Ltd</v>
      </c>
      <c r="H1240" s="6" t="str">
        <v>Prepackaged Software</v>
      </c>
      <c r="I1240" s="6" t="str">
        <v>5P1790</v>
      </c>
      <c r="J1240" s="6" t="str">
        <v>Jarulss Software Solutions Pvt Ltd</v>
      </c>
      <c r="K1240" s="6" t="str">
        <v>Jarulss Software Solutions Pvt Ltd</v>
      </c>
      <c r="L1240" s="7">
        <f>=DATE(2023,9,5)</f>
        <v>45173.99949074074</v>
      </c>
      <c r="M1240" s="7">
        <f>=DATE(2023,9,5)</f>
        <v>45173.99949074074</v>
      </c>
      <c r="W1240" s="6" t="str">
        <v>Other Software (inq. Games)</v>
      </c>
      <c r="X1240" s="6" t="str">
        <v>Applications Software(Business;Internet Services &amp; Software;Applications Software(Home);Desktop Publishing;Other Software (inq. Games);Communication/Network Software;Utilities/File Mgmt Software</v>
      </c>
      <c r="Y1240" s="6" t="str">
        <v>Utilities/File Mgmt Software;Desktop Publishing;Applications Software(Home);Applications Software(Business;Other Software (inq. Games);Communication/Network Software;Internet Services &amp; Software</v>
      </c>
      <c r="Z1240" s="6" t="str">
        <v>Utilities/File Mgmt Software;Internet Services &amp; Software;Other Software (inq. Games);Applications Software(Business;Applications Software(Home);Communication/Network Software;Desktop Publishing</v>
      </c>
      <c r="AA1240" s="6" t="str">
        <v>Applications Software(Business;Utilities/File Mgmt Software;Other Software (inq. Games);Primary Business not Hi-Tech;Internet Services &amp; Software;Communication/Network Software;Desktop Publishing;Applications Software(Home)</v>
      </c>
      <c r="AB1240" s="6" t="str">
        <v>Applications Software(Business;Primary Business not Hi-Tech;Other Software (inq. Games);Desktop Publishing;Communication/Network Software;Internet Services &amp; Software;Utilities/File Mgmt Software;Applications Software(Home)</v>
      </c>
      <c r="AH1240" s="6" t="str">
        <v>True</v>
      </c>
      <c r="AI1240" s="6" t="str">
        <v>2023</v>
      </c>
      <c r="AJ1240" s="6" t="str">
        <v>Completed</v>
      </c>
      <c r="AM1240" s="6" t="str">
        <v>Financial Acquiror</v>
      </c>
      <c r="AO1240" s="6" t="str">
        <v>INDIA - PowerSchool Group LLC of the US, a unit of Vista Equity Partners Management LLC, acquired Jarulss Software Solutions Pvt Ltd, a Chennai-based software publisher. The terms were not disclosed.</v>
      </c>
    </row>
    <row r="1241">
      <c r="A1241" s="6" t="str">
        <v>023135</v>
      </c>
      <c r="B1241" s="6" t="str">
        <v>United States</v>
      </c>
      <c r="C1241" s="6" t="str">
        <v>Amazon.com Inc</v>
      </c>
      <c r="D1241" s="6" t="str">
        <v>Amazon.com Inc</v>
      </c>
      <c r="E1241" s="6" t="str">
        <v>Amazon.com Inc</v>
      </c>
      <c r="F1241" s="6" t="str">
        <v>United States</v>
      </c>
      <c r="G1241" s="6" t="str">
        <v>Anthropic PBC</v>
      </c>
      <c r="H1241" s="6" t="str">
        <v>Business Services</v>
      </c>
      <c r="I1241" s="6" t="str">
        <v>5P0185</v>
      </c>
      <c r="J1241" s="6" t="str">
        <v>Anthropic PBC</v>
      </c>
      <c r="K1241" s="6" t="str">
        <v>Anthropic PBC</v>
      </c>
      <c r="L1241" s="7">
        <f>=DATE(2023,9,25)</f>
        <v>45193.99949074074</v>
      </c>
      <c r="M1241" s="7">
        <f>=DATE(2023,9,30)</f>
        <v>45198.99949074074</v>
      </c>
      <c r="N1241" s="8">
        <v>1250</v>
      </c>
      <c r="O1241" s="8">
        <v>1250</v>
      </c>
      <c r="Q1241" s="8" t="str">
        <v>2,750.00</v>
      </c>
      <c r="W1241" s="6" t="str">
        <v>Primary Business not Hi-Tech</v>
      </c>
      <c r="X1241" s="6" t="str">
        <v>Internet Services &amp; Software;Other Computer Related Svcs;Computer Consulting Services</v>
      </c>
      <c r="Y1241" s="6" t="str">
        <v>Computer Consulting Services;Internet Services &amp; Software;Other Computer Related Svcs</v>
      </c>
      <c r="Z1241" s="6" t="str">
        <v>Internet Services &amp; Software;Computer Consulting Services;Other Computer Related Svcs</v>
      </c>
      <c r="AA1241" s="6" t="str">
        <v>Primary Business not Hi-Tech</v>
      </c>
      <c r="AB1241" s="6" t="str">
        <v>Primary Business not Hi-Tech</v>
      </c>
      <c r="AC1241" s="8">
        <v>1250</v>
      </c>
      <c r="AD1241" s="7">
        <f>=DATE(2023,9,25)</f>
        <v>45193.99949074074</v>
      </c>
      <c r="AH1241" s="6" t="str">
        <v>True</v>
      </c>
      <c r="AI1241" s="6" t="str">
        <v>2023</v>
      </c>
      <c r="AJ1241" s="6" t="str">
        <v>Completed</v>
      </c>
      <c r="AM1241" s="6" t="str">
        <v>Privately Negotiated Purchase</v>
      </c>
      <c r="AO1241" s="6" t="str">
        <v>US - Amazon.com Inc (AMZN) acquired an undisclosed minority stake in Anthropic PBC (Anthropic), a San Francisco-based provider of computer related services, for USD 1.25 bil, in a privately negotiated transaction. Concurrently, AMZN exercised its option to acquire an undisclosed minority stake in Anthropic.</v>
      </c>
    </row>
    <row r="1242">
      <c r="A1242" s="6" t="str">
        <v>023135</v>
      </c>
      <c r="B1242" s="6" t="str">
        <v>United States</v>
      </c>
      <c r="C1242" s="6" t="str">
        <v>Amazon.com Inc</v>
      </c>
      <c r="D1242" s="6" t="str">
        <v>Amazon.com Inc</v>
      </c>
      <c r="E1242" s="6" t="str">
        <v>Amazon.com Inc</v>
      </c>
      <c r="F1242" s="6" t="str">
        <v>United States</v>
      </c>
      <c r="G1242" s="6" t="str">
        <v>Anthropic PBC</v>
      </c>
      <c r="H1242" s="6" t="str">
        <v>Business Services</v>
      </c>
      <c r="I1242" s="6" t="str">
        <v>5P0185</v>
      </c>
      <c r="J1242" s="6" t="str">
        <v>Anthropic PBC</v>
      </c>
      <c r="K1242" s="6" t="str">
        <v>Anthropic PBC</v>
      </c>
      <c r="L1242" s="7">
        <f>=DATE(2023,9,25)</f>
        <v>45193.99949074074</v>
      </c>
      <c r="M1242" s="7">
        <f>=DATE(2024,3,28)</f>
        <v>45378.99949074074</v>
      </c>
      <c r="N1242" s="8">
        <v>2750</v>
      </c>
      <c r="O1242" s="8">
        <v>2750</v>
      </c>
      <c r="Q1242" s="8" t="str">
        <v>1,250.00</v>
      </c>
      <c r="W1242" s="6" t="str">
        <v>Primary Business not Hi-Tech</v>
      </c>
      <c r="X1242" s="6" t="str">
        <v>Computer Consulting Services;Internet Services &amp; Software;Other Computer Related Svcs</v>
      </c>
      <c r="Y1242" s="6" t="str">
        <v>Other Computer Related Svcs;Internet Services &amp; Software;Computer Consulting Services</v>
      </c>
      <c r="Z1242" s="6" t="str">
        <v>Computer Consulting Services;Internet Services &amp; Software;Other Computer Related Svcs</v>
      </c>
      <c r="AA1242" s="6" t="str">
        <v>Primary Business not Hi-Tech</v>
      </c>
      <c r="AB1242" s="6" t="str">
        <v>Primary Business not Hi-Tech</v>
      </c>
      <c r="AC1242" s="8">
        <v>2750</v>
      </c>
      <c r="AD1242" s="7">
        <f>=DATE(2023,9,25)</f>
        <v>45193.99949074074</v>
      </c>
      <c r="AH1242" s="6" t="str">
        <v>True</v>
      </c>
      <c r="AI1242" s="6" t="str">
        <v>2024</v>
      </c>
      <c r="AJ1242" s="6" t="str">
        <v>Completed</v>
      </c>
      <c r="AM1242" s="6" t="str">
        <v>Privately Negotiated Purchase</v>
      </c>
      <c r="AO1242" s="6" t="str">
        <v>US - Amazon.com Inc (AMZN) exercised its option to acquire an undisclosed minority stake in Anthropic PBC (Anthropic), a San Francisco-based developer of artificial intelligence software, for USD 2.75 bil, in a privately negotiated transaction. Concurrently, AMZN acquired an undisclosed minority stake in Anthropic.</v>
      </c>
    </row>
    <row r="1243">
      <c r="A1243" s="6" t="str">
        <v>30303M</v>
      </c>
      <c r="B1243" s="6" t="str">
        <v>United States</v>
      </c>
      <c r="C1243" s="6" t="str">
        <v>Meta Platforms Inc</v>
      </c>
      <c r="D1243" s="6" t="str">
        <v>Meta Platforms Inc</v>
      </c>
      <c r="F1243" s="6" t="str">
        <v>United Kingdom</v>
      </c>
      <c r="G1243" s="6" t="str">
        <v>Efficient Translation Ltd</v>
      </c>
      <c r="H1243" s="6" t="str">
        <v>Prepackaged Software</v>
      </c>
      <c r="I1243" s="6" t="str">
        <v>0Q0845</v>
      </c>
      <c r="J1243" s="6" t="str">
        <v>Efficient Translation Ltd</v>
      </c>
      <c r="K1243" s="6" t="str">
        <v>Efficient Translation Ltd</v>
      </c>
      <c r="L1243" s="7">
        <f>=DATE(2023,11,17)</f>
        <v>45246.99949074074</v>
      </c>
      <c r="W1243" s="6" t="str">
        <v>Internet Services &amp; Software</v>
      </c>
      <c r="X1243" s="6" t="str">
        <v>Internet Services &amp; Software;Communication/Network Software</v>
      </c>
      <c r="Y1243" s="6" t="str">
        <v>Internet Services &amp; Software;Communication/Network Software</v>
      </c>
      <c r="Z1243" s="6" t="str">
        <v>Internet Services &amp; Software;Communication/Network Software</v>
      </c>
      <c r="AA1243" s="6" t="str">
        <v>Internet Services &amp; Software</v>
      </c>
      <c r="AB1243" s="6" t="str">
        <v>Internet Services &amp; Software</v>
      </c>
      <c r="AH1243" s="6" t="str">
        <v>True</v>
      </c>
      <c r="AJ1243" s="6" t="str">
        <v>Pending</v>
      </c>
      <c r="AM1243" s="6" t="str">
        <v>Privately Negotiated Purchase;Financial Acquiror</v>
      </c>
      <c r="AO1243" s="6" t="str">
        <v>UK - Meta Platforms Inc of the US planned to acquire an undisclosed minority stake in Efficient Translation Ltd, an Edinburgh-based software publisher, in a privately negotiated transaction.</v>
      </c>
    </row>
    <row r="1244">
      <c r="A1244" s="6" t="str">
        <v>4K2733</v>
      </c>
      <c r="B1244" s="6" t="str">
        <v>United States</v>
      </c>
      <c r="C1244" s="6" t="str">
        <v>Google International LLC</v>
      </c>
      <c r="D1244" s="6" t="str">
        <v>Alphabet Inc</v>
      </c>
      <c r="F1244" s="6" t="str">
        <v>South Korea</v>
      </c>
      <c r="G1244" s="6" t="str">
        <v>Cafe24 Corp</v>
      </c>
      <c r="H1244" s="6" t="str">
        <v>Business Services</v>
      </c>
      <c r="I1244" s="6" t="str">
        <v>7F5386</v>
      </c>
      <c r="J1244" s="6" t="str">
        <v>Cafe24 Corp</v>
      </c>
      <c r="K1244" s="6" t="str">
        <v>Cafe24 Corp</v>
      </c>
      <c r="L1244" s="7">
        <f>=DATE(2023,12,5)</f>
        <v>45264.99949074074</v>
      </c>
      <c r="M1244" s="7">
        <f>=DATE(2024,1,16)</f>
        <v>45306.99949074074</v>
      </c>
      <c r="N1244" s="8">
        <v>19.8007199847299</v>
      </c>
      <c r="O1244" s="8">
        <v>19.8007199847299</v>
      </c>
      <c r="P1244" s="8" t="str">
        <v>254.89</v>
      </c>
      <c r="R1244" s="8">
        <v>-25.2685212710103</v>
      </c>
      <c r="S1244" s="8">
        <v>205.618840354652</v>
      </c>
      <c r="T1244" s="8">
        <v>-20.505309433</v>
      </c>
      <c r="U1244" s="8">
        <v>6.884389674</v>
      </c>
      <c r="V1244" s="8">
        <v>21.930569914</v>
      </c>
      <c r="W1244" s="6" t="str">
        <v>Internet Services &amp; Software</v>
      </c>
      <c r="X1244" s="6" t="str">
        <v>Computer Consulting Services;Other Computer Related Svcs;Other Software (inq. Games)</v>
      </c>
      <c r="Y1244" s="6" t="str">
        <v>Computer Consulting Services;Other Computer Related Svcs;Other Software (inq. Games)</v>
      </c>
      <c r="Z1244" s="6" t="str">
        <v>Other Computer Related Svcs;Computer Consulting Services;Other Software (inq. Games)</v>
      </c>
      <c r="AA1244" s="6" t="str">
        <v>Programming Services;Internet Services &amp; Software</v>
      </c>
      <c r="AB1244" s="6" t="str">
        <v>Programming Services;Internet Services &amp; Software;Telecommunications Equipment;Computer Consulting Services;Primary Business not Hi-Tech</v>
      </c>
      <c r="AC1244" s="8">
        <v>19.8007199847299</v>
      </c>
      <c r="AD1244" s="7">
        <f>=DATE(2023,12,5)</f>
        <v>45264.99949074074</v>
      </c>
      <c r="AE1244" s="8">
        <v>272.65627496087</v>
      </c>
      <c r="AF1244" s="8" t="str">
        <v>252.56</v>
      </c>
      <c r="AG1244" s="8" t="str">
        <v>247.93</v>
      </c>
      <c r="AH1244" s="6" t="str">
        <v>True</v>
      </c>
      <c r="AI1244" s="6" t="str">
        <v>2024</v>
      </c>
      <c r="AJ1244" s="6" t="str">
        <v>Completed</v>
      </c>
      <c r="AK1244" s="8">
        <v>272.65627496087</v>
      </c>
      <c r="AL1244" s="8">
        <v>1.755856</v>
      </c>
      <c r="AM1244" s="6" t="str">
        <v>Privately Negotiated Purchase</v>
      </c>
      <c r="AN1244" s="8">
        <v>31.5728856549164</v>
      </c>
      <c r="AO1244" s="6" t="str">
        <v>SOUTH KOREA - Google International LLC of the US, a unit of Alphabet Inc, acquired a 7.262% stake or 1.756 mil newly issued ordinary shares, in Cafe24 Corp, a Seoul-based provider of marketing consulting services, for KRW 14,770 (USD 11.277) per share, or a total value of KRW 25.934 bil (USD 19.801 mil), in a privately negotiated transaction.</v>
      </c>
    </row>
    <row r="1245">
      <c r="A1245" s="6" t="str">
        <v>037833</v>
      </c>
      <c r="B1245" s="6" t="str">
        <v>United States</v>
      </c>
      <c r="C1245" s="6" t="str">
        <v>Apple Inc</v>
      </c>
      <c r="D1245" s="6" t="str">
        <v>Apple Inc</v>
      </c>
      <c r="F1245" s="6" t="str">
        <v>Canada</v>
      </c>
      <c r="G1245" s="6" t="str">
        <v>DarwinAI Corp</v>
      </c>
      <c r="H1245" s="6" t="str">
        <v>Prepackaged Software</v>
      </c>
      <c r="I1245" s="6" t="str">
        <v>1L7840</v>
      </c>
      <c r="J1245" s="6" t="str">
        <v>DarwinAI Corp</v>
      </c>
      <c r="K1245" s="6" t="str">
        <v>DarwinAI Corp</v>
      </c>
      <c r="L1245" s="7">
        <f>=DATE(2024,1,1)</f>
        <v>45291.99949074074</v>
      </c>
      <c r="M1245" s="7">
        <f>=DATE(2024,1,1)</f>
        <v>45291.99949074074</v>
      </c>
      <c r="W1245" s="6" t="str">
        <v>Printers;Micro-Computers (PCs);Other Peripherals;Other Software (inq. Games);Disk Drives;Mainframes &amp; Super Computers;Portable Computers;Monitors/Terminals</v>
      </c>
      <c r="X1245" s="6" t="str">
        <v>Other Software (inq. Games);Utilities/File Mgmt Software;Internet Services &amp; Software;Desktop Publishing;Communication/Network Software;Applications Software(Business;Applications Software(Home)</v>
      </c>
      <c r="Y1245" s="6" t="str">
        <v>Internet Services &amp; Software;Applications Software(Home);Applications Software(Business;Other Software (inq. Games);Desktop Publishing;Utilities/File Mgmt Software;Communication/Network Software</v>
      </c>
      <c r="Z1245" s="6" t="str">
        <v>Communication/Network Software;Desktop Publishing;Applications Software(Business;Applications Software(Home);Utilities/File Mgmt Software;Other Software (inq. Games);Internet Services &amp; Software</v>
      </c>
      <c r="AA1245" s="6" t="str">
        <v>Portable Computers;Monitors/Terminals;Printers;Mainframes &amp; Super Computers;Micro-Computers (PCs);Disk Drives;Other Peripherals;Other Software (inq. Games)</v>
      </c>
      <c r="AB1245" s="6" t="str">
        <v>Other Peripherals;Micro-Computers (PCs);Other Software (inq. Games);Monitors/Terminals;Printers;Portable Computers;Mainframes &amp; Super Computers;Disk Drives</v>
      </c>
      <c r="AH1245" s="6" t="str">
        <v>False</v>
      </c>
      <c r="AI1245" s="6" t="str">
        <v>2024</v>
      </c>
      <c r="AJ1245" s="6" t="str">
        <v>Completed</v>
      </c>
      <c r="AM1245" s="6" t="str">
        <v>Rumored Deal</v>
      </c>
      <c r="AO1245" s="6" t="str">
        <v>CANADA - Apple Inc (API) of the US acquired DarwinAI Corp (DAI), a Waterloo-based software publisher. Originally, on March 2024, API was rumored to be planning to acquire DAI.</v>
      </c>
    </row>
    <row r="1246">
      <c r="A1246" s="6" t="str">
        <v>4K2733</v>
      </c>
      <c r="B1246" s="6" t="str">
        <v>United States</v>
      </c>
      <c r="C1246" s="6" t="str">
        <v>Google International LLC</v>
      </c>
      <c r="D1246" s="6" t="str">
        <v>Alphabet Inc</v>
      </c>
      <c r="F1246" s="6" t="str">
        <v>United Kingdom</v>
      </c>
      <c r="G1246" s="6" t="str">
        <v>Mohold Ltd</v>
      </c>
      <c r="H1246" s="6" t="str">
        <v>Printing, Publishing, and Allied Services</v>
      </c>
      <c r="I1246" s="6" t="str">
        <v>2Q2670</v>
      </c>
      <c r="J1246" s="6" t="str">
        <v>Mohold Ltd</v>
      </c>
      <c r="K1246" s="6" t="str">
        <v>Mohold Ltd</v>
      </c>
      <c r="L1246" s="7">
        <f>=DATE(2024,1,24)</f>
        <v>45314.99949074074</v>
      </c>
      <c r="M1246" s="7">
        <f>=DATE(2024,1,24)</f>
        <v>45314.99949074074</v>
      </c>
      <c r="W1246" s="6" t="str">
        <v>Internet Services &amp; Software</v>
      </c>
      <c r="X1246" s="6" t="str">
        <v>Computer Consulting Services;Other Computer Related Svcs;Satellite Communications;Networking Systems (LAN,WAN);Primary Business not Hi-Tech;Internet Services &amp; Software</v>
      </c>
      <c r="Y1246" s="6" t="str">
        <v>Internet Services &amp; Software;Computer Consulting Services;Other Computer Related Svcs;Satellite Communications;Primary Business not Hi-Tech;Networking Systems (LAN,WAN)</v>
      </c>
      <c r="Z1246" s="6" t="str">
        <v>Networking Systems (LAN,WAN);Other Computer Related Svcs;Internet Services &amp; Software;Satellite Communications;Primary Business not Hi-Tech;Computer Consulting Services</v>
      </c>
      <c r="AA1246" s="6" t="str">
        <v>Programming Services;Internet Services &amp; Software</v>
      </c>
      <c r="AB1246" s="6" t="str">
        <v>Programming Services;Internet Services &amp; Software;Primary Business not Hi-Tech;Telecommunications Equipment;Computer Consulting Services</v>
      </c>
      <c r="AH1246" s="6" t="str">
        <v>True</v>
      </c>
      <c r="AI1246" s="6" t="str">
        <v>2024</v>
      </c>
      <c r="AJ1246" s="6" t="str">
        <v>Completed</v>
      </c>
      <c r="AM1246" s="6" t="str">
        <v>Privately Negotiated Purchase</v>
      </c>
      <c r="AO1246" s="6" t="str">
        <v>UK - Google International LLC of the US, a unit of Google LLC, acquired an undisclosed minority stake in Mohold Ltd, a Chorleywood-based internet portal operator, in a privately negotiated transaction.</v>
      </c>
    </row>
    <row r="1247">
      <c r="A1247" s="6" t="str">
        <v>594918</v>
      </c>
      <c r="B1247" s="6" t="str">
        <v>United States</v>
      </c>
      <c r="C1247" s="6" t="str">
        <v>Microsoft Corp</v>
      </c>
      <c r="D1247" s="6" t="str">
        <v>Microsoft Corp</v>
      </c>
      <c r="F1247" s="6" t="str">
        <v>France</v>
      </c>
      <c r="G1247" s="6" t="str">
        <v>Mistral AI SAS</v>
      </c>
      <c r="H1247" s="6" t="str">
        <v>Prepackaged Software</v>
      </c>
      <c r="I1247" s="6" t="str">
        <v>4P9171</v>
      </c>
      <c r="J1247" s="6" t="str">
        <v>Mistral AI SAS</v>
      </c>
      <c r="K1247" s="6" t="str">
        <v>Mistral AI SAS</v>
      </c>
      <c r="L1247" s="7">
        <f>=DATE(2024,2,26)</f>
        <v>45347.99949074074</v>
      </c>
      <c r="N1247" s="8">
        <v>16.2269172102684</v>
      </c>
      <c r="O1247" s="8">
        <v>16.2269172102684</v>
      </c>
      <c r="W1247" s="6" t="str">
        <v>Computer Consulting Services;Applications Software(Business;Operating Systems;Monitors/Terminals;Other Peripherals;Internet Services &amp; Software</v>
      </c>
      <c r="X1247" s="6" t="str">
        <v>Communication/Network Software;Applications Software(Home);Utilities/File Mgmt Software;Applications Software(Business;Desktop Publishing;Internet Services &amp; Software;Other Software (inq. Games)</v>
      </c>
      <c r="Y1247" s="6" t="str">
        <v>Utilities/File Mgmt Software;Applications Software(Business;Desktop Publishing;Communication/Network Software;Internet Services &amp; Software;Other Software (inq. Games);Applications Software(Home)</v>
      </c>
      <c r="Z1247" s="6" t="str">
        <v>Other Software (inq. Games);Desktop Publishing;Applications Software(Business;Utilities/File Mgmt Software;Internet Services &amp; Software;Communication/Network Software;Applications Software(Home)</v>
      </c>
      <c r="AA1247" s="6" t="str">
        <v>Applications Software(Business;Computer Consulting Services;Operating Systems;Other Peripherals;Monitors/Terminals;Internet Services &amp; Software</v>
      </c>
      <c r="AB1247" s="6" t="str">
        <v>Computer Consulting Services;Monitors/Terminals;Internet Services &amp; Software;Other Peripherals;Operating Systems;Applications Software(Business</v>
      </c>
      <c r="AC1247" s="8">
        <v>16.2269172102684</v>
      </c>
      <c r="AD1247" s="7">
        <f>=DATE(2024,2,26)</f>
        <v>45347.99949074074</v>
      </c>
      <c r="AH1247" s="6" t="str">
        <v>True</v>
      </c>
      <c r="AJ1247" s="6" t="str">
        <v>Pending</v>
      </c>
      <c r="AM1247" s="6" t="str">
        <v>Privately Negotiated Purchase</v>
      </c>
      <c r="AO1247" s="6" t="str">
        <v>FRANCE - Microsoft Corp of the US planned to acquire an undisclosed minority stake in Mistral AI SAS, a Paris-based software publisher, for a total EUR 15 mil (USD 16.227 mil), in a privately negotiated transaction.</v>
      </c>
    </row>
    <row r="1248">
      <c r="A1248" s="6" t="str">
        <v>4C7902</v>
      </c>
      <c r="B1248" s="6" t="str">
        <v>United States</v>
      </c>
      <c r="C1248" s="6" t="str">
        <v>Amazon Web Services Inc</v>
      </c>
      <c r="D1248" s="6" t="str">
        <v>Amazon.com Inc</v>
      </c>
      <c r="F1248" s="6" t="str">
        <v>United States</v>
      </c>
      <c r="G1248" s="6" t="str">
        <v>Talen Energy Corp-Data Center</v>
      </c>
      <c r="H1248" s="6" t="str">
        <v>Business Services</v>
      </c>
      <c r="I1248" s="6" t="str">
        <v>2Q0813</v>
      </c>
      <c r="J1248" s="6" t="str">
        <v>Riverstone Holdings LLC</v>
      </c>
      <c r="K1248" s="6" t="str">
        <v>Talen Energy Corp</v>
      </c>
      <c r="L1248" s="7">
        <f>=DATE(2024,3,4)</f>
        <v>45354.99949074074</v>
      </c>
      <c r="M1248" s="7">
        <f>=DATE(2024,3,4)</f>
        <v>45354.99949074074</v>
      </c>
      <c r="W1248" s="6" t="str">
        <v>Data Processing Services;Internet Services &amp; Software;Other Computer Related Svcs;Primary Business not Hi-Tech;Computer Consulting Services</v>
      </c>
      <c r="X1248" s="6" t="str">
        <v>Other Computer Related Svcs;Primary Business not Hi-Tech;Internet Services &amp; Software;Data Processing Services;Computer Consulting Services</v>
      </c>
      <c r="Y1248" s="6" t="str">
        <v>Primary Business not Hi-Tech</v>
      </c>
      <c r="Z1248" s="6" t="str">
        <v>Primary Business not Hi-Tech</v>
      </c>
      <c r="AA1248" s="6" t="str">
        <v>Primary Business not Hi-Tech</v>
      </c>
      <c r="AB1248" s="6" t="str">
        <v>Primary Business not Hi-Tech</v>
      </c>
      <c r="AH1248" s="6" t="str">
        <v>False</v>
      </c>
      <c r="AI1248" s="6" t="str">
        <v>2024</v>
      </c>
      <c r="AJ1248" s="6" t="str">
        <v>Completed</v>
      </c>
      <c r="AM1248" s="6" t="str">
        <v>Divestiture</v>
      </c>
      <c r="AO1248" s="6" t="str">
        <v>US - Amazon Web Services Inc, a unit of Amazon.com Inc, acquired data center of Talen Energy Corp, a Houston-based electric power distributor, ultimately owned by Riverstone Holdings LLC.</v>
      </c>
    </row>
    <row r="1249">
      <c r="A1249" s="6" t="str">
        <v>4C7902</v>
      </c>
      <c r="B1249" s="6" t="str">
        <v>United States</v>
      </c>
      <c r="C1249" s="6" t="str">
        <v>Amazon Web Services Inc</v>
      </c>
      <c r="D1249" s="6" t="str">
        <v>Amazon.com Inc</v>
      </c>
      <c r="F1249" s="6" t="str">
        <v>United States</v>
      </c>
      <c r="G1249" s="6" t="str">
        <v>Cumulus Digital LLC</v>
      </c>
      <c r="H1249" s="6" t="str">
        <v>Business Services</v>
      </c>
      <c r="I1249" s="6" t="str">
        <v>8L2740</v>
      </c>
      <c r="J1249" s="6" t="str">
        <v>Riverstone Holdings LLC</v>
      </c>
      <c r="K1249" s="6" t="str">
        <v>Talen Energy Corp</v>
      </c>
      <c r="L1249" s="7">
        <f>=DATE(2024,3,4)</f>
        <v>45354.99949074074</v>
      </c>
      <c r="M1249" s="7">
        <f>=DATE(2024,3,4)</f>
        <v>45354.99949074074</v>
      </c>
      <c r="N1249" s="8">
        <v>650</v>
      </c>
      <c r="O1249" s="8">
        <v>650</v>
      </c>
      <c r="W1249" s="6" t="str">
        <v>Data Processing Services;Primary Business not Hi-Tech;Computer Consulting Services;Other Computer Related Svcs;Internet Services &amp; Software</v>
      </c>
      <c r="X1249" s="6" t="str">
        <v>Other Computer Related Svcs</v>
      </c>
      <c r="Y1249" s="6" t="str">
        <v>Primary Business not Hi-Tech</v>
      </c>
      <c r="Z1249" s="6" t="str">
        <v>Primary Business not Hi-Tech</v>
      </c>
      <c r="AA1249" s="6" t="str">
        <v>Primary Business not Hi-Tech</v>
      </c>
      <c r="AB1249" s="6" t="str">
        <v>Primary Business not Hi-Tech</v>
      </c>
      <c r="AC1249" s="8">
        <v>650</v>
      </c>
      <c r="AD1249" s="7">
        <f>=DATE(2024,3,4)</f>
        <v>45354.99949074074</v>
      </c>
      <c r="AH1249" s="6" t="str">
        <v>False</v>
      </c>
      <c r="AI1249" s="6" t="str">
        <v>2024</v>
      </c>
      <c r="AJ1249" s="6" t="str">
        <v>Completed</v>
      </c>
      <c r="AM1249" s="6" t="str">
        <v>Divestiture</v>
      </c>
      <c r="AO1249" s="6" t="str">
        <v>US - Amazon Web Services Inc, a unit of Amazon.com Inc, acquired Cumulus Digital LLC, a Berwick-based provider of computer facilities management services, from Talen Energy Corp, ultimately owned by Riverstone Holdings LLC, for a total USD 650 mil. The consideration consisted of USD 350 mil in cash and up to USD 300 mil in profit related payments.</v>
      </c>
    </row>
    <row r="1250">
      <c r="A1250" s="6" t="str">
        <v>594918</v>
      </c>
      <c r="B1250" s="6" t="str">
        <v>United States</v>
      </c>
      <c r="C1250" s="6" t="str">
        <v>Microsoft Corp</v>
      </c>
      <c r="D1250" s="6" t="str">
        <v>Microsoft Corp</v>
      </c>
      <c r="F1250" s="6" t="str">
        <v>United Arab Emirates</v>
      </c>
      <c r="G1250" s="6" t="str">
        <v>Group 42 Holding Ltd</v>
      </c>
      <c r="H1250" s="6" t="str">
        <v>Business Services</v>
      </c>
      <c r="I1250" s="6" t="str">
        <v>5J7268</v>
      </c>
      <c r="J1250" s="6" t="str">
        <v>Group 42 Holding Ltd</v>
      </c>
      <c r="K1250" s="6" t="str">
        <v>Group 42 Holding Ltd</v>
      </c>
      <c r="L1250" s="7">
        <f>=DATE(2024,4,15)</f>
        <v>45396.99949074074</v>
      </c>
      <c r="M1250" s="7">
        <f>=DATE(2024,4,15)</f>
        <v>45396.99949074074</v>
      </c>
      <c r="N1250" s="8">
        <v>1500</v>
      </c>
      <c r="O1250" s="8">
        <v>1500</v>
      </c>
      <c r="W1250" s="6" t="str">
        <v>Internet Services &amp; Software;Applications Software(Business;Other Peripherals;Monitors/Terminals;Operating Systems;Computer Consulting Services</v>
      </c>
      <c r="X1250" s="6" t="str">
        <v>Other Software (inq. Games);Workstations;Networking Systems (LAN,WAN);Other Computer Related Svcs;Applications Software(Home);Data Processing Services;Utilities/File Mgmt Software;Computer Consulting Services;Data Commun(Exclude networking;Applications Software(Business;Operating Systems;CAD/CAM/CAE/Graphics Systems;Communication/Network Software;Turnkey Systems;Other Computer Systems;Desktop Publishing;Internet Services &amp; Software;Primary Business not Hi-Tech</v>
      </c>
      <c r="Y1250" s="6" t="str">
        <v>Workstations;Data Processing Services;Internet Services &amp; Software;Other Computer Systems;Utilities/File Mgmt Software;Turnkey Systems;Applications Software(Home);Applications Software(Business;CAD/CAM/CAE/Graphics Systems;Desktop Publishing;Communication/Network Software;Other Software (inq. Games);Operating Systems;Networking Systems (LAN,WAN);Computer Consulting Services;Data Commun(Exclude networking;Primary Business not Hi-Tech;Other Computer Related Svcs</v>
      </c>
      <c r="Z1250" s="6" t="str">
        <v>Other Computer Related Svcs;Applications Software(Home);Desktop Publishing;Utilities/File Mgmt Software;Applications Software(Business;Other Software (inq. Games);Primary Business not Hi-Tech;Internet Services &amp; Software;Operating Systems;Data Commun(Exclude networking;Communication/Network Software;Data Processing Services;Workstations;Computer Consulting Services;Turnkey Systems;CAD/CAM/CAE/Graphics Systems;Other Computer Systems;Networking Systems (LAN,WAN)</v>
      </c>
      <c r="AA1250" s="6" t="str">
        <v>Internet Services &amp; Software;Applications Software(Business;Computer Consulting Services;Monitors/Terminals;Operating Systems;Other Peripherals</v>
      </c>
      <c r="AB1250" s="6" t="str">
        <v>Internet Services &amp; Software;Operating Systems;Computer Consulting Services;Applications Software(Business;Other Peripherals;Monitors/Terminals</v>
      </c>
      <c r="AC1250" s="8">
        <v>1500</v>
      </c>
      <c r="AD1250" s="7">
        <f>=DATE(2024,4,15)</f>
        <v>45396.99949074074</v>
      </c>
      <c r="AH1250" s="6" t="str">
        <v>True</v>
      </c>
      <c r="AI1250" s="6" t="str">
        <v>2024</v>
      </c>
      <c r="AJ1250" s="6" t="str">
        <v>Completed</v>
      </c>
      <c r="AM1250" s="6" t="str">
        <v>Privately Negotiated Purchase</v>
      </c>
      <c r="AO1250" s="6" t="str">
        <v>UNITED ARAB EMIRATES - Microsoft Corp of the US acquired an undisclosed minority stake in Group 42 Holding Ltd, an Abu Dhabi-based software publisher, for AED 5.509 bil (USD 1.5 bil), in a privately negotiated transaction.</v>
      </c>
    </row>
    <row r="1251">
      <c r="A1251" s="6" t="str">
        <v>3H5923</v>
      </c>
      <c r="B1251" s="6" t="str">
        <v>United States</v>
      </c>
      <c r="C1251" s="6" t="str">
        <v>Armis Inc</v>
      </c>
      <c r="D1251" s="6" t="str">
        <v>Insight Holdings Group LLC</v>
      </c>
      <c r="F1251" s="6" t="str">
        <v>United States</v>
      </c>
      <c r="G1251" s="6" t="str">
        <v>Silk Security Inc</v>
      </c>
      <c r="H1251" s="6" t="str">
        <v>Prepackaged Software</v>
      </c>
      <c r="I1251" s="6" t="str">
        <v>2P2884</v>
      </c>
      <c r="J1251" s="6" t="str">
        <v>Silk Security Inc</v>
      </c>
      <c r="K1251" s="6" t="str">
        <v>Silk Security Inc</v>
      </c>
      <c r="L1251" s="7">
        <f>=DATE(2024,4,17)</f>
        <v>45398.99949074074</v>
      </c>
      <c r="M1251" s="7">
        <f>=DATE(2024,4,17)</f>
        <v>45398.99949074074</v>
      </c>
      <c r="N1251" s="8">
        <v>150</v>
      </c>
      <c r="O1251" s="8">
        <v>150</v>
      </c>
      <c r="S1251" s="8">
        <v>5</v>
      </c>
      <c r="W1251" s="6" t="str">
        <v>Other Computer Related Svcs;Data Processing Services;Computer Consulting Services;Programming Services;Database Software/Programming;Internet Services &amp; Software</v>
      </c>
      <c r="X1251" s="6" t="str">
        <v>Other Computer Related Svcs;Workstations;Other Computer Systems;Computer Consulting Services;Data Commun(Exclude networking;Other Software (inq. Games);Utilities/File Mgmt Software;Operating Systems;Communication/Network Software;Applications Software(Business;CAD/CAM/CAE/Graphics Systems;Internet Services &amp; Software;Desktop Publishing;Turnkey Systems;Applications Software(Home);Networking Systems (LAN,WAN)</v>
      </c>
      <c r="Y1251" s="6" t="str">
        <v>Utilities/File Mgmt Software;Communication/Network Software;Desktop Publishing;Applications Software(Home);Applications Software(Business;Internet Services &amp; Software;Operating Systems;Other Computer Systems;Other Computer Related Svcs;Turnkey Systems;Computer Consulting Services;Data Commun(Exclude networking;CAD/CAM/CAE/Graphics Systems;Workstations;Other Software (inq. Games);Networking Systems (LAN,WAN)</v>
      </c>
      <c r="Z1251" s="6" t="str">
        <v>Other Software (inq. Games);Operating Systems;Internet Services &amp; Software;Utilities/File Mgmt Software;Communication/Network Software;Desktop Publishing;Applications Software(Home);Applications Software(Business;Other Computer Related Svcs;Computer Consulting Services;Workstations;Turnkey Systems;Data Commun(Exclude networking;CAD/CAM/CAE/Graphics Systems;Networking Systems (LAN,WAN);Other Computer Systems</v>
      </c>
      <c r="AA1251" s="6" t="str">
        <v>Primary Business not Hi-Tech</v>
      </c>
      <c r="AB1251" s="6" t="str">
        <v>Primary Business not Hi-Tech</v>
      </c>
      <c r="AC1251" s="8">
        <v>150</v>
      </c>
      <c r="AD1251" s="7">
        <f>=DATE(2024,4,17)</f>
        <v>45398.99949074074</v>
      </c>
      <c r="AH1251" s="6" t="str">
        <v>True</v>
      </c>
      <c r="AI1251" s="6" t="str">
        <v>2024</v>
      </c>
      <c r="AJ1251" s="6" t="str">
        <v>Completed</v>
      </c>
      <c r="AM1251" s="6" t="str">
        <v>Financial Acquiror</v>
      </c>
      <c r="AO1251" s="6" t="str">
        <v>US - Armis Inc, a unit of Armis Inc SPV, acquired Silk Security Inc, a Bergenfield-based software publisher, for USD 150 mil in cash.</v>
      </c>
    </row>
    <row r="1252">
      <c r="A1252" s="6" t="str">
        <v>037833</v>
      </c>
      <c r="B1252" s="6" t="str">
        <v>United States</v>
      </c>
      <c r="C1252" s="6" t="str">
        <v>Apple Inc</v>
      </c>
      <c r="D1252" s="6" t="str">
        <v>Apple Inc</v>
      </c>
      <c r="F1252" s="6" t="str">
        <v>France</v>
      </c>
      <c r="G1252" s="6" t="str">
        <v>Datakalab</v>
      </c>
      <c r="H1252" s="6" t="str">
        <v>Prepackaged Software</v>
      </c>
      <c r="I1252" s="6" t="str">
        <v>3Q1064</v>
      </c>
      <c r="J1252" s="6" t="str">
        <v>Datakalab</v>
      </c>
      <c r="K1252" s="6" t="str">
        <v>Datakalab</v>
      </c>
      <c r="L1252" s="7">
        <f>=DATE(2024,4,22)</f>
        <v>45403.99949074074</v>
      </c>
      <c r="M1252" s="7">
        <f>=DATE(2024,4,22)</f>
        <v>45403.99949074074</v>
      </c>
      <c r="W1252" s="6" t="str">
        <v>Mainframes &amp; Super Computers;Other Peripherals;Other Software (inq. Games);Disk Drives;Printers;Micro-Computers (PCs);Portable Computers;Monitors/Terminals</v>
      </c>
      <c r="X1252" s="6" t="str">
        <v>Desktop Publishing;Internet Services &amp; Software;Applications Software(Business;Other Software (inq. Games);Applications Software(Home);Utilities/File Mgmt Software;Communication/Network Software</v>
      </c>
      <c r="Y1252" s="6" t="str">
        <v>Applications Software(Business;Internet Services &amp; Software;Desktop Publishing;Communication/Network Software;Utilities/File Mgmt Software;Other Software (inq. Games);Applications Software(Home)</v>
      </c>
      <c r="Z1252" s="6" t="str">
        <v>Desktop Publishing;Other Software (inq. Games);Utilities/File Mgmt Software;Communication/Network Software;Internet Services &amp; Software;Applications Software(Business;Applications Software(Home)</v>
      </c>
      <c r="AA1252" s="6" t="str">
        <v>Mainframes &amp; Super Computers;Other Software (inq. Games);Micro-Computers (PCs);Printers;Portable Computers;Monitors/Terminals;Other Peripherals;Disk Drives</v>
      </c>
      <c r="AB1252" s="6" t="str">
        <v>Other Peripherals;Printers;Micro-Computers (PCs);Disk Drives;Mainframes &amp; Super Computers;Monitors/Terminals;Other Software (inq. Games);Portable Computers</v>
      </c>
      <c r="AH1252" s="6" t="str">
        <v>False</v>
      </c>
      <c r="AI1252" s="6" t="str">
        <v>2024</v>
      </c>
      <c r="AJ1252" s="6" t="str">
        <v>Completed</v>
      </c>
      <c r="AM1252" s="6" t="str">
        <v>Not Applicable</v>
      </c>
      <c r="AO1252" s="6" t="str">
        <v>FRANCE - Apple Inc of the US acquired Datakalab, a Paris-based software publisher.</v>
      </c>
    </row>
    <row r="1253">
      <c r="A1253" s="6" t="str">
        <v>7J8440</v>
      </c>
      <c r="B1253" s="6" t="str">
        <v>United States</v>
      </c>
      <c r="C1253" s="6" t="str">
        <v>Google LLC</v>
      </c>
      <c r="D1253" s="6" t="str">
        <v>Alphabet Inc</v>
      </c>
      <c r="F1253" s="6" t="str">
        <v>India</v>
      </c>
      <c r="G1253" s="6" t="str">
        <v>Flipkart Internet Pvt Ltd</v>
      </c>
      <c r="H1253" s="6" t="str">
        <v>Miscellaneous Retail Trade</v>
      </c>
      <c r="I1253" s="6" t="str">
        <v>4H1270</v>
      </c>
      <c r="J1253" s="6" t="str">
        <v>Walmart Inc</v>
      </c>
      <c r="K1253" s="6" t="str">
        <v>Walmart Inc</v>
      </c>
      <c r="L1253" s="7">
        <f>=DATE(2024,5,24)</f>
        <v>45435.99949074074</v>
      </c>
      <c r="M1253" s="7">
        <f>=DATE(2024,6,27)</f>
        <v>45469.99949074074</v>
      </c>
      <c r="N1253" s="8">
        <v>350</v>
      </c>
      <c r="O1253" s="8">
        <v>350</v>
      </c>
      <c r="S1253" s="8">
        <v>6792.65215433301</v>
      </c>
      <c r="W1253" s="6" t="str">
        <v>Programming Services;Internet Services &amp; Software</v>
      </c>
      <c r="X1253" s="6" t="str">
        <v>Primary Business not Hi-Tech;Internet Services &amp; Software</v>
      </c>
      <c r="Y1253" s="6" t="str">
        <v>Primary Business not Hi-Tech</v>
      </c>
      <c r="Z1253" s="6" t="str">
        <v>Primary Business not Hi-Tech</v>
      </c>
      <c r="AA1253" s="6" t="str">
        <v>Telecommunications Equipment;Internet Services &amp; Software;Computer Consulting Services;Programming Services;Primary Business not Hi-Tech</v>
      </c>
      <c r="AB1253" s="6" t="str">
        <v>Primary Business not Hi-Tech;Computer Consulting Services;Programming Services;Telecommunications Equipment;Internet Services &amp; Software</v>
      </c>
      <c r="AC1253" s="8">
        <v>350</v>
      </c>
      <c r="AD1253" s="7">
        <f>=DATE(2024,5,24)</f>
        <v>45435.99949074074</v>
      </c>
      <c r="AH1253" s="6" t="str">
        <v>True</v>
      </c>
      <c r="AI1253" s="6" t="str">
        <v>2024</v>
      </c>
      <c r="AJ1253" s="6" t="str">
        <v>Completed</v>
      </c>
      <c r="AM1253" s="6" t="str">
        <v>Privately Negotiated Purchase</v>
      </c>
      <c r="AO1253" s="6" t="str">
        <v>INDIA - Google LLC of the US, a unit of Alphabet Inc, acquired an undisclosed minority stake in Flipkart Internet Pvt Ltd, a Bengaluru-based online retailer, a unit of Walmart Inc, for INR 29.134 bil (USD 350 mil), in a privately negotiated transaction.</v>
      </c>
    </row>
    <row r="1254">
      <c r="A1254" s="6" t="str">
        <v>023135</v>
      </c>
      <c r="B1254" s="6" t="str">
        <v>United States</v>
      </c>
      <c r="C1254" s="6" t="str">
        <v>Amazon.com Inc</v>
      </c>
      <c r="D1254" s="6" t="str">
        <v>Amazon.com Inc</v>
      </c>
      <c r="F1254" s="6" t="str">
        <v>India</v>
      </c>
      <c r="G1254" s="6" t="str">
        <v>MX Media &amp; Entertainment Pte Ltd</v>
      </c>
      <c r="H1254" s="6" t="str">
        <v>Business Services</v>
      </c>
      <c r="I1254" s="6" t="str">
        <v>7J4774</v>
      </c>
      <c r="J1254" s="6" t="str">
        <v>Bennett Coleman &amp; Co Ltd</v>
      </c>
      <c r="K1254" s="6" t="str">
        <v>Times Internet Ltd</v>
      </c>
      <c r="L1254" s="7">
        <f>=DATE(2024,5,29)</f>
        <v>45440.99949074074</v>
      </c>
      <c r="W1254" s="6" t="str">
        <v>Primary Business not Hi-Tech</v>
      </c>
      <c r="X1254" s="6" t="str">
        <v>Other Electronics;Semiconductors;Superconductors</v>
      </c>
      <c r="Y1254" s="6" t="str">
        <v>CAD/CAM/CAE/Graphics Systems;Other Computer Systems;Data Processing Services;Turnkey Systems;Other Computer Related Svcs;Workstations;Utilities/File Mgmt Software;Internet Services &amp; Software;Desktop Publishing;Computer Consulting Services;Communication/Network Software;Networking Systems (LAN,WAN);Data Commun(Exclude networking;Applications Software(Home);Other Software (inq. Games);Applications Software(Business;Operating Systems;Primary Business not Hi-Tech</v>
      </c>
      <c r="Z1254" s="6" t="str">
        <v>Primary Business not Hi-Tech</v>
      </c>
      <c r="AA1254" s="6" t="str">
        <v>Primary Business not Hi-Tech</v>
      </c>
      <c r="AB1254" s="6" t="str">
        <v>Primary Business not Hi-Tech</v>
      </c>
      <c r="AH1254" s="6" t="str">
        <v>True</v>
      </c>
      <c r="AJ1254" s="6" t="str">
        <v>Pending</v>
      </c>
      <c r="AM1254" s="6" t="str">
        <v>Rumored Deal;Divestiture</v>
      </c>
      <c r="AO1254" s="6" t="str">
        <v>INDIA - Amazon.com Inc of the US planned to acquire MX Media &amp; Entertainment Pte Ltd, a Mumbai-based internet portal operator, from Times Internet Ltd, ultimately owned by Bennett Coleman &amp; Co Ltd. In February 2023, Times Internet Ltd, ultimately owned by Bennett Coleman &amp; Co Ltd, was rumored to be seeking a buyer for its MX Media &amp; Entertainment Pte Ltd.</v>
      </c>
    </row>
    <row r="1255">
      <c r="A1255" s="6" t="str">
        <v>7J8440</v>
      </c>
      <c r="B1255" s="6" t="str">
        <v>United States</v>
      </c>
      <c r="C1255" s="6" t="str">
        <v>Google LLC</v>
      </c>
      <c r="D1255" s="6" t="str">
        <v>Alphabet Inc</v>
      </c>
      <c r="F1255" s="6" t="str">
        <v>United States</v>
      </c>
      <c r="G1255" s="6" t="str">
        <v>Cameyo Inc</v>
      </c>
      <c r="H1255" s="6" t="str">
        <v>Prepackaged Software</v>
      </c>
      <c r="I1255" s="6" t="str">
        <v>4Q6117</v>
      </c>
      <c r="J1255" s="6" t="str">
        <v>Cameyo Inc</v>
      </c>
      <c r="K1255" s="6" t="str">
        <v>Cameyo Inc</v>
      </c>
      <c r="L1255" s="7">
        <f>=DATE(2024,6,5)</f>
        <v>45447.99949074074</v>
      </c>
      <c r="M1255" s="7">
        <f>=DATE(2024,6,5)</f>
        <v>45447.99949074074</v>
      </c>
      <c r="W1255" s="6" t="str">
        <v>Internet Services &amp; Software;Programming Services</v>
      </c>
      <c r="X1255" s="6" t="str">
        <v>Other Computer Systems;Desktop Publishing;Applications Software(Home);Turnkey Systems;CAD/CAM/CAE/Graphics Systems;Internet Services &amp; Software;Other Software (inq. Games);Other Computer Related Svcs;Operating Systems;Networking Systems (LAN,WAN);Communication/Network Software;Applications Software(Business;Utilities/File Mgmt Software;Data Commun(Exclude networking;Computer Consulting Services;Workstations</v>
      </c>
      <c r="Y1255" s="6" t="str">
        <v>Other Computer Related Svcs;Other Computer Systems;Workstations;Internet Services &amp; Software;Utilities/File Mgmt Software;CAD/CAM/CAE/Graphics Systems;Desktop Publishing;Data Commun(Exclude networking;Other Software (inq. Games);Networking Systems (LAN,WAN);Applications Software(Home);Applications Software(Business;Operating Systems;Computer Consulting Services;Turnkey Systems;Communication/Network Software</v>
      </c>
      <c r="Z1255" s="6" t="str">
        <v>Desktop Publishing;Other Computer Systems;Applications Software(Home);Data Commun(Exclude networking;Networking Systems (LAN,WAN);Internet Services &amp; Software;CAD/CAM/CAE/Graphics Systems;Turnkey Systems;Other Software (inq. Games);Utilities/File Mgmt Software;Communication/Network Software;Other Computer Related Svcs;Workstations;Operating Systems;Applications Software(Business;Computer Consulting Services</v>
      </c>
      <c r="AA1255" s="6" t="str">
        <v>Primary Business not Hi-Tech;Programming Services;Internet Services &amp; Software;Computer Consulting Services;Telecommunications Equipment</v>
      </c>
      <c r="AB1255" s="6" t="str">
        <v>Telecommunications Equipment;Internet Services &amp; Software;Computer Consulting Services;Primary Business not Hi-Tech;Programming Services</v>
      </c>
      <c r="AH1255" s="6" t="str">
        <v>False</v>
      </c>
      <c r="AI1255" s="6" t="str">
        <v>2024</v>
      </c>
      <c r="AJ1255" s="6" t="str">
        <v>Completed</v>
      </c>
      <c r="AM1255" s="6" t="str">
        <v>Not Applicable</v>
      </c>
      <c r="AO1255" s="6" t="str">
        <v>US - Google LLC, a unit of Alphabet Inc, acquired Cameyo Inc, a Cary-based provider of delivery software solution services.</v>
      </c>
    </row>
    <row r="1256">
      <c r="A1256" s="6" t="str">
        <v>023135</v>
      </c>
      <c r="B1256" s="6" t="str">
        <v>United States</v>
      </c>
      <c r="C1256" s="6" t="str">
        <v>Amazon.com Inc</v>
      </c>
      <c r="D1256" s="6" t="str">
        <v>Amazon.com Inc</v>
      </c>
      <c r="F1256" s="6" t="str">
        <v>India</v>
      </c>
      <c r="G1256" s="6" t="str">
        <v>Bundl Technologies Pvt Ltd-Instamart</v>
      </c>
      <c r="H1256" s="6" t="str">
        <v>Business Services</v>
      </c>
      <c r="I1256" s="6" t="str">
        <v>7Q0161</v>
      </c>
      <c r="J1256" s="6" t="str">
        <v>Swiggy Pvt Ltd</v>
      </c>
      <c r="K1256" s="6" t="str">
        <v>Swiggy Pvt Ltd</v>
      </c>
      <c r="L1256" s="7">
        <f>=DATE(2024,7,22)</f>
        <v>45494.99949074074</v>
      </c>
      <c r="W1256" s="6" t="str">
        <v>Primary Business not Hi-Tech</v>
      </c>
      <c r="X1256" s="6" t="str">
        <v>Internet Services &amp; Software;Networking Systems (LAN,WAN)</v>
      </c>
      <c r="Y1256" s="6" t="str">
        <v>Primary Business not Hi-Tech;Internet Services &amp; Software;Networking Systems (LAN,WAN)</v>
      </c>
      <c r="Z1256" s="6" t="str">
        <v>Internet Services &amp; Software;Primary Business not Hi-Tech;Networking Systems (LAN,WAN)</v>
      </c>
      <c r="AA1256" s="6" t="str">
        <v>Primary Business not Hi-Tech</v>
      </c>
      <c r="AB1256" s="6" t="str">
        <v>Primary Business not Hi-Tech</v>
      </c>
      <c r="AH1256" s="6" t="str">
        <v>True</v>
      </c>
      <c r="AJ1256" s="6" t="str">
        <v>Rumor</v>
      </c>
      <c r="AM1256" s="6" t="str">
        <v>Divestiture;Rumored Deal</v>
      </c>
      <c r="AO1256" s="6" t="str">
        <v>INDIA - Amazon.com Inc of the US was rumored to be planning to acquire Instamart of Bundl Technologies Pvt Ltd, a Bangalore-based food service contractor.</v>
      </c>
    </row>
    <row r="1257">
      <c r="A1257" s="6" t="str">
        <v>023135</v>
      </c>
      <c r="B1257" s="6" t="str">
        <v>United States</v>
      </c>
      <c r="C1257" s="6" t="str">
        <v>Amazon.com Inc</v>
      </c>
      <c r="D1257" s="6" t="str">
        <v>Amazon.com Inc</v>
      </c>
      <c r="F1257" s="6" t="str">
        <v>India</v>
      </c>
      <c r="G1257" s="6" t="str">
        <v>Capfloat Financial Services Pvt Ltd</v>
      </c>
      <c r="H1257" s="6" t="str">
        <v>Credit Institutions</v>
      </c>
      <c r="I1257" s="6" t="str">
        <v>6H3193</v>
      </c>
      <c r="J1257" s="6" t="str">
        <v>Capfloat Financial Services Pvt Ltd</v>
      </c>
      <c r="K1257" s="6" t="str">
        <v>Capfloat Financial Services Pvt Ltd</v>
      </c>
      <c r="L1257" s="7">
        <f>=DATE(2024,7,30)</f>
        <v>45502.99949074074</v>
      </c>
      <c r="R1257" s="8">
        <v>-0.226636135828852</v>
      </c>
      <c r="S1257" s="8">
        <v>0.174594935007786</v>
      </c>
      <c r="W1257" s="6" t="str">
        <v>Primary Business not Hi-Tech</v>
      </c>
      <c r="X1257" s="6" t="str">
        <v>Internet Services &amp; Software;Networking Systems (LAN,WAN);Primary Business not Hi-Tech</v>
      </c>
      <c r="Y1257" s="6" t="str">
        <v>Primary Business not Hi-Tech;Internet Services &amp; Software;Networking Systems (LAN,WAN)</v>
      </c>
      <c r="Z1257" s="6" t="str">
        <v>Primary Business not Hi-Tech;Internet Services &amp; Software;Networking Systems (LAN,WAN)</v>
      </c>
      <c r="AA1257" s="6" t="str">
        <v>Primary Business not Hi-Tech</v>
      </c>
      <c r="AB1257" s="6" t="str">
        <v>Primary Business not Hi-Tech</v>
      </c>
      <c r="AD1257" s="7">
        <f>=DATE(2024,7,30)</f>
        <v>45502.99949074074</v>
      </c>
      <c r="AH1257" s="6" t="str">
        <v>True</v>
      </c>
      <c r="AJ1257" s="6" t="str">
        <v>Rumor</v>
      </c>
      <c r="AM1257" s="6" t="str">
        <v>Rumored Deal</v>
      </c>
      <c r="AN1257" s="8">
        <v>0.22089184125721</v>
      </c>
      <c r="AO1257" s="6" t="str">
        <v>INDIA - Amazon.com Inc of the US was rumored to be planning to acquire Capfloat Financial Services Pvt Ltd, a Bengaluru-based provider of sales financing services. The terms of the transaction were not disclosed, but according to sources close to the transaction, the value was estimated at INR 14.656 bil (USD 175 mil).</v>
      </c>
    </row>
    <row r="1258">
      <c r="A1258" s="6" t="str">
        <v>023135</v>
      </c>
      <c r="B1258" s="6" t="str">
        <v>United States</v>
      </c>
      <c r="C1258" s="6" t="str">
        <v>Amazon.com Inc</v>
      </c>
      <c r="D1258" s="6" t="str">
        <v>Amazon.com Inc</v>
      </c>
      <c r="F1258" s="6" t="str">
        <v>United States</v>
      </c>
      <c r="G1258" s="6" t="str">
        <v>Covariant Inc</v>
      </c>
      <c r="H1258" s="6" t="str">
        <v>Prepackaged Software</v>
      </c>
      <c r="I1258" s="6" t="str">
        <v>0K8009</v>
      </c>
      <c r="J1258" s="6" t="str">
        <v>Covariant Inc</v>
      </c>
      <c r="K1258" s="6" t="str">
        <v>Covariant Inc</v>
      </c>
      <c r="L1258" s="7">
        <f>=DATE(2024,8,1)</f>
        <v>45504.99949074074</v>
      </c>
      <c r="W1258" s="6" t="str">
        <v>Primary Business not Hi-Tech</v>
      </c>
      <c r="X1258" s="6" t="str">
        <v>Other Computer Systems;Workstations;Database Software/Programming;Operating Systems;Computer Consulting Services;Utilities/File Mgmt Software;Turnkey Systems;CAD/CAM/CAE/Graphics Systems;Networking Systems (LAN,WAN);Other Software (inq. Games);Communication/Network Software;Desktop Publishing;Other Computer Related Svcs;Applications Software(Home);Programming Services;Applications Software(Business;Internet Services &amp; Software;Data Commun(Exclude networking</v>
      </c>
      <c r="Y1258" s="6" t="str">
        <v>Desktop Publishing;Applications Software(Home);Applications Software(Business;Internet Services &amp; Software;Operating Systems;Database Software/Programming;Networking Systems (LAN,WAN);Communication/Network Software;Utilities/File Mgmt Software;Computer Consulting Services;Data Commun(Exclude networking;Other Computer Related Svcs;Workstations;Programming Services;Turnkey Systems;CAD/CAM/CAE/Graphics Systems;Other Computer Systems;Other Software (inq. Games)</v>
      </c>
      <c r="Z1258" s="6" t="str">
        <v>Applications Software(Home);Applications Software(Business;Operating Systems;Desktop Publishing;Turnkey Systems;Communication/Network Software;Utilities/File Mgmt Software;Other Software (inq. Games);Other Computer Related Svcs;Workstations;Programming Services;CAD/CAM/CAE/Graphics Systems;Data Commun(Exclude networking;Computer Consulting Services;Other Computer Systems;Internet Services &amp; Software;Networking Systems (LAN,WAN);Database Software/Programming</v>
      </c>
      <c r="AA1258" s="6" t="str">
        <v>Primary Business not Hi-Tech</v>
      </c>
      <c r="AB1258" s="6" t="str">
        <v>Primary Business not Hi-Tech</v>
      </c>
      <c r="AH1258" s="6" t="str">
        <v>True</v>
      </c>
      <c r="AJ1258" s="6" t="str">
        <v>Rumor</v>
      </c>
      <c r="AM1258" s="6" t="str">
        <v>Rumored Deal</v>
      </c>
      <c r="AO1258" s="6" t="str">
        <v>US - Amazon.com Inc was rumored to be planning to acquire the entire share capital of Covariant Inc, an Emeryville-based software publisher.</v>
      </c>
    </row>
    <row r="1259">
      <c r="A1259" s="6" t="str">
        <v>3F8100</v>
      </c>
      <c r="B1259" s="6" t="str">
        <v>United States</v>
      </c>
      <c r="C1259" s="6" t="str">
        <v>GV Management Co LLC</v>
      </c>
      <c r="D1259" s="6" t="str">
        <v>Alphabet Inc</v>
      </c>
      <c r="F1259" s="6" t="str">
        <v>United States</v>
      </c>
      <c r="G1259" s="6" t="str">
        <v>Mechanical Orchard Inc</v>
      </c>
      <c r="H1259" s="6" t="str">
        <v>Prepackaged Software</v>
      </c>
      <c r="I1259" s="6" t="str">
        <v>2N7938</v>
      </c>
      <c r="J1259" s="6" t="str">
        <v>Mechanical Orchard Inc</v>
      </c>
      <c r="K1259" s="6" t="str">
        <v>Mechanical Orchard Inc</v>
      </c>
      <c r="L1259" s="7">
        <f>=DATE(2024,8,6)</f>
        <v>45509.99949074074</v>
      </c>
      <c r="M1259" s="7">
        <f>=DATE(2024,8,6)</f>
        <v>45509.99949074074</v>
      </c>
      <c r="N1259" s="8">
        <v>50</v>
      </c>
      <c r="O1259" s="8">
        <v>50</v>
      </c>
      <c r="W1259" s="6" t="str">
        <v>Primary Business not Hi-Tech</v>
      </c>
      <c r="X1259" s="6" t="str">
        <v>Applications Software(Home);Internet Services &amp; Software;Communication/Network Software;Applications Software(Business;Utilities/File Mgmt Software;Desktop Publishing;Other Software (inq. Games)</v>
      </c>
      <c r="Y1259" s="6" t="str">
        <v>Utilities/File Mgmt Software;Internet Services &amp; Software;Other Software (inq. Games);Communication/Network Software;Desktop Publishing;Applications Software(Business;Applications Software(Home)</v>
      </c>
      <c r="Z1259" s="6" t="str">
        <v>Applications Software(Business;Applications Software(Home);Desktop Publishing;Communication/Network Software;Utilities/File Mgmt Software;Other Software (inq. Games);Internet Services &amp; Software</v>
      </c>
      <c r="AA1259" s="6" t="str">
        <v>Internet Services &amp; Software;Programming Services</v>
      </c>
      <c r="AB1259" s="6" t="str">
        <v>Telecommunications Equipment;Internet Services &amp; Software;Computer Consulting Services;Programming Services;Primary Business not Hi-Tech</v>
      </c>
      <c r="AC1259" s="8">
        <v>50</v>
      </c>
      <c r="AD1259" s="7">
        <f>=DATE(2024,8,6)</f>
        <v>45509.99949074074</v>
      </c>
      <c r="AH1259" s="6" t="str">
        <v>True</v>
      </c>
      <c r="AI1259" s="6" t="str">
        <v>2024</v>
      </c>
      <c r="AJ1259" s="6" t="str">
        <v>Completed</v>
      </c>
      <c r="AM1259" s="6" t="str">
        <v>Privately Negotiated Purchase;Financial Acquiror</v>
      </c>
      <c r="AO1259" s="6" t="str">
        <v>US - GV Management Co LLC, a unit of Google Inc, acquired an undisclosed minority stake in Mechanical Orchard Inc, a San Francisco-based software publisher, for a total USD 50 mil, in a privately negotiated transaction.</v>
      </c>
    </row>
    <row r="1260">
      <c r="A1260" s="6" t="str">
        <v>6Q9783</v>
      </c>
      <c r="B1260" s="6" t="str">
        <v>United States</v>
      </c>
      <c r="C1260" s="6" t="str">
        <v>Amazon.com Services LLC</v>
      </c>
      <c r="D1260" s="6" t="str">
        <v>Amazon.com Inc</v>
      </c>
      <c r="F1260" s="6" t="str">
        <v>United States</v>
      </c>
      <c r="G1260" s="6" t="str">
        <v>Perceive Corp</v>
      </c>
      <c r="H1260" s="6" t="str">
        <v>Business Services</v>
      </c>
      <c r="I1260" s="6" t="str">
        <v>6Q9780</v>
      </c>
      <c r="J1260" s="6" t="str">
        <v>Xperi Holding Corp</v>
      </c>
      <c r="K1260" s="6" t="str">
        <v>Xperi Inc</v>
      </c>
      <c r="L1260" s="7">
        <f>=DATE(2024,8,16)</f>
        <v>45519.99949074074</v>
      </c>
      <c r="N1260" s="8">
        <v>80</v>
      </c>
      <c r="O1260" s="8">
        <v>80</v>
      </c>
      <c r="W1260" s="6" t="str">
        <v>Primary Business not Hi-Tech</v>
      </c>
      <c r="X1260" s="6" t="str">
        <v>Applications Software(Business;Applications Software(Home);Communication/Network Software;Other Software (inq. Games);Programming Services;Database Software/Programming;Desktop Publishing</v>
      </c>
      <c r="Y1260" s="6" t="str">
        <v>Semiconductors;Superconductors;Primary Business not Hi-Tech;Robotics;Lasers(Excluding Medical);Other Electronics</v>
      </c>
      <c r="Z1260" s="6" t="str">
        <v>Semiconductors;Other Electronics</v>
      </c>
      <c r="AA1260" s="6" t="str">
        <v>Primary Business not Hi-Tech</v>
      </c>
      <c r="AB1260" s="6" t="str">
        <v>Primary Business not Hi-Tech</v>
      </c>
      <c r="AC1260" s="8">
        <v>80</v>
      </c>
      <c r="AD1260" s="7">
        <f>=DATE(2024,8,16)</f>
        <v>45519.99949074074</v>
      </c>
      <c r="AH1260" s="6" t="str">
        <v>True</v>
      </c>
      <c r="AJ1260" s="6" t="str">
        <v>Pending</v>
      </c>
      <c r="AM1260" s="6" t="str">
        <v>Divestiture</v>
      </c>
      <c r="AO1260" s="6" t="str">
        <v>US - Amazon.com Services LLC, a unit of Amazon.com Inc, agreed to acquire Perceive Corp, a San Jose-based provider of custom computer programming services, from Xperi Inc, ultimately owned by Xperi Holding Corp, for a total USD 80 mil in cash.</v>
      </c>
    </row>
    <row r="1261">
      <c r="A1261" s="6" t="str">
        <v>594918</v>
      </c>
      <c r="B1261" s="6" t="str">
        <v>United States</v>
      </c>
      <c r="C1261" s="6" t="str">
        <v>Microsoft Corp</v>
      </c>
      <c r="D1261" s="6" t="str">
        <v>Microsoft Corp</v>
      </c>
      <c r="F1261" s="6" t="str">
        <v>United States</v>
      </c>
      <c r="G1261" s="6" t="str">
        <v>Microsoft Corp</v>
      </c>
      <c r="H1261" s="6" t="str">
        <v>Prepackaged Software</v>
      </c>
      <c r="I1261" s="6" t="str">
        <v>594918</v>
      </c>
      <c r="J1261" s="6" t="str">
        <v>Microsoft Corp</v>
      </c>
      <c r="K1261" s="6" t="str">
        <v>Microsoft Corp</v>
      </c>
      <c r="L1261" s="7">
        <f>=DATE(2024,9,16)</f>
        <v>45550.99949074074</v>
      </c>
      <c r="N1261" s="8">
        <v>60000</v>
      </c>
      <c r="O1261" s="8">
        <v>60000</v>
      </c>
      <c r="R1261" s="8">
        <v>88136</v>
      </c>
      <c r="S1261" s="8">
        <v>245122</v>
      </c>
      <c r="T1261" s="8">
        <v>-37757</v>
      </c>
      <c r="U1261" s="8">
        <v>-96970</v>
      </c>
      <c r="V1261" s="8">
        <v>118548</v>
      </c>
      <c r="W1261" s="6" t="str">
        <v>Internet Services &amp; Software;Operating Systems;Monitors/Terminals;Other Peripherals;Computer Consulting Services;Applications Software(Business</v>
      </c>
      <c r="X1261" s="6" t="str">
        <v>Monitors/Terminals;Internet Services &amp; Software;Computer Consulting Services;Other Peripherals;Applications Software(Business;Operating Systems</v>
      </c>
      <c r="Y1261" s="6" t="str">
        <v>Other Peripherals;Monitors/Terminals;Internet Services &amp; Software;Computer Consulting Services;Operating Systems;Applications Software(Business</v>
      </c>
      <c r="Z1261" s="6" t="str">
        <v>Applications Software(Business;Internet Services &amp; Software;Operating Systems;Computer Consulting Services;Other Peripherals;Monitors/Terminals</v>
      </c>
      <c r="AA1261" s="6" t="str">
        <v>Internet Services &amp; Software;Computer Consulting Services;Applications Software(Business;Other Peripherals;Monitors/Terminals;Operating Systems</v>
      </c>
      <c r="AB1261" s="6" t="str">
        <v>Internet Services &amp; Software;Applications Software(Business;Operating Systems;Computer Consulting Services;Monitors/Terminals;Other Peripherals</v>
      </c>
      <c r="AC1261" s="8">
        <v>60000</v>
      </c>
      <c r="AD1261" s="7">
        <f>=DATE(2024,9,16)</f>
        <v>45550.99949074074</v>
      </c>
      <c r="AH1261" s="6" t="str">
        <v>True</v>
      </c>
      <c r="AJ1261" s="6" t="str">
        <v>Pending</v>
      </c>
      <c r="AM1261" s="6" t="str">
        <v>Open Market Purchase;Repurchase</v>
      </c>
      <c r="AN1261" s="8">
        <v>146817</v>
      </c>
      <c r="AO1261" s="6" t="str">
        <v>US - On 16 September 2024, the board of Microsoft Corp, a Redmond-based developer and wholesaler of computer software products, authorized the repurchase of up to USD 60 bil of the company's entire share capital, in an open market transaction.</v>
      </c>
    </row>
    <row r="1262">
      <c r="A1262" s="6" t="str">
        <v>9H1420</v>
      </c>
      <c r="B1262" s="6" t="str">
        <v>United States</v>
      </c>
      <c r="C1262" s="6" t="str">
        <v>Google Cloud Platform</v>
      </c>
      <c r="D1262" s="6" t="str">
        <v>Alphabet Inc</v>
      </c>
      <c r="F1262" s="6" t="str">
        <v>United States</v>
      </c>
      <c r="G1262" s="6" t="str">
        <v>Augmented Intelligence Inc</v>
      </c>
      <c r="H1262" s="6" t="str">
        <v>Prepackaged Software</v>
      </c>
      <c r="I1262" s="6" t="str">
        <v>8Q2278</v>
      </c>
      <c r="J1262" s="6" t="str">
        <v>Augmented Intelligence Inc</v>
      </c>
      <c r="K1262" s="6" t="str">
        <v>Augmented Intelligence Inc</v>
      </c>
      <c r="L1262" s="7">
        <f>=DATE(2024,9,30)</f>
        <v>45564.99949074074</v>
      </c>
      <c r="M1262" s="7">
        <f>=DATE(2024,9,30)</f>
        <v>45564.99949074074</v>
      </c>
      <c r="W1262" s="6" t="str">
        <v>Other Software (inq. Games)</v>
      </c>
      <c r="X1262" s="6" t="str">
        <v>Other Software (inq. Games)</v>
      </c>
      <c r="Y1262" s="6" t="str">
        <v>Other Software (inq. Games)</v>
      </c>
      <c r="Z1262" s="6" t="str">
        <v>Other Software (inq. Games)</v>
      </c>
      <c r="AA1262" s="6" t="str">
        <v>Programming Services;Internet Services &amp; Software</v>
      </c>
      <c r="AB1262" s="6" t="str">
        <v>Programming Services;Telecommunications Equipment;Computer Consulting Services;Internet Services &amp; Software;Primary Business not Hi-Tech</v>
      </c>
      <c r="AH1262" s="6" t="str">
        <v>True</v>
      </c>
      <c r="AI1262" s="6" t="str">
        <v>2024</v>
      </c>
      <c r="AJ1262" s="6" t="str">
        <v>Completed</v>
      </c>
      <c r="AM1262" s="6" t="str">
        <v>Privately Negotiated Purchase</v>
      </c>
      <c r="AO1262" s="6" t="str">
        <v>US - Google Cloud Platform, a unit of Google Inc, acquired an undisclosed minority stake in Augmented Intelligence Inc, a Brooklyn-based software publisher, in a privately negotiated transaction.</v>
      </c>
    </row>
  </sheetData>
  <ignoredErrors>
    <ignoredError numberStoredAsText="1" sqref="A1:AP1262"/>
  </ignoredErrors>
</worksheet>
</file>

<file path=xl/worksheets/sheet2.xml><?xml version="1.0" encoding="utf-8"?>
<worksheet xmlns="http://schemas.openxmlformats.org/spreadsheetml/2006/main" xmlns:r="http://schemas.openxmlformats.org/officeDocument/2006/relationships">
  <dimension ref="A1:F11"/>
  <sheetViews>
    <sheetView workbookViewId="0"/>
  </sheetViews>
  <cols>
    <col min="1" max="1" width="15.00390625" customWidth="1"/>
    <col min="2" max="2" width="15.00390625" customWidth="1"/>
    <col min="3" max="3" width="20.00390625" customWidth="1"/>
    <col min="4" max="4" width="66.6640625" customWidth="1"/>
    <col min="5" max="5" width="25.00390625" customWidth="1"/>
    <col min="6" max="6" width="140.00390625" customWidth="1"/>
  </cols>
  <sheetData>
    <row r="1">
      <c r="A1" s="3" t="str">
        <v>Source: LSEG   Date: 10/10/2024</v>
      </c>
    </row>
    <row r="2">
      <c r="A2" s="4" t="str">
        <v>Request</v>
      </c>
      <c r="B2" s="5" t="str">
        <v>Results</v>
      </c>
      <c r="C2" s="4" t="str">
        <v>Type</v>
      </c>
      <c r="D2" s="4" t="str">
        <v>Description</v>
      </c>
      <c r="E2" s="4" t="str">
        <v>Operator</v>
      </c>
      <c r="F2" s="4" t="str">
        <v>Value</v>
      </c>
    </row>
    <row r="3">
      <c r="A3" s="9">
        <v>0</v>
      </c>
      <c r="C3" s="10" t="str">
        <v>Content Set</v>
      </c>
      <c r="D3" s="6" t="str">
        <v>Mergers &amp; Acquisitions</v>
      </c>
      <c r="F3" s="6" t="str">
        <v>M&amp;A</v>
      </c>
    </row>
    <row r="4">
      <c r="A4" s="9">
        <v>1</v>
      </c>
      <c r="B4" s="11">
        <v>1465954</v>
      </c>
      <c r="C4" s="10" t="str">
        <v>Data Items</v>
      </c>
      <c r="D4" s="6" t="str">
        <v>Date Announced</v>
      </c>
      <c r="E4" s="10" t="str">
        <v>Between</v>
      </c>
      <c r="F4" s="6" t="str">
        <v>1 Jan 1990 - 10 Oct 2024</v>
      </c>
    </row>
    <row r="5">
      <c r="A5" s="9">
        <v>2</v>
      </c>
      <c r="B5" s="11">
        <v>1558</v>
      </c>
      <c r="C5" s="10" t="str">
        <v>Data Items</v>
      </c>
      <c r="D5" s="6" t="str">
        <v>Acquiror</v>
      </c>
      <c r="E5" s="10" t="str">
        <v>Include</v>
      </c>
      <c r="F5" s="6" t="str">
        <v>Name: gafam_companies. Values: Strobe Inc, Involver Inc, Oculus VR LLC(NOW 8J8006), Facebook Inc, Facebook Inc, Facebook Inc, Facebook Inc-Ballsbridge Office Complex, Facebook Solar Energy Center Portfolio Project, Facebook Warren County Solar Project, Facebook Wind-Powered Data Centre, Facebook Inc-(fluff)Friends, Facebook Technologies Inc, Facebook Watch, Facebook Audience Network, Facebook FZ-LLC, FriendFeed Inc, iStorez Inc, Divvyshot Inc, Sharegrove Inc, Nextstop.com, HotPotato Media Inc, Chai Labs Inc, Walletin, Beluga Inc, Push Pop Press, Friend.ly, Gowalla Inc, GazeHawk Inc, Instagram Inc, Malbec Labs Inc, Glancee Inc, Karma Science Inc, Spool Inc, Threadsy Inc, WhatsApp Inc, Mixtent Inc, Parse Inc, Onavo Inc, SportStream, Branch Media Inc, Glimpse.com, Nimble VR, Wit.ai Inc, Nonstop Games Inc, QuickFire Networks Corp, Nascent Objects Inc, CrowdTangle Inc, FacioMetrics LLC, BidClix Inc, Source3 Inc, Confirm Inc, Giphy Inc, Kustomer Inc, Dumbarton Corridor Improvement, Vidpresso Inc, Grokstyle Inc, CTRL-Labs Corp, Packagd Corp, Sanzaru Games Inc, Jaadhu Holdings LLC, BigBox VR Inc, BlinkAI Technologies Inc, Camouflaj, ImagineOptix Corp, Meta Dekalb Data Center Project, Whisper.AI Inc, Meta Mesa Data Center Project, Meta Jeffersonville Data Center Project, Sidecat LLC, Accipiter Solutions Inc, Atlas Advertiser Suite, TheFind Inc, Meta Platforms Inc, Parakey Inc, Google For Startups, Google Latino Founders Fund, Google Inc, Google Inc-Radio Automation Business, Google Acquisition Holdings Inc, Google Ventures, Google Ventures 2011 LP, Google Capital 2016 LP, Google Fiber Inc, Google Developer - Launchpad, Google Cloud Platform, Google Assistant Investments, Google News Initiative, Google My Business, Google Nest, Google International LLC, Google Payment Corp, Google Inc-Ad Tech Business, Google Midlothian Data Center Project, Google Brain, Google LLC-Adtech Business, Google Inc-Google Domains Assets, Google Lancaster Data Center Project, Google Inc, Google Inc, Google Inc, Google Inc, Google Inc, Google LLC, Google &amp; Fervo Geothermal Project, Google Moffett Park Solar Project, Google Moffett Park Solar Project - GMSP2, Fabric.com, Shelfari, Lexcycle Inc, A9.com Inc, Quidsi Inc, Touchco Inc, United Artists Pictures Inc (MGM/UA Communications Co), Reflexive Entertainment, MGM Holdings Inc, Quorus Inc, Egghead University(Egghead Inc), Goodreads Inc, Starkey Hot Springs LLC, TenMarks Education Inc, Iconology Inc, Twitch Interactive Inc, Elemental Technologies Inc, MGM/UA Communications Corp- Film Rights, UAMG LLC, Good Game Agency, Amazon Web Services Inc, 2lemetry Inc, Trellis Automation Inc, Safaba Translation Solutions Inc, Amazon Corporate LLC, Wickr Inc, Net Power &amp; Light Inc, Curse Inc, Cloud9 IDE Inc, Mrs Gooch's Natural Food Markets Inc, Whole Foods Market Pacific Northwest Inc, WFM IP Investments Inc, Whole Foods Market IP LP, WFM Southern Nevada Inc, WFM Hawaii LLC, WFM Northern Nevada Inc, WFM Nebraska LLC, WFM Kansas LLC, Studio 3 Partners LLC, EPIX Entertainment LLC, Iora Health Inc, Sqrrl Data Inc, ClipMine Inc, IMDb.com Inc, Alexa Fund, Egghead Discount Software Inc, Evolution Media, Amazon.com NV Investment Holdings LLC, Body Labs Inc, PeakMed Colorado LLC, Immedia Semiconductor Inc, Whole Foods Market Inc, Ring Inc, Wireless Environment LLC, Big Fish Entertainment LLC, 1Life Healthcare Inc, Zoox Inc, Amazonfresh, Canvas Technology LLC, INLT, Health Navigator Inc, DataRow, Curse TV, Acorn Development LLC, Residence Inn by Marriott International Inc,Pentagon City,Virginia, The Climate Pledge Fund, Amazon Technologies Inc, Bread &amp; Circus Inc (Whole Foods Market Inc), Cumulus Digital LLC, Amazon Industrial Innovation Fund, Nashville Affordable Homes Project, Amazon Smbhav Venture Fund, Amazon Hq2 Project, Industrial Innovation Fund, The Source, Snackable.AI, Mrs Gooch's Natural Foods Supermarkets(Whole Foods Market Inc), Amazon Air Hub, Hercules Labs Inc, Amazon Data Services Inc, Egghead.com Inc, Amazon.com Services LLC, Metro-Goldwyn-Mayer-European Theaters(Pathe Communications), Fresh Fields Markets Inc (Whole Foods Market Inc), Organic Coffee Co(Allegro Coffee Co), Allegro Coffee Co(Whole Foods Market Inc), Metro-Goldwyn-Mayer Inc, Oak Street Market(Whole Foods Market), Egghead.com Inc, Bread of Life(Whole Foods Market Inc), Amazon.com Inc, Amazon.com Inc, Surplus Software Inc (Egghead Inc), Audible Inc, Merchant of Vino(Whole Foods Market), Orion Pictures Corp (Metro-Goldwyn-Mayer Inc), Internet Movie Database Inc, Telebook Inc(Amazon.com Inc), PlanetAll(Amazon.com Inc), Junglee Corp(Amazon.com Inc), Nature's Heartland Inc(Whole Foods Market Inc), Livebid.com, Exchange.com(Amazon.com Inc), Accept.com Financial Services Corp(Amazon.com Inc), Alexa Internet(Amazon.com Inc), Convergence Corp(Amazon.com Inc), Tool Crib of the North(Amazon. com Inc), Without A Box Inc, Back To Basics Toys, Natural Abilities Inc (Whole Foods Market Inc), Amrion Inc, MGM Telecommunications Group (Metro-Goldwyn-Mayer)un, Novko LLC, 6pm.com, Metro-Goldwyn-Mayer Studios Inc, Whole Foods Market Services, WFM Beverage Corp, Whole Foods Market Southwest I, Whole Foods Market California, Whole Foods Market Group Inc, Mrs Goochs Natural Food Markets Inc, Whole Foods Market Distribution Inc, Whole Food Co Inc, Whole Foods Market Brand 365 LLC, wholefoods.com, WPcom Colorado Inc, Sourdough A European Bakery Inc, Whole Foods Market Southwest Investments Inc, Select Fish, Brilliance Audio Inc, BookSurge LLC, Amazon Services Inc, MGM Holdings II, Inc, BookFinder.com, Zappos.com Inc, Shopbop.com, Microsoft Alumni Network, Microsoft CIHC Inc, Komoku Inc, Farecast Inc, Crisp Acquisition Corp, VirtuOz Inc, Budcat Creations, DeVenture Global Partners Inc, 7 Studios, Jott Networks Inc, Interactive Supercomputing, MacSpeech Inc, AppTrigger Inc, ChoiceVendor Inc, Microsoft China Investment Holding Co Ltd, mSpoke Inc, Shapewriter Inc, AVIcode Inc, Perceptive Pixel Inc, Montage Healthcare Solutions Inc, iVirtuoso Inc, Qik Inc, CardMunch Inc, DTS America Inc, Caere Corp(ScanSoft Inc/ Visioneer Inc), GroupMe Inc, Swype Inc, Sonic Acquisition Corp, RealWorld Corp(Great Plains Software Inc), IndexTank Inc, Twisted Pixel Games LLC, Connected, Transcend Services Inc, eScription Inc, VideoSurf Inc, GitHub Inc, Ordered List, The New Class-Five Inc, Escalation Studios, Z2Live Inc, Townsend Merger Corp, Activision Publishing Inc, Yammer Inc, SlideShare Inc, JA Thomas &amp; Associates Inc, PhoneFactor Inc, StorSimple Inc, MarketingPilot Software LLC, International Consumer Technologies Corp (Activision), Fliptop Inc, Activision Blizzard Inc, Occu-Care Inc(TriCare Inc), Pulse, Apiphany Inc, Bright Media Corp Inc, Easel Inc, Neurostar Solutions Inc, InMage Systems Inc, Newsle Inc, Bizo Inc, Xbox Entertainment Studios, Acompli Inc, Conant &amp; Associates Inc, Revolution Analytics Inc, LiveLoop Inc, Refresh Inc, BlueStripe Software Inc, Adallom Inc, Incent Games Inc, Double Labs Inc, Mobile Data Labs Inc, Dictaphone Corp, Talko Inc, Metanautix Inc, Connectifier, Beam, PointDrive Holdings LLC, Netwise Inc(Microsoft Corp), Microsoft Online Services, Microsoft Ventures Inc, M12 Venture, Bethesda Softworks LLC, Calera Recognition Systems Inc (Caere Corp), Intentional Software Corp, Primordial Design Inc, inXile Entertainment Inc, Cycle Computing LLC, Microsoft Technology Licensing LLC, Heighten Software Inc, Microsoft Great Plains Business Solutions, Altspace VR, Microsoft Accelerator, PlayFab Inc, CyberX Inc, Drawbridge Inc, Semantic Machines Inc, Undead Labs LLC, Flipgrid Inc, Saykara Inc, Semmle Inc, Glint Inc, Lobe Artificial Intelligence Inc, FSLogix Inc, Microsoft Azure, Citus Data Inc, Disc Co(International Consumer Technologies), Fox Software Inc(Microsoft Corp), Overwatch League, Affirmed Networks Inc, Express Logic Inc, Clypd Inc, Good Software LLC, Fungible Inc, Xandr Inc, Spotfront Inc, Double Fine Productions Inc, Movere Inc, ReFirm Labs Inc, ADRM Software Inc, Proletariat Inc, Ally Technologies Inc, The Marsden Group Inc, FRx Software Corp, Climate Innovation Fund, Xbox Game Studios, Suplari Inc, Microsoft For Startups, Edubrite Systems Inc, Expert Software Inc(Activision Inc), Omniata Inc, Microsoft Boydton Data Center Project, Microsoft Viva, GitHub Fund, Brookfield / Microsoft US and Europe Renewable Energy Portfolio Project, Biomass Carbon Capture &amp; Sequestration Project, eShop Inc(Microsoft Corp), Nuance Communications Inc, Vocada Inc, Altamira Software Corp (Microsoft Corp), Dictaphone Corp(Pitney Bowes), Monarch Marking Systems (Pitney Bowes), Colloquis Inc, Microsoft Corp-Microsoft Money Product Line, One Tree Software(Microsoft Corp), Microsoft Federal Systems (Microsoft Corp), Microsoft Network LLC{MSN}, Bungie Software, Dictaphone Acquisition Inc, Pacific Microsonics Inc (Microsoft Corp), Sullivan Health Management Services(Transcend Services), Dictaphone Corp(Dictaphone Corp/Pitney Bowes), Visio Corp(Microsoft Corp), Vermeer Technologies(Microsoft Corp), Blue Ribbon SoundWorks Ltd (Microsoft Corp), Sentillion vBusiness, Bruce Artwick Organization (Microsoft Corp), Colusa Software(Microsoft Corp), Aspect Software Engineering (Microsoft Corp), Exos Inc(Microsoft Corp), Electric Gravity Inc(Microsoft Corp), Express Medical Transcription Inc(Transcend Services Inc), Dimension X Inc(Microsoft Corp), Hotmail Corp(Microsoft Corp), Clear Software LLC, Avenue A Razorfish, Razorfish Inc, Anyware Fast Inc(Dimension X), WebTV Networks Inc(Microsoft Corp), Microsoft Corp, Microsoft Corp, NetCarta Corp(Microsoft Corp), Heartland Information Systems Inc, VXtreme Inc(Microsoft Corp), Interse Corp(Microsoft Corp), DocuMedX Inc(Transcend Services Inc), LinkExchange(TM) Inc (Microsoft Corp), FireFly Network Inc(Microsoft Corp), Cooper &amp; Peters Inc (Microsoft Inc), PlaceWare Inc, Raven Software Corp(Activision Inc), Solomon Software(Great Plains Software Inc), Smith Dennis &amp; Gaylord Inc (Solomon Software), Pluto Technologies International Inc, Dictaphone Healthcare Solution, Forminix Inc(Caere Corp), MobileVoiceControl Inc, TransPoint LLC(Microsoft Corp, First Data Corp), Tegic Communications Inc, DreamWorks Interactive LLC (Microsoft Corp,Dreamworks SKG), Transcend Case Management Inc (Transcend Services Inc), Atlas Advertiser Suite, MESA Group Inc(Microsoft Corp), Health Care Information Systems Inc(Transcend Services Inc), Internet Start Group(Micrpsoft Corp), Head Games Publishing (Activision Inc), Kaspia Systems Inc(Visio Corp), Valence Research Inc (Microsoft Corp), ScanSoft Inc, FASA Interactive Inc(Microsoft Corp), CompareNet Inc (Microsoft Corp), Numinous Technologies Inc (Microsoft Corp), Match Data Systems (Great Plains Software Inc), Vicinity Corp, Jump Networks Inc(Microsoft Corp), Yupi Internet Inc(T1MSN.com), Wireless Knowledge LLC, Omnibrowse Inc(Microsoft Corp), Powerset Inc, Elsinore Multimedia (Activision Inc), MoneyCentral(Microsoft Corp), Merchant Planet(LinkExchange Inc), BeVocal Inc, Expedia Inc, iballs(Avenue A), aQuantive Inc, Entropic Inc, Medstory Inc, Southern Plains Software LLC (Great Plains Software LLC), Calista Technologies Inc, ZeniMax Media Inc, Softway Systems Inc, HomeAdvisor Technologies, Greenfield Online Inc, SpeechWorks International Inc, Tellme Networks Inc, NetGames USA, Placeware Event Services Division, Zing Wireless Inc, MongoMusic Inc(Microsoft Corp), Focus Informatics Inc, MSBET(Bet Holdings Inc, Microsoft Corp), NetCreate Systems(Vicinity Corp), Eloquent Technology Inc (Speechworks International), ProClarity Corp, Unisolve Inc(Great Plains Software Inc), ebudgets.com(FRX Software Corp), Avanade Inc, MSN MoneyCentral(Microsoft Corp), Treyarch Invention (Activision Inc), devBiz Business Solutions LLC, Gray Matter Interactive Studios(Activision Inc), KPE Inc(Mobilocity Inc), Mobilocity Inc, Shaba Games LLC (Activision Inc), Stratature Inc, Data Management Solutions Inc, Z-Axis Ltd(Activision Inc), Sales Management Systems Inc(Microsoft Corp), Softricity Inc, Go Toast LLC, Heartland Information Services (NOW 42417Z), XDegrees Inc(Microsoft Corp), Luxoflux Corp(Activision Inc), Telelogue Inc, i-FRONTIER Corp (Avenue A Inc), eCopy Inc, MSN Autos, Microsoft Business Solutions, Microsoft Dynamics Inc, Notable Solutions Inc, Danger Inc, Sentillion Inc, Viecore Federal Systems Division, Winternals Software LP, Phonetic Systems Inc, Canesta Inc, Microsoft Game Studios, Infinity Ward, LinkedIn Corp, Atlas DMT, NetConversions Inc, Activision Value Publishing Inc, Engyro Corp, Lookout Software LLC, Vexcel Corp, FrontBridge Technologies Inc, MessageRite Inc, ART Advanced Recoginition Technologies Inc, GIANT Co Software Inc, Slate, Vicarious Visions Inc, Rapidata.net Inc, Medical Dictation Inc, Sybari Software Inc, Groove Networks Inc, Forethought Inc(Microsoft Corp), Toys For Bob, MessageCast Inc, MedRemote Inc, Blizzard Entertainment Inc, Swingin' Ape Studios, Flashforward, Lynda.com Inc, Teleo Inc, RedOctane Inc, AgentArts Inc, VoiceSignal Technologies Inc, 5th Finger, MSN Music, DATAllegro Inc, Seadragon Software, Navic Networks, Apptimum Inc, Onfolio Inc, Kidaro, Whale Communications Ltd, AdECN Inc, Corporate Radar, Massive Inc, Franchise Gator LLC, Microsoft Learning, Microsoft Holdings V  Inc, Microsoft Project Users Group, Apple, Orion Network Systems Inc (Apple Computer Inc), Orion Network Systems Inc, Claris Corp(Apple Computer Inc), PowerSchool Inc, Apple Computer Inc, Apple Computer Inc, Quattro Wireless Inc, FileMaker Inc(Apple Computer Inc), la la Media Inc, Coral Software Corp(Apple Computer Inc), Agnilux Inc, SIRI Inc, Placebase, Beats Electronics LLC, PeerSec Networks Inc, Proxure Inc, Chomp Inc, Burstly Inc, TestFlight App Inc, MOG Inc, WifiSLAM, Passif Semiconductor Corp, Matcha Inc, Embark Inc, Cue, Topsy Labs Inc, SnappyLabs, TopSpin Media Inc, Beats Music LLC, Coherent Navigation Inc, NextVR Inc, Network Innovations Corp (Apple Computer Inc), Perceptio Inc, Emotient Inc, LearnSprout Inc, Flyby Media Inc, Turi, Bonnybrooke Solar, Lattice Data Inc, DeskConnect LLC, Apple Computer/Sobrato, Akonia Holographics LLC, PullString Inc, Drive.ai Inc, Mira Labs Inc, Xnor.Ai Inc, Dark Sky Co LLC, Rasier LLC, Fleetsmith Inc, Spaces Inc, Laserlike Inc, Gliimpse, Icloud.Net, Union Bay Networks, Booklamp, Catch.Com, Broadmap, Apple USA(Apple Computer Inc), Kaleida Labs (Apple Computer; IBM Corp), WaveOne Inc, NeXT Computer Inc(Apple Computer Inc), Apple Data Center - Pv1 Project, Apple Data Center - Pv2 Project, Apple Data Center - Pv3 Project, Silicon Color Inc, Spruce Technologies Inc(Apple Computer Inc), Interactive Media Group (Apple Computer Inc), AuthenTec Inc, PA Semi Inc, Raycer Graphics (Apple Computer), NetSelector, Zayante Inc (Apple Computer Inc), Apple Inc, bluebuzz.com Inc(Network Innovations Corp), Propel Software Corp, Prismo Graphics (Apple Computer Inc), Nothing Real LLC, UPEK Inc, Varatouch Technology Inc, PowerSchool, Atrua Technologies Inc</v>
      </c>
    </row>
    <row r="6">
      <c r="A6" s="9">
        <v>3</v>
      </c>
      <c r="B6" s="11">
        <v>1496</v>
      </c>
      <c r="C6" s="10" t="str">
        <v>Data Items</v>
      </c>
      <c r="D6" s="6" t="str">
        <v>Acquiror Nation</v>
      </c>
      <c r="E6" s="10" t="str">
        <v>Include</v>
      </c>
      <c r="F6" s="6" t="str">
        <v>Name: &lt;Untitled&gt;. Values: United States</v>
      </c>
    </row>
    <row r="7">
      <c r="A7" s="9">
        <v>4</v>
      </c>
      <c r="B7" s="11">
        <v>1259</v>
      </c>
      <c r="C7" s="10" t="str">
        <v>Data Items</v>
      </c>
      <c r="D7" s="6" t="str">
        <v>Target High Tech Industry</v>
      </c>
      <c r="E7" s="10" t="str">
        <v>Include</v>
      </c>
      <c r="F7" s="6" t="str">
        <v>Name: &lt;Untitled&gt;. Values: Robotics, Other High Technology Industry, Advanced Manufacturing Systems, Defense Related, Advanced Materials, Satellites (Non-Communications), Propulsion Systems, Nuclear(Excluding Medical), Lasers(Excluding Medical), Workstations, Printers, Portable Computers, Other Peripherals, Data Processing Services, Other Computer Related Svcs, Computer Consulting Services, Programming Services, Other Software (inq. Games), Utilities/File Mgmt Software, Communication/Network Software, Desktop Publishing, Applications Software(Home), Applications Software(Business, Operating Systems, Database Software/Programming, Modems, Scanning Devices, Monitors/Terminals, Networking Systems (LAN,WAN), CD Rom Drives, Disk Drives, Other Computer Systems, CAD/CAM/CAE/Graphics Systems, Turnkey Systems, Micro-Computers (PCs), Mainframes &amp; Super Computers, Healthcare Services, General Med. Instruments/Supp., Medical Monitoring Systems, Artificial Organs/Limbs, Rehabilitation Equipment, Lab Equipment, Surgical Instruments/Equipment, Medical Imaging Systems, Medical Lasers, Other Biotechnology, Research &amp; Development Firm, Blood Derivatives, Drug Delivery Sys(Not IV Sys), Medicinal Chemicals, Nuclear Medicines, Over-The-Counter Drugs, General Pharmaceuticals, Vaccines/Specialty Drugs, Genetically Eng. Prod(Animal), Genetically Eng. Prod(Human), In-Vitro Diagnostic Products, In-Vivo Diagnostic Products, Internet Services &amp; Software, Other Telecommunications Equip, Data Commun(Exclude networking, Facsimile Equipment, Alarm Systems, Microwave Communications, Satellite Communications, Cellular Communications, Messaging Systems, Telephone Interconnect Equip, Telecommunications Equipment, Semiconductors, Other Electronics, Search, Detection, Navigation, Process Control Systems, Printed Circuit Boards, Superconductors, Precision/Measuring Test Equip</v>
      </c>
    </row>
    <row r="8">
      <c r="A8" s="9">
        <v>5</v>
      </c>
      <c r="B8" s="11">
        <v>1259</v>
      </c>
      <c r="C8" s="10" t="str">
        <v>Output</v>
      </c>
      <c r="D8" s="6" t="str">
        <v>Report: sdc_report (Columnar Grid)</v>
      </c>
      <c r="F8" s="6" t="str">
        <v/>
      </c>
    </row>
    <row r="9">
      <c r="D9" s="6" t="str">
        <v>Billing Ref # : 10511651</v>
      </c>
    </row>
    <row r="10">
      <c r="D10" s="6" t="str">
        <v>Capture File : business@uc3m.es.10511651</v>
      </c>
    </row>
    <row r="11">
      <c r="D11" s="6" t="str">
        <v>Session Name: sdc_gafam_filter</v>
      </c>
    </row>
  </sheetData>
  <ignoredErrors>
    <ignoredError numberStoredAsText="1" sqref="A1:F1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vt:i4>
      </vt:variant>
    </vt:vector>
  </HeadingPairs>
  <TitlesOfParts>
    <vt:vector size="2" baseType="lpstr">
      <vt:lpstr>Request 5</vt:lpstr>
      <vt:lpstr>Session 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