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Request 5" sheetId="1" r:id="rId1"/>
    <sheet name="Session Details" sheetId="2" r:id="rId2"/>
  </sheets>
</workbook>
</file>

<file path=xl/styles.xml><?xml version="1.0" encoding="utf-8"?>
<styleSheet xmlns:mc="http://schemas.openxmlformats.org/markup-compatibility/2006" xmlns:x14ac="http://schemas.microsoft.com/office/spreadsheetml/2009/9/ac" xmlns="http://schemas.openxmlformats.org/spreadsheetml/2006/main" mc:Ignorable="x14ac">
  <numFmts count="0"/>
  <fonts count="5" x14ac:knownFonts="1">
    <font>
      <sz val="12"/>
      <name val="Calibri"/>
    </font>
    <font>
      <sz val="12"/>
      <name val="Calibri"/>
    </font>
    <font>
      <sz val="12"/>
      <name val="Calibri"/>
      <b/>
    </font>
    <font>
      <sz val="12"/>
      <name val="Calibri"/>
      <b/>
    </font>
    <font>
      <sz val="12"/>
      <name val="Calibri"/>
      <b/>
    </font>
  </fonts>
  <fills count="2">
    <fill>
      <patternFill patternType="none">
        <bgColor/>
      </patternFill>
    </fill>
    <fill>
      <patternFill patternType="gray125">
        <bgColor/>
      </patternFill>
    </fill>
  </fills>
  <borders count="2">
    <border>
      <left/>
      <right/>
      <top/>
      <bottom/>
      <diagonal/>
    </border>
    <border>
      <left/>
      <right/>
      <top/>
      <bottom/>
      <diagonal/>
    </border>
  </borders>
  <cellStyleXfs>
    <xf numFmtId="0" fontId="0" fillId="0" borderId="0"/>
  </cellStyleXfs>
  <cellXfs count="12">
    <xf numFmtId="0" fontId="0" fillId="0" borderId="0" xfId="0"/>
    <xf numFmtId="0" fontId="1" fillId="1" borderId="1" xfId="0" applyFont="1" applyFill="1" applyBorder="1"/>
    <xf numFmtId="0" fontId="0" fillId="0" borderId="0" xfId="0"/>
    <xf numFmtId="0" fontId="2" fillId="0" borderId="0" xfId="0" applyFont="1" applyAlignment="1">
      <alignment horizontal="left" vertical="top"/>
    </xf>
    <xf numFmtId="0" fontId="3" fillId="0" borderId="0" xfId="0" applyFont="1" applyAlignment="1">
      <alignment horizontal="left" vertical="top" wrapText="true"/>
    </xf>
    <xf numFmtId="0" fontId="4" fillId="0" borderId="0" xfId="0" applyFont="1" applyAlignment="1">
      <alignment horizontal="right" vertical="top" wrapText="true"/>
    </xf>
    <xf numFmtId="0" fontId="0" fillId="0" borderId="0" xfId="0" applyAlignment="1">
      <alignment horizontal="left" vertical="top" wrapText="true"/>
    </xf>
    <xf numFmtId="14" fontId="0" fillId="0" borderId="0" xfId="0" applyNumberFormat="1" applyAlignment="1">
      <alignment horizontal="right" vertical="top" wrapText="true"/>
    </xf>
    <xf numFmtId="4" fontId="0" fillId="0" borderId="0" xfId="0" applyNumberFormat="1" applyAlignment="1">
      <alignment horizontal="right" vertical="top" wrapText="true"/>
    </xf>
    <xf numFmtId="3" fontId="0" fillId="0" borderId="0" xfId="0" applyNumberFormat="1" applyAlignment="1">
      <alignment horizontal="left" vertical="top"/>
    </xf>
    <xf numFmtId="0" fontId="0" fillId="0" borderId="0" xfId="0" applyAlignment="1">
      <alignment horizontal="left" vertical="top"/>
    </xf>
    <xf numFmtId="3" fontId="0" fillId="0" borderId="0" xfId="0" applyNumberFormat="1" applyAlignment="1">
      <alignment horizontal="right" vertical="top"/>
    </xf>
  </cellXfs>
  <cellStyles>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AL1262"/>
  <sheetViews>
    <sheetView workbookViewId="0"/>
  </sheetViews>
  <cols>
    <col min="1" max="1" width="18.33203125" customWidth="1"/>
    <col min="2" max="2" width="18.33203125" customWidth="1"/>
    <col min="3" max="3" width="18.33203125" customWidth="1"/>
    <col min="4" max="4" width="18.33203125" customWidth="1"/>
    <col min="5" max="5" width="18.33203125" customWidth="1"/>
    <col min="6" max="6" width="18.33203125" customWidth="1"/>
    <col min="7" max="7" width="18.33203125" customWidth="1"/>
    <col min="8" max="8" width="18.33203125" customWidth="1"/>
    <col min="9" max="9" width="18.33203125" customWidth="1"/>
    <col min="10" max="10" width="18.33203125" customWidth="1"/>
    <col min="11" max="11" width="18.33203125" customWidth="1"/>
    <col min="12" max="12" width="18.33203125" customWidth="1"/>
    <col min="13" max="13" width="18.33203125" customWidth="1"/>
    <col min="14" max="14" width="18.33203125" customWidth="1"/>
    <col min="15" max="15" width="18.33203125" customWidth="1"/>
    <col min="16" max="16" width="18.33203125" customWidth="1"/>
    <col min="17" max="17" width="18.33203125" customWidth="1"/>
    <col min="18" max="18" width="18.33203125" customWidth="1"/>
    <col min="19" max="19" width="18.33203125" customWidth="1"/>
    <col min="20" max="20" width="18.33203125" customWidth="1"/>
    <col min="21" max="21" width="18.33203125" customWidth="1"/>
    <col min="22" max="22" width="18.33203125" customWidth="1"/>
    <col min="23" max="23" width="18.33203125" customWidth="1"/>
    <col min="24" max="24" width="18.33203125" customWidth="1"/>
    <col min="25" max="25" width="18.33203125" customWidth="1"/>
    <col min="26" max="26" width="18.33203125" customWidth="1"/>
    <col min="27" max="27" width="18.33203125" customWidth="1"/>
    <col min="28" max="28" width="18.33203125" customWidth="1"/>
    <col min="29" max="29" width="18.33203125" customWidth="1"/>
    <col min="30" max="30" width="18.33203125" customWidth="1"/>
    <col min="31" max="31" width="18.33203125" customWidth="1"/>
    <col min="32" max="32" width="18.33203125" customWidth="1"/>
    <col min="33" max="33" width="18.33203125" customWidth="1"/>
    <col min="34" max="34" width="18.33203125" customWidth="1"/>
    <col min="35" max="35" width="18.33203125" customWidth="1"/>
    <col min="36" max="36" width="18.33203125" customWidth="1"/>
    <col min="37" max="37" width="18.33203125" customWidth="1"/>
    <col min="38" max="38" width="18.33203125" customWidth="1"/>
  </cols>
  <sheetData>
    <row r="1">
      <c r="A1" s="3" t="str">
        <v>Source: LSEG   Date: 10/10/2024</v>
      </c>
    </row>
    <row r="3">
      <c r="A3" s="4" t="str">
        <v>Acquiror 6-digit CUSIP</v>
      </c>
      <c r="B3" s="4" t="str">
        <v>Acquiror Nation</v>
      </c>
      <c r="C3" s="4" t="str">
        <v>Acquiror Full Name</v>
      </c>
      <c r="D3" s="4" t="str">
        <v>Acquiror Ultimate Parent</v>
      </c>
      <c r="E3" s="4" t="str">
        <v>Related M&amp;A Deal Acquiror</v>
      </c>
      <c r="F3" s="4" t="str">
        <v>Target Nation</v>
      </c>
      <c r="G3" s="4" t="str">
        <v>Target Full Name</v>
      </c>
      <c r="H3" s="4" t="str">
        <v>Target Industry Sector</v>
      </c>
      <c r="I3" s="4" t="str">
        <v>Target 6-digit CUSIP</v>
      </c>
      <c r="J3" s="4" t="str">
        <v>Target Ultimate Parent</v>
      </c>
      <c r="K3" s="4" t="str">
        <v>Target Immediate Parent</v>
      </c>
      <c r="L3" s="5" t="str">
        <v>Date Announced</v>
      </c>
      <c r="M3" s="5" t="str">
        <v>Date Effective</v>
      </c>
      <c r="N3" s="5" t="str">
        <v>Deal Value at Effective Date (USD Millions)</v>
      </c>
      <c r="O3" s="5" t="str">
        <v>Deal Value (USD Millions)</v>
      </c>
      <c r="P3" s="5" t="str">
        <v>Firm Value (USD Millions)</v>
      </c>
      <c r="Q3" s="5" t="str">
        <v>Related M&amp;A Deal Value (USD Millions)</v>
      </c>
      <c r="R3" s="5" t="str">
        <v>Target Net Income Last 12 Months (USD Millions)</v>
      </c>
      <c r="S3" s="5" t="str">
        <v>Target Net Sales Last 12 Months (USD Millions)</v>
      </c>
      <c r="T3" s="5" t="str">
        <v>Target Net Cash from Financing Activities Last 12 Months (USD Millions)</v>
      </c>
      <c r="U3" s="5" t="str">
        <v>Target Net Cash from Investing Activities Last 12 Months (USD Millions)</v>
      </c>
      <c r="V3" s="5" t="str">
        <v>Target Net Cash from Operating Activities Last 12 Months (USD Millions)</v>
      </c>
      <c r="W3" s="4" t="str">
        <v>Acquiror High Tech Industry</v>
      </c>
      <c r="X3" s="4" t="str">
        <v>Target High Tech Industry</v>
      </c>
      <c r="Y3" s="4" t="str">
        <v>Target Immediate Parent High Tech Industry</v>
      </c>
      <c r="Z3" s="4" t="str">
        <v>Target Ultimate Parent High Tech Industry</v>
      </c>
      <c r="AA3" s="4" t="str">
        <v>Acquiror Immediate Parent High Tech Industry</v>
      </c>
      <c r="AB3" s="4" t="str">
        <v>Acquiror Ultimate Parent High Tech Industry</v>
      </c>
      <c r="AC3" s="5" t="str">
        <v>Deal Value (USD Millions)</v>
      </c>
      <c r="AD3" s="5" t="str">
        <v>Deal Value as-of Date</v>
      </c>
      <c r="AE3" s="5" t="str">
        <v>Implied Deal Value (USD Millions)</v>
      </c>
      <c r="AF3" s="5" t="str">
        <v>Enterprise Value at Announcement (USD Millions)</v>
      </c>
      <c r="AG3" s="5" t="str">
        <v>Enterprise Value at Effective Date (USD Millions)</v>
      </c>
      <c r="AH3" s="5" t="str">
        <v>Value of Equity at Effective Date (USD Millions)</v>
      </c>
      <c r="AI3" s="5" t="str">
        <v>Equity Value at Announcement (USD Millions)</v>
      </c>
      <c r="AJ3" s="5" t="str">
        <v>Consideration Amount (USD Millions)</v>
      </c>
      <c r="AK3" s="4" t="str">
        <v>Consideration Currency</v>
      </c>
      <c r="AL3" s="5" t="str">
        <v>Deal Value (USD Millions)</v>
      </c>
    </row>
    <row r="4">
      <c r="A4" s="6" t="str">
        <v>037833</v>
      </c>
      <c r="B4" s="6" t="str">
        <v>United States</v>
      </c>
      <c r="C4" s="6" t="str">
        <v>Apple Computer Inc</v>
      </c>
      <c r="D4" s="6" t="str">
        <v>Apple Computer Inc</v>
      </c>
      <c r="F4" s="6" t="str">
        <v>United States</v>
      </c>
      <c r="G4" s="6" t="str">
        <v>Apple Computer Inc</v>
      </c>
      <c r="H4" s="6" t="str">
        <v>Computer and Office Equipment</v>
      </c>
      <c r="I4" s="6" t="str">
        <v>037833</v>
      </c>
      <c r="J4" s="6" t="str">
        <v>Apple Computer Inc</v>
      </c>
      <c r="K4" s="6" t="str">
        <v>Apple Computer Inc</v>
      </c>
      <c r="L4" s="7">
        <f>=DATE(1990,3,12)</f>
        <v>32943.99949074074</v>
      </c>
      <c r="N4" s="8">
        <v>183.75</v>
      </c>
      <c r="O4" s="8">
        <v>183.75</v>
      </c>
      <c r="P4" s="8" t="str">
        <v>129,179.85</v>
      </c>
      <c r="R4" s="8">
        <v>454.033</v>
      </c>
      <c r="S4" s="8">
        <v>5284.013</v>
      </c>
      <c r="W4" s="6" t="str">
        <v>Portable Computers;Other Peripherals;Micro-Computers (PCs);Mainframes &amp; Super Computers;Printers;Disk Drives;Other Software (inq. Games);Monitors/Terminals</v>
      </c>
      <c r="X4" s="6" t="str">
        <v>Monitors/Terminals;Printers;Other Software (inq. Games);Micro-Computers (PCs);Portable Computers;Mainframes &amp; Super Computers;Disk Drives;Other Peripherals</v>
      </c>
      <c r="Y4" s="6" t="str">
        <v>Other Peripherals;Mainframes &amp; Super Computers;Monitors/Terminals;Disk Drives;Other Software (inq. Games);Micro-Computers (PCs);Printers;Portable Computers</v>
      </c>
      <c r="Z4" s="6" t="str">
        <v>Portable Computers;Printers;Other Software (inq. Games);Disk Drives;Mainframes &amp; Super Computers;Micro-Computers (PCs);Monitors/Terminals;Other Peripherals</v>
      </c>
      <c r="AA4" s="6" t="str">
        <v>Disk Drives;Portable Computers;Other Peripherals;Monitors/Terminals;Mainframes &amp; Super Computers;Printers;Other Software (inq. Games);Micro-Computers (PCs)</v>
      </c>
      <c r="AB4" s="6" t="str">
        <v>Printers;Mainframes &amp; Super Computers;Other Peripherals;Other Software (inq. Games);Micro-Computers (PCs);Portable Computers;Disk Drives;Monitors/Terminals</v>
      </c>
      <c r="AC4" s="8">
        <v>183.75</v>
      </c>
      <c r="AE4" s="8">
        <v>4593.75</v>
      </c>
      <c r="AF4" s="8" t="str">
        <v>3,841.55</v>
      </c>
      <c r="AI4" s="8" t="str">
        <v>4,593.75</v>
      </c>
      <c r="AL4" s="8">
        <v>183.75</v>
      </c>
    </row>
    <row r="5">
      <c r="A5" s="6" t="str">
        <v>594918</v>
      </c>
      <c r="B5" s="6" t="str">
        <v>United States</v>
      </c>
      <c r="C5" s="6" t="str">
        <v>Microsoft Corp</v>
      </c>
      <c r="D5" s="6" t="str">
        <v>Microsoft Corp</v>
      </c>
      <c r="F5" s="6" t="str">
        <v>United States</v>
      </c>
      <c r="G5" s="6" t="str">
        <v>Microsoft Corp</v>
      </c>
      <c r="H5" s="6" t="str">
        <v>Prepackaged Software</v>
      </c>
      <c r="I5" s="6" t="str">
        <v>594918</v>
      </c>
      <c r="J5" s="6" t="str">
        <v>Microsoft Corp</v>
      </c>
      <c r="K5" s="6" t="str">
        <v>Microsoft Corp</v>
      </c>
      <c r="L5" s="7">
        <f>=DATE(1990,6,13)</f>
        <v>33036.99949074074</v>
      </c>
      <c r="R5" s="8">
        <v>170.538</v>
      </c>
      <c r="S5" s="8">
        <v>803.53</v>
      </c>
      <c r="W5" s="6" t="str">
        <v>Operating Systems;Computer Consulting Services;Monitors/Terminals;Internet Services &amp; Software;Other Peripherals;Applications Software(Business</v>
      </c>
      <c r="X5" s="6" t="str">
        <v>Monitors/Terminals;Operating Systems;Internet Services &amp; Software;Applications Software(Business;Computer Consulting Services;Other Peripherals</v>
      </c>
      <c r="Y5" s="6" t="str">
        <v>Other Peripherals;Computer Consulting Services;Internet Services &amp; Software;Applications Software(Business;Monitors/Terminals;Operating Systems</v>
      </c>
      <c r="Z5" s="6" t="str">
        <v>Applications Software(Business;Operating Systems;Internet Services &amp; Software;Computer Consulting Services;Monitors/Terminals;Other Peripherals</v>
      </c>
      <c r="AA5" s="6" t="str">
        <v>Internet Services &amp; Software;Applications Software(Business;Monitors/Terminals;Computer Consulting Services;Other Peripherals;Operating Systems</v>
      </c>
      <c r="AB5" s="6" t="str">
        <v>Other Peripherals;Internet Services &amp; Software;Computer Consulting Services;Applications Software(Business;Operating Systems;Monitors/Terminals</v>
      </c>
    </row>
    <row r="6">
      <c r="A6" s="6" t="str">
        <v>037833</v>
      </c>
      <c r="B6" s="6" t="str">
        <v>United States</v>
      </c>
      <c r="C6" s="6" t="str">
        <v>Apple Computer Inc</v>
      </c>
      <c r="D6" s="6" t="str">
        <v>Apple Computer Inc</v>
      </c>
      <c r="F6" s="6" t="str">
        <v>United States</v>
      </c>
      <c r="G6" s="6" t="str">
        <v>Apple Computer Inc</v>
      </c>
      <c r="H6" s="6" t="str">
        <v>Computer and Office Equipment</v>
      </c>
      <c r="I6" s="6" t="str">
        <v>037833</v>
      </c>
      <c r="J6" s="6" t="str">
        <v>Apple Computer Inc</v>
      </c>
      <c r="K6" s="6" t="str">
        <v>Apple Computer Inc</v>
      </c>
      <c r="L6" s="7">
        <f>=DATE(1990,7,20)</f>
        <v>33073.99949074074</v>
      </c>
      <c r="N6" s="8">
        <v>208.8</v>
      </c>
      <c r="O6" s="8">
        <v>208.8</v>
      </c>
      <c r="P6" s="8" t="str">
        <v>146,857.68</v>
      </c>
      <c r="R6" s="8">
        <v>454.033</v>
      </c>
      <c r="S6" s="8">
        <v>5284.013</v>
      </c>
      <c r="W6" s="6" t="str">
        <v>Disk Drives;Monitors/Terminals;Portable Computers;Mainframes &amp; Super Computers;Micro-Computers (PCs);Other Peripherals;Printers;Other Software (inq. Games)</v>
      </c>
      <c r="X6" s="6" t="str">
        <v>Monitors/Terminals;Micro-Computers (PCs);Other Software (inq. Games);Printers;Portable Computers;Mainframes &amp; Super Computers;Disk Drives;Other Peripherals</v>
      </c>
      <c r="Y6" s="6" t="str">
        <v>Micro-Computers (PCs);Mainframes &amp; Super Computers;Disk Drives;Portable Computers;Printers;Other Software (inq. Games);Monitors/Terminals;Other Peripherals</v>
      </c>
      <c r="Z6" s="6" t="str">
        <v>Other Peripherals;Printers;Mainframes &amp; Super Computers;Disk Drives;Monitors/Terminals;Portable Computers;Micro-Computers (PCs);Other Software (inq. Games)</v>
      </c>
      <c r="AA6" s="6" t="str">
        <v>Disk Drives;Micro-Computers (PCs);Other Software (inq. Games);Printers;Monitors/Terminals;Mainframes &amp; Super Computers;Portable Computers;Other Peripherals</v>
      </c>
      <c r="AB6" s="6" t="str">
        <v>Printers;Disk Drives;Portable Computers;Monitors/Terminals;Other Software (inq. Games);Micro-Computers (PCs);Other Peripherals;Mainframes &amp; Super Computers</v>
      </c>
      <c r="AC6" s="8">
        <v>208.8</v>
      </c>
      <c r="AE6" s="8">
        <v>5224.762</v>
      </c>
      <c r="AF6" s="8" t="str">
        <v>4,472.56</v>
      </c>
      <c r="AI6" s="8" t="str">
        <v>5,224.76</v>
      </c>
      <c r="AL6" s="8">
        <v>208.8</v>
      </c>
    </row>
    <row r="7">
      <c r="A7" s="6" t="str">
        <v>037833</v>
      </c>
      <c r="B7" s="6" t="str">
        <v>United States</v>
      </c>
      <c r="C7" s="6" t="str">
        <v>Apple Computer Inc</v>
      </c>
      <c r="D7" s="6" t="str">
        <v>Apple Computer Inc</v>
      </c>
      <c r="F7" s="6" t="str">
        <v>United States</v>
      </c>
      <c r="G7" s="6" t="str">
        <v>Apple Computer Inc</v>
      </c>
      <c r="H7" s="6" t="str">
        <v>Computer and Office Equipment</v>
      </c>
      <c r="I7" s="6" t="str">
        <v>037833</v>
      </c>
      <c r="J7" s="6" t="str">
        <v>Apple Computer Inc</v>
      </c>
      <c r="K7" s="6" t="str">
        <v>Apple Computer Inc</v>
      </c>
      <c r="L7" s="7">
        <f>=DATE(1990,9,27)</f>
        <v>33142.99949074074</v>
      </c>
      <c r="N7" s="8">
        <v>300</v>
      </c>
      <c r="O7" s="8">
        <v>300</v>
      </c>
      <c r="P7" s="8" t="str">
        <v>104,430.89</v>
      </c>
      <c r="R7" s="8">
        <v>454.033</v>
      </c>
      <c r="S7" s="8">
        <v>5284.013</v>
      </c>
      <c r="W7" s="6" t="str">
        <v>Mainframes &amp; Super Computers;Portable Computers;Other Peripherals;Monitors/Terminals;Micro-Computers (PCs);Disk Drives;Other Software (inq. Games);Printers</v>
      </c>
      <c r="X7" s="6" t="str">
        <v>Monitors/Terminals;Other Software (inq. Games);Portable Computers;Mainframes &amp; Super Computers;Printers;Other Peripherals;Disk Drives;Micro-Computers (PCs)</v>
      </c>
      <c r="Y7" s="6" t="str">
        <v>Disk Drives;Other Software (inq. Games);Portable Computers;Micro-Computers (PCs);Mainframes &amp; Super Computers;Other Peripherals;Monitors/Terminals;Printers</v>
      </c>
      <c r="Z7" s="6" t="str">
        <v>Monitors/Terminals;Mainframes &amp; Super Computers;Other Software (inq. Games);Other Peripherals;Micro-Computers (PCs);Portable Computers;Disk Drives;Printers</v>
      </c>
      <c r="AA7" s="6" t="str">
        <v>Portable Computers;Other Software (inq. Games);Disk Drives;Monitors/Terminals;Other Peripherals;Printers;Mainframes &amp; Super Computers;Micro-Computers (PCs)</v>
      </c>
      <c r="AB7" s="6" t="str">
        <v>Disk Drives;Monitors/Terminals;Other Software (inq. Games);Mainframes &amp; Super Computers;Other Peripherals;Portable Computers;Printers;Micro-Computers (PCs)</v>
      </c>
      <c r="AC7" s="8">
        <v>300</v>
      </c>
      <c r="AE7" s="8">
        <v>3570</v>
      </c>
      <c r="AF7" s="8" t="str">
        <v>2,817.80</v>
      </c>
      <c r="AI7" s="8" t="str">
        <v>3,570.00</v>
      </c>
      <c r="AL7" s="8">
        <v>300</v>
      </c>
    </row>
    <row r="8">
      <c r="A8" s="6" t="str">
        <v>594918</v>
      </c>
      <c r="B8" s="6" t="str">
        <v>United States</v>
      </c>
      <c r="C8" s="6" t="str">
        <v>Microsoft Corp</v>
      </c>
      <c r="D8" s="6" t="str">
        <v>Microsoft Corp</v>
      </c>
      <c r="F8" s="6" t="str">
        <v>Canada</v>
      </c>
      <c r="G8" s="6" t="str">
        <v>Consumers Software Inc</v>
      </c>
      <c r="H8" s="6" t="str">
        <v>Prepackaged Software</v>
      </c>
      <c r="I8" s="6" t="str">
        <v>21070T</v>
      </c>
      <c r="J8" s="6" t="str">
        <v>Consumers Software Inc</v>
      </c>
      <c r="K8" s="6" t="str">
        <v>Consumers Software Inc</v>
      </c>
      <c r="L8" s="7">
        <f>=DATE(1991,3,6)</f>
        <v>33302.99949074074</v>
      </c>
      <c r="M8" s="7">
        <f>=DATE(1991,3,31)</f>
        <v>33327.99949074074</v>
      </c>
      <c r="N8" s="8">
        <v>19.8532585239534</v>
      </c>
      <c r="O8" s="8">
        <v>19.8532585239534</v>
      </c>
      <c r="W8" s="6" t="str">
        <v>Computer Consulting Services;Other Peripherals;Operating Systems;Applications Software(Business;Internet Services &amp; Software;Monitors/Terminals</v>
      </c>
      <c r="X8" s="6" t="str">
        <v>Other Software (inq. Games);Database Software/Programming</v>
      </c>
      <c r="Y8" s="6" t="str">
        <v>Database Software/Programming;Other Software (inq. Games)</v>
      </c>
      <c r="Z8" s="6" t="str">
        <v>Database Software/Programming;Other Software (inq. Games)</v>
      </c>
      <c r="AA8" s="6" t="str">
        <v>Monitors/Terminals;Operating Systems;Applications Software(Business;Other Peripherals;Internet Services &amp; Software;Computer Consulting Services</v>
      </c>
      <c r="AB8" s="6" t="str">
        <v>Computer Consulting Services;Other Peripherals;Monitors/Terminals;Operating Systems;Applications Software(Business;Internet Services &amp; Software</v>
      </c>
      <c r="AC8" s="8">
        <v>19.8532585239534</v>
      </c>
      <c r="AL8" s="8">
        <v>19.8532585239534</v>
      </c>
    </row>
    <row r="9">
      <c r="A9" s="6" t="str">
        <v>594918</v>
      </c>
      <c r="B9" s="6" t="str">
        <v>United States</v>
      </c>
      <c r="C9" s="6" t="str">
        <v>Microsoft Corp</v>
      </c>
      <c r="D9" s="6" t="str">
        <v>Microsoft Corp</v>
      </c>
      <c r="F9" s="6" t="str">
        <v>United States</v>
      </c>
      <c r="G9" s="6" t="str">
        <v>Fox Software Inc</v>
      </c>
      <c r="H9" s="6" t="str">
        <v>Computer and Office Equipment</v>
      </c>
      <c r="I9" s="6" t="str">
        <v>35158A</v>
      </c>
      <c r="J9" s="6" t="str">
        <v>Fox Software Inc</v>
      </c>
      <c r="K9" s="6" t="str">
        <v>Fox Software Inc</v>
      </c>
      <c r="L9" s="7">
        <f>=DATE(1992,3,23)</f>
        <v>33685.99949074074</v>
      </c>
      <c r="M9" s="7">
        <f>=DATE(1992,6,29)</f>
        <v>33783.99949074074</v>
      </c>
      <c r="N9" s="8">
        <v>136.2</v>
      </c>
      <c r="O9" s="8">
        <v>174.8</v>
      </c>
      <c r="P9" s="8" t="str">
        <v>174.80</v>
      </c>
      <c r="S9" s="8">
        <v>75</v>
      </c>
      <c r="W9" s="6" t="str">
        <v>Internet Services &amp; Software;Computer Consulting Services;Applications Software(Business;Operating Systems;Other Peripherals;Monitors/Terminals</v>
      </c>
      <c r="X9" s="6" t="str">
        <v>Other Software (inq. Games);Applications Software(Business;Database Software/Programming;Other Peripherals</v>
      </c>
      <c r="Y9" s="6" t="str">
        <v>Database Software/Programming;Applications Software(Business;Other Software (inq. Games);Other Peripherals</v>
      </c>
      <c r="Z9" s="6" t="str">
        <v>Other Peripherals;Database Software/Programming;Other Software (inq. Games);Applications Software(Business</v>
      </c>
      <c r="AA9" s="6" t="str">
        <v>Operating Systems;Internet Services &amp; Software;Monitors/Terminals;Other Peripherals;Applications Software(Business;Computer Consulting Services</v>
      </c>
      <c r="AB9" s="6" t="str">
        <v>Applications Software(Business;Computer Consulting Services;Monitors/Terminals;Other Peripherals;Internet Services &amp; Software;Operating Systems</v>
      </c>
      <c r="AC9" s="8">
        <v>174.8</v>
      </c>
      <c r="AF9" s="8" t="str">
        <v>174.80</v>
      </c>
      <c r="AG9" s="8" t="str">
        <v>136.20</v>
      </c>
      <c r="AH9" s="8" t="str">
        <v>174.80</v>
      </c>
      <c r="AI9" s="8" t="str">
        <v>174.80</v>
      </c>
      <c r="AL9" s="8">
        <v>174.8</v>
      </c>
    </row>
    <row r="10">
      <c r="A10" s="6" t="str">
        <v>127646</v>
      </c>
      <c r="B10" s="6" t="str">
        <v>United States</v>
      </c>
      <c r="C10" s="6" t="str">
        <v>Caere Corp</v>
      </c>
      <c r="D10" s="6" t="str">
        <v>Caere Corp</v>
      </c>
      <c r="F10" s="6" t="str">
        <v>United States</v>
      </c>
      <c r="G10" s="6" t="str">
        <v>Caere Corp</v>
      </c>
      <c r="H10" s="6" t="str">
        <v>Prepackaged Software</v>
      </c>
      <c r="I10" s="6" t="str">
        <v>127646</v>
      </c>
      <c r="J10" s="6" t="str">
        <v>Caere Corp</v>
      </c>
      <c r="K10" s="6" t="str">
        <v>Caere Corp</v>
      </c>
      <c r="L10" s="7">
        <f>=DATE(1992,7,21)</f>
        <v>33805.99949074074</v>
      </c>
      <c r="N10" s="8">
        <v>3.15</v>
      </c>
      <c r="O10" s="8">
        <v>3.15</v>
      </c>
      <c r="P10" s="8" t="str">
        <v>132.64</v>
      </c>
      <c r="R10" s="8">
        <v>5.69</v>
      </c>
      <c r="S10" s="8">
        <v>32.417</v>
      </c>
      <c r="T10" s="8">
        <v>0.269</v>
      </c>
      <c r="U10" s="8">
        <v>-2.22</v>
      </c>
      <c r="V10" s="8">
        <v>6.904</v>
      </c>
      <c r="W10" s="6" t="str">
        <v>Data Processing Services;Applications Software(Business</v>
      </c>
      <c r="X10" s="6" t="str">
        <v>Data Processing Services;Applications Software(Business</v>
      </c>
      <c r="Y10" s="6" t="str">
        <v>Applications Software(Business;Data Processing Services</v>
      </c>
      <c r="Z10" s="6" t="str">
        <v>Applications Software(Business;Data Processing Services</v>
      </c>
      <c r="AA10" s="6" t="str">
        <v>Applications Software(Business;Data Processing Services</v>
      </c>
      <c r="AB10" s="6" t="str">
        <v>Applications Software(Business;Data Processing Services</v>
      </c>
      <c r="AC10" s="8">
        <v>3.15</v>
      </c>
      <c r="AE10" s="8">
        <v>81.8055</v>
      </c>
      <c r="AF10" s="8" t="str">
        <v>50.83</v>
      </c>
      <c r="AI10" s="8" t="str">
        <v>81.81</v>
      </c>
      <c r="AL10" s="8">
        <v>3.15</v>
      </c>
    </row>
    <row r="11">
      <c r="A11" s="6" t="str">
        <v>037833</v>
      </c>
      <c r="B11" s="6" t="str">
        <v>United States</v>
      </c>
      <c r="C11" s="6" t="str">
        <v>Apple Computer Inc</v>
      </c>
      <c r="D11" s="6" t="str">
        <v>Apple Computer Inc</v>
      </c>
      <c r="F11" s="6" t="str">
        <v>United States</v>
      </c>
      <c r="G11" s="6" t="str">
        <v>Apple Computer Inc</v>
      </c>
      <c r="H11" s="6" t="str">
        <v>Computer and Office Equipment</v>
      </c>
      <c r="I11" s="6" t="str">
        <v>037833</v>
      </c>
      <c r="J11" s="6" t="str">
        <v>Apple Computer Inc</v>
      </c>
      <c r="K11" s="6" t="str">
        <v>Apple Computer Inc</v>
      </c>
      <c r="L11" s="7">
        <f>=DATE(1992,11,18)</f>
        <v>33925.99949074074</v>
      </c>
      <c r="N11" s="8">
        <v>552.5</v>
      </c>
      <c r="O11" s="8">
        <v>552.5</v>
      </c>
      <c r="P11" s="8" t="str">
        <v>182,035.70</v>
      </c>
      <c r="R11" s="8">
        <v>530.373</v>
      </c>
      <c r="S11" s="8">
        <v>7086.542</v>
      </c>
      <c r="T11" s="8">
        <v>-76.702</v>
      </c>
      <c r="U11" s="8">
        <v>-897.947</v>
      </c>
      <c r="V11" s="8">
        <v>869.059</v>
      </c>
      <c r="W11" s="6" t="str">
        <v>Other Peripherals;Disk Drives;Micro-Computers (PCs);Printers;Monitors/Terminals;Other Software (inq. Games);Mainframes &amp; Super Computers;Portable Computers</v>
      </c>
      <c r="X11" s="6" t="str">
        <v>Printers;Portable Computers;Monitors/Terminals;Disk Drives;Other Software (inq. Games);Mainframes &amp; Super Computers;Other Peripherals;Micro-Computers (PCs)</v>
      </c>
      <c r="Y11" s="6" t="str">
        <v>Portable Computers;Mainframes &amp; Super Computers;Printers;Disk Drives;Monitors/Terminals;Other Software (inq. Games);Micro-Computers (PCs);Other Peripherals</v>
      </c>
      <c r="Z11" s="6" t="str">
        <v>Other Peripherals;Portable Computers;Monitors/Terminals;Micro-Computers (PCs);Other Software (inq. Games);Mainframes &amp; Super Computers;Printers;Disk Drives</v>
      </c>
      <c r="AA11" s="6" t="str">
        <v>Disk Drives;Mainframes &amp; Super Computers;Other Peripherals;Monitors/Terminals;Printers;Other Software (inq. Games);Portable Computers;Micro-Computers (PCs)</v>
      </c>
      <c r="AB11" s="6" t="str">
        <v>Monitors/Terminals;Printers;Portable Computers;Disk Drives;Other Software (inq. Games);Mainframes &amp; Super Computers;Micro-Computers (PCs);Other Peripherals</v>
      </c>
      <c r="AC11" s="8">
        <v>552.5</v>
      </c>
      <c r="AE11" s="8">
        <v>6547.125</v>
      </c>
      <c r="AF11" s="8" t="str">
        <v>5,296.09</v>
      </c>
      <c r="AI11" s="8" t="str">
        <v>6,547.13</v>
      </c>
      <c r="AL11" s="8">
        <v>552.5</v>
      </c>
    </row>
    <row r="12">
      <c r="A12" s="6" t="str">
        <v>594918</v>
      </c>
      <c r="B12" s="6" t="str">
        <v>United States</v>
      </c>
      <c r="C12" s="6" t="str">
        <v>Microsoft Corp</v>
      </c>
      <c r="D12" s="6" t="str">
        <v>Microsoft Corp</v>
      </c>
      <c r="E12" s="6" t="str">
        <v>Undisclosed Acquiror</v>
      </c>
      <c r="F12" s="6" t="str">
        <v>United States</v>
      </c>
      <c r="G12" s="6" t="str">
        <v>Minnesota Software Systems Development Corp</v>
      </c>
      <c r="H12" s="6" t="str">
        <v>Prepackaged Software</v>
      </c>
      <c r="I12" s="6" t="str">
        <v>60392W</v>
      </c>
      <c r="J12" s="6" t="str">
        <v>Minnesota Software Systems Development Corp</v>
      </c>
      <c r="K12" s="6" t="str">
        <v>Minnesota Software Systems Development Corp</v>
      </c>
      <c r="L12" s="7">
        <f>=DATE(1993,6,11)</f>
        <v>34130.99949074074</v>
      </c>
      <c r="Q12" s="8" t="str">
        <v>95.00</v>
      </c>
      <c r="W12" s="6" t="str">
        <v>Other Peripherals;Computer Consulting Services;Operating Systems;Internet Services &amp; Software;Monitors/Terminals;Applications Software(Business</v>
      </c>
      <c r="X12" s="6" t="str">
        <v>Applications Software(Business;Other Software (inq. Games);Database Software/Programming</v>
      </c>
      <c r="Y12" s="6" t="str">
        <v>Applications Software(Business;Other Software (inq. Games);Database Software/Programming</v>
      </c>
      <c r="Z12" s="6" t="str">
        <v>Other Software (inq. Games);Database Software/Programming;Applications Software(Business</v>
      </c>
      <c r="AA12" s="6" t="str">
        <v>Internet Services &amp; Software;Computer Consulting Services;Operating Systems;Other Peripherals;Applications Software(Business;Monitors/Terminals</v>
      </c>
      <c r="AB12" s="6" t="str">
        <v>Applications Software(Business;Internet Services &amp; Software;Computer Consulting Services;Other Peripherals;Operating Systems;Monitors/Terminals</v>
      </c>
    </row>
    <row r="13">
      <c r="A13" s="6" t="str">
        <v>594918</v>
      </c>
      <c r="B13" s="6" t="str">
        <v>United States</v>
      </c>
      <c r="C13" s="6" t="str">
        <v>Microsoft Corp</v>
      </c>
      <c r="D13" s="6" t="str">
        <v>Microsoft Corp</v>
      </c>
      <c r="F13" s="6" t="str">
        <v>United States</v>
      </c>
      <c r="G13" s="6" t="str">
        <v>Continuum Productions Corp-Technology Assets</v>
      </c>
      <c r="H13" s="6" t="str">
        <v>Prepackaged Software</v>
      </c>
      <c r="I13" s="6" t="str">
        <v>21218Z</v>
      </c>
      <c r="J13" s="6" t="str">
        <v>Continuum Productions Corp</v>
      </c>
      <c r="K13" s="6" t="str">
        <v>Continuum Productions Corp</v>
      </c>
      <c r="L13" s="7">
        <f>=DATE(1993,8,4)</f>
        <v>34184.99949074074</v>
      </c>
      <c r="W13" s="6" t="str">
        <v>Applications Software(Business;Computer Consulting Services;Other Peripherals;Internet Services &amp; Software;Monitors/Terminals;Operating Systems</v>
      </c>
      <c r="X13" s="6" t="str">
        <v>Other Software (inq. Games);Applications Software(Business</v>
      </c>
      <c r="Y13" s="6" t="str">
        <v>Other Software (inq. Games);Applications Software(Business</v>
      </c>
      <c r="Z13" s="6" t="str">
        <v>Other Software (inq. Games);Applications Software(Business</v>
      </c>
      <c r="AA13" s="6" t="str">
        <v>Operating Systems;Computer Consulting Services;Applications Software(Business;Monitors/Terminals;Internet Services &amp; Software;Other Peripherals</v>
      </c>
      <c r="AB13" s="6" t="str">
        <v>Other Peripherals;Computer Consulting Services;Internet Services &amp; Software;Applications Software(Business;Monitors/Terminals;Operating Systems</v>
      </c>
    </row>
    <row r="14">
      <c r="A14" s="6" t="str">
        <v>594918</v>
      </c>
      <c r="B14" s="6" t="str">
        <v>United States</v>
      </c>
      <c r="C14" s="6" t="str">
        <v>Microsoft Corp</v>
      </c>
      <c r="D14" s="6" t="str">
        <v>Microsoft Corp</v>
      </c>
      <c r="F14" s="6" t="str">
        <v>Canada</v>
      </c>
      <c r="G14" s="6" t="str">
        <v>Softimage Co</v>
      </c>
      <c r="H14" s="6" t="str">
        <v>Prepackaged Software</v>
      </c>
      <c r="I14" s="6" t="str">
        <v>833961</v>
      </c>
      <c r="J14" s="6" t="str">
        <v>Softimage Co</v>
      </c>
      <c r="K14" s="6" t="str">
        <v>Softimage Co</v>
      </c>
      <c r="L14" s="7">
        <f>=DATE(1994,2,14)</f>
        <v>34378.99949074074</v>
      </c>
      <c r="M14" s="7">
        <f>=DATE(1994,2,28)</f>
        <v>34392.99949074074</v>
      </c>
      <c r="N14" s="8">
        <v>139.24285079271</v>
      </c>
      <c r="O14" s="8">
        <v>139.24285079271</v>
      </c>
      <c r="P14" s="8" t="str">
        <v>142.65</v>
      </c>
      <c r="R14" s="8">
        <v>3.552</v>
      </c>
      <c r="S14" s="8">
        <v>24.563</v>
      </c>
      <c r="W14" s="6" t="str">
        <v>Monitors/Terminals;Internet Services &amp; Software;Other Peripherals;Applications Software(Business;Operating Systems;Computer Consulting Services</v>
      </c>
      <c r="X14" s="6" t="str">
        <v>Other Software (inq. Games)</v>
      </c>
      <c r="Y14" s="6" t="str">
        <v>Other Software (inq. Games)</v>
      </c>
      <c r="Z14" s="6" t="str">
        <v>Other Software (inq. Games)</v>
      </c>
      <c r="AA14" s="6" t="str">
        <v>Monitors/Terminals;Applications Software(Business;Operating Systems;Computer Consulting Services;Other Peripherals;Internet Services &amp; Software</v>
      </c>
      <c r="AB14" s="6" t="str">
        <v>Computer Consulting Services;Monitors/Terminals;Applications Software(Business;Operating Systems;Internet Services &amp; Software;Other Peripherals</v>
      </c>
      <c r="AC14" s="8">
        <v>139.24285079271</v>
      </c>
      <c r="AD14" s="7">
        <f>=DATE(1994,6,28)</f>
        <v>34512.99949074074</v>
      </c>
      <c r="AE14" s="8">
        <v>139.242984145799</v>
      </c>
      <c r="AF14" s="8" t="str">
        <v>170.34</v>
      </c>
      <c r="AG14" s="8" t="str">
        <v>142.64</v>
      </c>
      <c r="AH14" s="8" t="str">
        <v>160.26</v>
      </c>
      <c r="AI14" s="8" t="str">
        <v>187.95</v>
      </c>
      <c r="AL14" s="8">
        <v>139.24285079271</v>
      </c>
    </row>
    <row r="15">
      <c r="A15" s="6" t="str">
        <v>594918</v>
      </c>
      <c r="B15" s="6" t="str">
        <v>United States</v>
      </c>
      <c r="C15" s="6" t="str">
        <v>Microsoft Corp</v>
      </c>
      <c r="D15" s="6" t="str">
        <v>Microsoft Corp</v>
      </c>
      <c r="E15" s="6" t="str">
        <v>Microsoft Corp</v>
      </c>
      <c r="F15" s="6" t="str">
        <v>United States</v>
      </c>
      <c r="G15" s="6" t="str">
        <v>Metricom Inc</v>
      </c>
      <c r="H15" s="6" t="str">
        <v>Communications Equipment</v>
      </c>
      <c r="I15" s="6" t="str">
        <v>591596</v>
      </c>
      <c r="J15" s="6" t="str">
        <v>Metricom Inc</v>
      </c>
      <c r="K15" s="6" t="str">
        <v>Metricom Inc</v>
      </c>
      <c r="L15" s="7">
        <f>=DATE(1994,2,21)</f>
        <v>34385.99949074074</v>
      </c>
      <c r="Q15" s="8" t="str">
        <v>2.80</v>
      </c>
      <c r="R15" s="8">
        <v>-6.149</v>
      </c>
      <c r="S15" s="8">
        <v>10.057</v>
      </c>
      <c r="T15" s="8">
        <v>19.581</v>
      </c>
      <c r="U15" s="8">
        <v>-15.231</v>
      </c>
      <c r="V15" s="8">
        <v>-6.054</v>
      </c>
      <c r="W15" s="6" t="str">
        <v>Computer Consulting Services;Other Peripherals;Internet Services &amp; Software;Applications Software(Business;Operating Systems;Monitors/Terminals</v>
      </c>
      <c r="X15" s="6" t="str">
        <v>Other Telecommunications Equip</v>
      </c>
      <c r="Y15" s="6" t="str">
        <v>Other Telecommunications Equip</v>
      </c>
      <c r="Z15" s="6" t="str">
        <v>Other Telecommunications Equip</v>
      </c>
      <c r="AA15" s="6" t="str">
        <v>Operating Systems;Computer Consulting Services;Monitors/Terminals;Applications Software(Business;Other Peripherals;Internet Services &amp; Software</v>
      </c>
      <c r="AB15" s="6" t="str">
        <v>Operating Systems;Applications Software(Business;Monitors/Terminals;Other Peripherals;Computer Consulting Services;Internet Services &amp; Software</v>
      </c>
    </row>
    <row r="16">
      <c r="A16" s="6" t="str">
        <v>594918</v>
      </c>
      <c r="B16" s="6" t="str">
        <v>United States</v>
      </c>
      <c r="C16" s="6" t="str">
        <v>Microsoft Corp</v>
      </c>
      <c r="D16" s="6" t="str">
        <v>Microsoft Corp</v>
      </c>
      <c r="E16" s="6" t="str">
        <v>Microsoft Corp</v>
      </c>
      <c r="F16" s="6" t="str">
        <v>United States</v>
      </c>
      <c r="G16" s="6" t="str">
        <v>Metricom Inc</v>
      </c>
      <c r="H16" s="6" t="str">
        <v>Communications Equipment</v>
      </c>
      <c r="I16" s="6" t="str">
        <v>591596</v>
      </c>
      <c r="J16" s="6" t="str">
        <v>Metricom Inc</v>
      </c>
      <c r="K16" s="6" t="str">
        <v>Metricom Inc</v>
      </c>
      <c r="L16" s="7">
        <f>=DATE(1994,2,21)</f>
        <v>34385.99949074074</v>
      </c>
      <c r="N16" s="8">
        <v>2.8</v>
      </c>
      <c r="O16" s="8">
        <v>2.8</v>
      </c>
      <c r="P16" s="8" t="str">
        <v>329.89</v>
      </c>
      <c r="R16" s="8">
        <v>-6.149</v>
      </c>
      <c r="S16" s="8">
        <v>10.057</v>
      </c>
      <c r="T16" s="8">
        <v>19.581</v>
      </c>
      <c r="U16" s="8">
        <v>-15.231</v>
      </c>
      <c r="V16" s="8">
        <v>-6.054</v>
      </c>
      <c r="W16" s="6" t="str">
        <v>Applications Software(Business;Internet Services &amp; Software;Other Peripherals;Operating Systems;Computer Consulting Services;Monitors/Terminals</v>
      </c>
      <c r="X16" s="6" t="str">
        <v>Other Telecommunications Equip</v>
      </c>
      <c r="Y16" s="6" t="str">
        <v>Other Telecommunications Equip</v>
      </c>
      <c r="Z16" s="6" t="str">
        <v>Other Telecommunications Equip</v>
      </c>
      <c r="AA16" s="6" t="str">
        <v>Internet Services &amp; Software;Operating Systems;Computer Consulting Services;Applications Software(Business;Monitors/Terminals;Other Peripherals</v>
      </c>
      <c r="AB16" s="6" t="str">
        <v>Operating Systems;Other Peripherals;Internet Services &amp; Software;Applications Software(Business;Computer Consulting Services;Monitors/Terminals</v>
      </c>
      <c r="AC16" s="8">
        <v>2.8</v>
      </c>
      <c r="AD16" s="7">
        <f>=DATE(1994,2,21)</f>
        <v>34385.99949074074</v>
      </c>
      <c r="AE16" s="8">
        <v>352.8225</v>
      </c>
      <c r="AF16" s="8" t="str">
        <v>330.60</v>
      </c>
      <c r="AI16" s="8" t="str">
        <v>355.62</v>
      </c>
      <c r="AL16" s="8">
        <v>2.8</v>
      </c>
    </row>
    <row r="17">
      <c r="A17" s="6" t="str">
        <v>594918</v>
      </c>
      <c r="B17" s="6" t="str">
        <v>United States</v>
      </c>
      <c r="C17" s="6" t="str">
        <v>Microsoft Corp</v>
      </c>
      <c r="D17" s="6" t="str">
        <v>Microsoft Corp</v>
      </c>
      <c r="F17" s="6" t="str">
        <v>United States</v>
      </c>
      <c r="G17" s="6" t="str">
        <v>Stac Electronics Inc</v>
      </c>
      <c r="H17" s="6" t="str">
        <v>Prepackaged Software</v>
      </c>
      <c r="I17" s="6" t="str">
        <v>852323</v>
      </c>
      <c r="J17" s="6" t="str">
        <v>Stac Electronics Inc</v>
      </c>
      <c r="K17" s="6" t="str">
        <v>Stac Electronics Inc</v>
      </c>
      <c r="L17" s="7">
        <f>=DATE(1994,6,21)</f>
        <v>34505.99949074074</v>
      </c>
      <c r="M17" s="7">
        <f>=DATE(1994,6,21)</f>
        <v>34505.99949074074</v>
      </c>
      <c r="N17" s="8">
        <v>39.9</v>
      </c>
      <c r="O17" s="8">
        <v>39.9</v>
      </c>
      <c r="P17" s="8" t="str">
        <v>267.99</v>
      </c>
      <c r="R17" s="8">
        <v>0.415</v>
      </c>
      <c r="S17" s="8">
        <v>36.984</v>
      </c>
      <c r="T17" s="8">
        <v>0.441</v>
      </c>
      <c r="U17" s="8">
        <v>-24.954</v>
      </c>
      <c r="V17" s="8">
        <v>-4.242</v>
      </c>
      <c r="W17" s="6" t="str">
        <v>Other Peripherals;Operating Systems;Monitors/Terminals;Computer Consulting Services;Applications Software(Business;Internet Services &amp; Software</v>
      </c>
      <c r="X17" s="6" t="str">
        <v>Communication/Network Software;Data Processing Services</v>
      </c>
      <c r="Y17" s="6" t="str">
        <v>Communication/Network Software;Data Processing Services</v>
      </c>
      <c r="Z17" s="6" t="str">
        <v>Communication/Network Software;Data Processing Services</v>
      </c>
      <c r="AA17" s="6" t="str">
        <v>Applications Software(Business;Computer Consulting Services;Operating Systems;Internet Services &amp; Software;Monitors/Terminals;Other Peripherals</v>
      </c>
      <c r="AB17" s="6" t="str">
        <v>Internet Services &amp; Software;Applications Software(Business;Other Peripherals;Monitors/Terminals;Operating Systems;Computer Consulting Services</v>
      </c>
      <c r="AC17" s="8">
        <v>39.9</v>
      </c>
      <c r="AD17" s="7">
        <f>=DATE(1994,6,21)</f>
        <v>34505.99949074074</v>
      </c>
      <c r="AF17" s="8" t="str">
        <v>267.99</v>
      </c>
      <c r="AG17" s="8" t="str">
        <v>267.99</v>
      </c>
      <c r="AH17" s="8" t="str">
        <v>255.10</v>
      </c>
      <c r="AI17" s="8" t="str">
        <v>255.10</v>
      </c>
      <c r="AL17" s="8">
        <v>39.9</v>
      </c>
    </row>
    <row r="18">
      <c r="A18" s="6" t="str">
        <v>594918</v>
      </c>
      <c r="B18" s="6" t="str">
        <v>United States</v>
      </c>
      <c r="C18" s="6" t="str">
        <v>Microsoft Corp</v>
      </c>
      <c r="D18" s="6" t="str">
        <v>Microsoft Corp</v>
      </c>
      <c r="F18" s="6" t="str">
        <v>United States</v>
      </c>
      <c r="G18" s="6" t="str">
        <v>Microsoft Corp</v>
      </c>
      <c r="H18" s="6" t="str">
        <v>Prepackaged Software</v>
      </c>
      <c r="I18" s="6" t="str">
        <v>594918</v>
      </c>
      <c r="J18" s="6" t="str">
        <v>Microsoft Corp</v>
      </c>
      <c r="K18" s="6" t="str">
        <v>Microsoft Corp</v>
      </c>
      <c r="L18" s="7">
        <f>=DATE(1994,7,6)</f>
        <v>34520.99949074074</v>
      </c>
      <c r="M18" s="7">
        <f>=DATE(1994,7,6)</f>
        <v>34520.99949074074</v>
      </c>
      <c r="N18" s="8">
        <v>348</v>
      </c>
      <c r="O18" s="8">
        <v>348</v>
      </c>
      <c r="P18" s="8" t="str">
        <v>8,037.85</v>
      </c>
      <c r="R18" s="8">
        <v>1146</v>
      </c>
      <c r="S18" s="8">
        <v>4649</v>
      </c>
      <c r="T18" s="8">
        <v>83</v>
      </c>
      <c r="U18" s="8">
        <v>-1202</v>
      </c>
      <c r="V18" s="8">
        <v>1593</v>
      </c>
      <c r="W18" s="6" t="str">
        <v>Other Peripherals;Monitors/Terminals;Internet Services &amp; Software;Applications Software(Business;Operating Systems;Computer Consulting Services</v>
      </c>
      <c r="X18" s="6" t="str">
        <v>Computer Consulting Services;Operating Systems;Other Peripherals;Applications Software(Business;Internet Services &amp; Software;Monitors/Terminals</v>
      </c>
      <c r="Y18" s="6" t="str">
        <v>Applications Software(Business;Internet Services &amp; Software;Computer Consulting Services;Operating Systems;Monitors/Terminals;Other Peripherals</v>
      </c>
      <c r="Z18" s="6" t="str">
        <v>Computer Consulting Services;Other Peripherals;Internet Services &amp; Software;Operating Systems;Monitors/Terminals;Applications Software(Business</v>
      </c>
      <c r="AA18" s="6" t="str">
        <v>Computer Consulting Services;Internet Services &amp; Software;Monitors/Terminals;Operating Systems;Other Peripherals;Applications Software(Business</v>
      </c>
      <c r="AB18" s="6" t="str">
        <v>Computer Consulting Services;Monitors/Terminals;Internet Services &amp; Software;Other Peripherals;Operating Systems;Applications Software(Business</v>
      </c>
      <c r="AC18" s="8">
        <v>348</v>
      </c>
      <c r="AD18" s="7">
        <f>=DATE(1994,7,6)</f>
        <v>34520.99949074074</v>
      </c>
      <c r="AF18" s="8" t="str">
        <v>8,037.85</v>
      </c>
      <c r="AG18" s="8" t="str">
        <v>8,037.85</v>
      </c>
      <c r="AH18" s="8" t="str">
        <v>11,651.85</v>
      </c>
      <c r="AI18" s="8" t="str">
        <v>11,651.85</v>
      </c>
      <c r="AL18" s="8">
        <v>348</v>
      </c>
    </row>
    <row r="19">
      <c r="A19" s="6" t="str">
        <v>594918</v>
      </c>
      <c r="B19" s="6" t="str">
        <v>United States</v>
      </c>
      <c r="C19" s="6" t="str">
        <v>Microsoft Corp</v>
      </c>
      <c r="D19" s="6" t="str">
        <v>Microsoft Corp</v>
      </c>
      <c r="F19" s="6" t="str">
        <v>United States</v>
      </c>
      <c r="G19" s="6" t="str">
        <v>Altamira Software Corp</v>
      </c>
      <c r="H19" s="6" t="str">
        <v>Business Services</v>
      </c>
      <c r="I19" s="6" t="str">
        <v>02138C</v>
      </c>
      <c r="J19" s="6" t="str">
        <v>Altamira Software Corp</v>
      </c>
      <c r="K19" s="6" t="str">
        <v>Altamira Software Corp</v>
      </c>
      <c r="L19" s="7">
        <f>=DATE(1994,9,27)</f>
        <v>34603.99949074074</v>
      </c>
      <c r="M19" s="7">
        <f>=DATE(1994,9,27)</f>
        <v>34603.99949074074</v>
      </c>
      <c r="W19" s="6" t="str">
        <v>Applications Software(Business;Other Peripherals;Computer Consulting Services;Operating Systems;Monitors/Terminals;Internet Services &amp; Software</v>
      </c>
      <c r="X19" s="6" t="str">
        <v>Applications Software(Business;Other Software (inq. Games);Other Computer Related Svcs</v>
      </c>
      <c r="Y19" s="6" t="str">
        <v>Applications Software(Business;Other Software (inq. Games);Other Computer Related Svcs</v>
      </c>
      <c r="Z19" s="6" t="str">
        <v>Other Computer Related Svcs;Applications Software(Business;Other Software (inq. Games)</v>
      </c>
      <c r="AA19" s="6" t="str">
        <v>Internet Services &amp; Software;Computer Consulting Services;Operating Systems;Monitors/Terminals;Other Peripherals;Applications Software(Business</v>
      </c>
      <c r="AB19" s="6" t="str">
        <v>Applications Software(Business;Internet Services &amp; Software;Other Peripherals;Monitors/Terminals;Computer Consulting Services;Operating Systems</v>
      </c>
    </row>
    <row r="20">
      <c r="A20" s="6" t="str">
        <v>594918</v>
      </c>
      <c r="B20" s="6" t="str">
        <v>United States</v>
      </c>
      <c r="C20" s="6" t="str">
        <v>Microsoft Corp</v>
      </c>
      <c r="D20" s="6" t="str">
        <v>Microsoft Corp</v>
      </c>
      <c r="E20" s="6" t="str">
        <v>Novell Inc</v>
      </c>
      <c r="F20" s="6" t="str">
        <v>United States</v>
      </c>
      <c r="G20" s="6" t="str">
        <v>Intuit Inc</v>
      </c>
      <c r="H20" s="6" t="str">
        <v>Prepackaged Software</v>
      </c>
      <c r="I20" s="6" t="str">
        <v>461202</v>
      </c>
      <c r="J20" s="6" t="str">
        <v>Intuit Inc</v>
      </c>
      <c r="K20" s="6" t="str">
        <v>Intuit Inc</v>
      </c>
      <c r="L20" s="7">
        <f>=DATE(1994,10,13)</f>
        <v>34619.99949074074</v>
      </c>
      <c r="N20" s="8">
        <v>1559.17</v>
      </c>
      <c r="O20" s="8">
        <v>1559.17</v>
      </c>
      <c r="P20" s="8" t="str">
        <v>17,571.53</v>
      </c>
      <c r="R20" s="8">
        <v>-174.911</v>
      </c>
      <c r="S20" s="8">
        <v>214.354</v>
      </c>
      <c r="T20" s="8">
        <v>0.854</v>
      </c>
      <c r="U20" s="8">
        <v>1.719</v>
      </c>
      <c r="V20" s="8">
        <v>9.278</v>
      </c>
      <c r="W20" s="6" t="str">
        <v>Applications Software(Business;Other Peripherals;Monitors/Terminals;Operating Systems;Internet Services &amp; Software;Computer Consulting Services</v>
      </c>
      <c r="X20" s="6" t="str">
        <v>Communication/Network Software;Internet Services &amp; Software;Applications Software(Business</v>
      </c>
      <c r="Y20" s="6" t="str">
        <v>Communication/Network Software;Applications Software(Business;Internet Services &amp; Software</v>
      </c>
      <c r="Z20" s="6" t="str">
        <v>Internet Services &amp; Software;Communication/Network Software;Applications Software(Business</v>
      </c>
      <c r="AA20" s="6" t="str">
        <v>Other Peripherals;Applications Software(Business;Computer Consulting Services;Operating Systems;Monitors/Terminals;Internet Services &amp; Software</v>
      </c>
      <c r="AB20" s="6" t="str">
        <v>Monitors/Terminals;Computer Consulting Services;Internet Services &amp; Software;Applications Software(Business;Other Peripherals;Operating Systems</v>
      </c>
      <c r="AC20" s="8">
        <v>1559.17</v>
      </c>
      <c r="AD20" s="7">
        <f>=DATE(1994,10,13)</f>
        <v>34619.99949074074</v>
      </c>
      <c r="AE20" s="8">
        <v>1793.293509496</v>
      </c>
      <c r="AF20" s="8" t="str">
        <v>1,475.28</v>
      </c>
      <c r="AI20" s="8" t="str">
        <v>1,559.17</v>
      </c>
      <c r="AL20" s="8">
        <v>1559.17</v>
      </c>
    </row>
    <row r="21">
      <c r="A21" s="6" t="str">
        <v>127646</v>
      </c>
      <c r="B21" s="6" t="str">
        <v>United States</v>
      </c>
      <c r="C21" s="6" t="str">
        <v>Caere Corp</v>
      </c>
      <c r="D21" s="6" t="str">
        <v>Caere Corp</v>
      </c>
      <c r="F21" s="6" t="str">
        <v>United States</v>
      </c>
      <c r="G21" s="6" t="str">
        <v>Calera Recognition Systems Inc</v>
      </c>
      <c r="H21" s="6" t="str">
        <v>Measuring, Medical, Photo Equipment; Clocks</v>
      </c>
      <c r="I21" s="6" t="str">
        <v>12945R</v>
      </c>
      <c r="J21" s="6" t="str">
        <v>Calera Recognition Systems Inc</v>
      </c>
      <c r="K21" s="6" t="str">
        <v>Calera Recognition Systems Inc</v>
      </c>
      <c r="L21" s="7">
        <f>=DATE(1994,10,14)</f>
        <v>34620.99949074074</v>
      </c>
      <c r="M21" s="7">
        <f>=DATE(1994,12,20)</f>
        <v>34687.99949074074</v>
      </c>
      <c r="N21" s="8">
        <v>41.72</v>
      </c>
      <c r="O21" s="8">
        <v>32.5</v>
      </c>
      <c r="P21" s="8" t="str">
        <v>32.50</v>
      </c>
      <c r="R21" s="8">
        <v>1.04</v>
      </c>
      <c r="S21" s="8">
        <v>15.93</v>
      </c>
      <c r="T21" s="8">
        <v>0.005</v>
      </c>
      <c r="U21" s="8">
        <v>-0.21</v>
      </c>
      <c r="V21" s="8">
        <v>0.9</v>
      </c>
      <c r="W21" s="6" t="str">
        <v>Data Processing Services;Applications Software(Business</v>
      </c>
      <c r="X21" s="6" t="str">
        <v>Other Peripherals;Lab Equipment;Monitors/Terminals</v>
      </c>
      <c r="Y21" s="6" t="str">
        <v>Other Peripherals;Lab Equipment;Monitors/Terminals</v>
      </c>
      <c r="Z21" s="6" t="str">
        <v>Lab Equipment;Other Peripherals;Monitors/Terminals</v>
      </c>
      <c r="AA21" s="6" t="str">
        <v>Data Processing Services;Applications Software(Business</v>
      </c>
      <c r="AB21" s="6" t="str">
        <v>Applications Software(Business;Data Processing Services</v>
      </c>
      <c r="AC21" s="8">
        <v>32.5</v>
      </c>
      <c r="AD21" s="7">
        <f>=DATE(1994,10,17)</f>
        <v>34623.99949074074</v>
      </c>
      <c r="AF21" s="8" t="str">
        <v>32.50</v>
      </c>
      <c r="AG21" s="8" t="str">
        <v>41.72</v>
      </c>
      <c r="AH21" s="8" t="str">
        <v>32.50</v>
      </c>
      <c r="AI21" s="8" t="str">
        <v>32.50</v>
      </c>
      <c r="AL21" s="8">
        <v>32.5</v>
      </c>
    </row>
    <row r="22">
      <c r="A22" s="6" t="str">
        <v>594918</v>
      </c>
      <c r="B22" s="6" t="str">
        <v>United States</v>
      </c>
      <c r="C22" s="6" t="str">
        <v>Microsoft Corp</v>
      </c>
      <c r="D22" s="6" t="str">
        <v>Microsoft Corp</v>
      </c>
      <c r="F22" s="6" t="str">
        <v>United Kingdom</v>
      </c>
      <c r="G22" s="6" t="str">
        <v>NextBase Ltd</v>
      </c>
      <c r="H22" s="6" t="str">
        <v>Prepackaged Software</v>
      </c>
      <c r="I22" s="6" t="str">
        <v>65333L</v>
      </c>
      <c r="J22" s="6" t="str">
        <v>NextBase Ltd</v>
      </c>
      <c r="K22" s="6" t="str">
        <v>NextBase Ltd</v>
      </c>
      <c r="L22" s="7">
        <f>=DATE(1994,11,1)</f>
        <v>34638.99949074074</v>
      </c>
      <c r="M22" s="7">
        <f>=DATE(1994,11,1)</f>
        <v>34638.99949074074</v>
      </c>
      <c r="W22" s="6" t="str">
        <v>Internet Services &amp; Software;Other Peripherals;Operating Systems;Applications Software(Business;Computer Consulting Services;Monitors/Terminals</v>
      </c>
      <c r="X22" s="6" t="str">
        <v>Applications Software(Home);Applications Software(Business</v>
      </c>
      <c r="Y22" s="6" t="str">
        <v>Applications Software(Home);Applications Software(Business</v>
      </c>
      <c r="Z22" s="6" t="str">
        <v>Applications Software(Business;Applications Software(Home)</v>
      </c>
      <c r="AA22" s="6" t="str">
        <v>Internet Services &amp; Software;Monitors/Terminals;Applications Software(Business;Computer Consulting Services;Operating Systems;Other Peripherals</v>
      </c>
      <c r="AB22" s="6" t="str">
        <v>Other Peripherals;Applications Software(Business;Computer Consulting Services;Internet Services &amp; Software;Monitors/Terminals;Operating Systems</v>
      </c>
    </row>
    <row r="23">
      <c r="A23" s="6" t="str">
        <v>594918</v>
      </c>
      <c r="B23" s="6" t="str">
        <v>United States</v>
      </c>
      <c r="C23" s="6" t="str">
        <v>Microsoft Corp</v>
      </c>
      <c r="D23" s="6" t="str">
        <v>Microsoft Corp</v>
      </c>
      <c r="F23" s="6" t="str">
        <v>United States</v>
      </c>
      <c r="G23" s="6" t="str">
        <v>One Tree Software</v>
      </c>
      <c r="H23" s="6" t="str">
        <v>Prepackaged Software</v>
      </c>
      <c r="I23" s="6" t="str">
        <v>68242R</v>
      </c>
      <c r="J23" s="6" t="str">
        <v>One Tree Software</v>
      </c>
      <c r="K23" s="6" t="str">
        <v>One Tree Software</v>
      </c>
      <c r="L23" s="7">
        <f>=DATE(1994,11,15)</f>
        <v>34652.99949074074</v>
      </c>
      <c r="M23" s="7">
        <f>=DATE(1994,11,15)</f>
        <v>34652.99949074074</v>
      </c>
      <c r="W23" s="6" t="str">
        <v>Other Peripherals;Computer Consulting Services;Internet Services &amp; Software;Operating Systems;Applications Software(Business;Monitors/Terminals</v>
      </c>
      <c r="X23" s="6" t="str">
        <v>Database Software/Programming</v>
      </c>
      <c r="Y23" s="6" t="str">
        <v>Database Software/Programming</v>
      </c>
      <c r="Z23" s="6" t="str">
        <v>Database Software/Programming</v>
      </c>
      <c r="AA23" s="6" t="str">
        <v>Internet Services &amp; Software;Other Peripherals;Applications Software(Business;Computer Consulting Services;Monitors/Terminals;Operating Systems</v>
      </c>
      <c r="AB23" s="6" t="str">
        <v>Operating Systems;Monitors/Terminals;Applications Software(Business;Other Peripherals;Computer Consulting Services;Internet Services &amp; Software</v>
      </c>
    </row>
    <row r="24">
      <c r="A24" s="6" t="str">
        <v>594918</v>
      </c>
      <c r="B24" s="6" t="str">
        <v>United States</v>
      </c>
      <c r="C24" s="6" t="str">
        <v>Microsoft Corp</v>
      </c>
      <c r="D24" s="6" t="str">
        <v>Microsoft Corp</v>
      </c>
      <c r="F24" s="6" t="str">
        <v>United States</v>
      </c>
      <c r="G24" s="6" t="str">
        <v>UUNet Technologies Inc</v>
      </c>
      <c r="H24" s="6" t="str">
        <v>Business Services</v>
      </c>
      <c r="I24" s="6" t="str">
        <v>918096</v>
      </c>
      <c r="J24" s="6" t="str">
        <v>UUNet Technologies Inc</v>
      </c>
      <c r="K24" s="6" t="str">
        <v>UUNet Technologies Inc</v>
      </c>
      <c r="L24" s="7">
        <f>=DATE(1995,1,12)</f>
        <v>34710.99949074074</v>
      </c>
      <c r="M24" s="7">
        <f>=DATE(1995,1,19)</f>
        <v>34717.99949074074</v>
      </c>
      <c r="W24" s="6" t="str">
        <v>Computer Consulting Services;Internet Services &amp; Software;Monitors/Terminals;Operating Systems;Other Peripherals;Applications Software(Business</v>
      </c>
      <c r="X24" s="6" t="str">
        <v>Communication/Network Software;Internet Services &amp; Software</v>
      </c>
      <c r="Y24" s="6" t="str">
        <v>Communication/Network Software;Internet Services &amp; Software</v>
      </c>
      <c r="Z24" s="6" t="str">
        <v>Communication/Network Software;Internet Services &amp; Software</v>
      </c>
      <c r="AA24" s="6" t="str">
        <v>Monitors/Terminals;Internet Services &amp; Software;Computer Consulting Services;Operating Systems;Other Peripherals;Applications Software(Business</v>
      </c>
      <c r="AB24" s="6" t="str">
        <v>Computer Consulting Services;Other Peripherals;Internet Services &amp; Software;Applications Software(Business;Operating Systems;Monitors/Terminals</v>
      </c>
    </row>
    <row r="25">
      <c r="A25" s="6" t="str">
        <v>594918</v>
      </c>
      <c r="B25" s="6" t="str">
        <v>United States</v>
      </c>
      <c r="C25" s="6" t="str">
        <v>Microsoft Corp</v>
      </c>
      <c r="D25" s="6" t="str">
        <v>Microsoft Corp</v>
      </c>
      <c r="F25" s="6" t="str">
        <v>United Kingdom</v>
      </c>
      <c r="G25" s="6" t="str">
        <v>RenderMorphics Ltd</v>
      </c>
      <c r="H25" s="6" t="str">
        <v>Computer and Office Equipment</v>
      </c>
      <c r="I25" s="6" t="str">
        <v>75992X</v>
      </c>
      <c r="J25" s="6" t="str">
        <v>RenderMorphics Ltd</v>
      </c>
      <c r="K25" s="6" t="str">
        <v>RenderMorphics Ltd</v>
      </c>
      <c r="L25" s="7">
        <f>=DATE(1995,2,23)</f>
        <v>34752.99949074074</v>
      </c>
      <c r="M25" s="7">
        <f>=DATE(1995,2,23)</f>
        <v>34752.99949074074</v>
      </c>
      <c r="W25" s="6" t="str">
        <v>Applications Software(Business;Monitors/Terminals;Computer Consulting Services;Operating Systems;Internet Services &amp; Software;Other Peripherals</v>
      </c>
      <c r="X25" s="6" t="str">
        <v>CAD/CAM/CAE/Graphics Systems</v>
      </c>
      <c r="Y25" s="6" t="str">
        <v>CAD/CAM/CAE/Graphics Systems</v>
      </c>
      <c r="Z25" s="6" t="str">
        <v>CAD/CAM/CAE/Graphics Systems</v>
      </c>
      <c r="AA25" s="6" t="str">
        <v>Applications Software(Business;Monitors/Terminals;Computer Consulting Services;Operating Systems;Other Peripherals;Internet Services &amp; Software</v>
      </c>
      <c r="AB25" s="6" t="str">
        <v>Internet Services &amp; Software;Monitors/Terminals;Other Peripherals;Applications Software(Business;Operating Systems;Computer Consulting Services</v>
      </c>
    </row>
    <row r="26">
      <c r="A26" s="6" t="str">
        <v>594918</v>
      </c>
      <c r="B26" s="6" t="str">
        <v>United States</v>
      </c>
      <c r="C26" s="6" t="str">
        <v>Microsoft Corp</v>
      </c>
      <c r="D26" s="6" t="str">
        <v>Microsoft Corp</v>
      </c>
      <c r="F26" s="6" t="str">
        <v>United States</v>
      </c>
      <c r="G26" s="6" t="str">
        <v>Wang Laboratories Inc</v>
      </c>
      <c r="H26" s="6" t="str">
        <v>Prepackaged Software</v>
      </c>
      <c r="I26" s="6" t="str">
        <v>93369N</v>
      </c>
      <c r="J26" s="6" t="str">
        <v>Wang Laboratories Inc</v>
      </c>
      <c r="K26" s="6" t="str">
        <v>Wang Laboratories Inc</v>
      </c>
      <c r="L26" s="7">
        <f>=DATE(1995,4,12)</f>
        <v>34800.99949074074</v>
      </c>
      <c r="M26" s="7">
        <f>=DATE(1995,5,30)</f>
        <v>34848.99949074074</v>
      </c>
      <c r="N26" s="8">
        <v>90</v>
      </c>
      <c r="O26" s="8">
        <v>90</v>
      </c>
      <c r="P26" s="8" t="str">
        <v>866.20</v>
      </c>
      <c r="R26" s="8">
        <v>-12.4</v>
      </c>
      <c r="S26" s="8">
        <v>855.3</v>
      </c>
      <c r="T26" s="8">
        <v>58.9</v>
      </c>
      <c r="U26" s="8">
        <v>-15.3</v>
      </c>
      <c r="V26" s="8">
        <v>33.7</v>
      </c>
      <c r="W26" s="6" t="str">
        <v>Monitors/Terminals;Other Peripherals;Internet Services &amp; Software;Computer Consulting Services;Applications Software(Business;Operating Systems</v>
      </c>
      <c r="X26" s="6" t="str">
        <v>Applications Software(Business;Communication/Network Software;Other Computer Related Svcs;Workstations;Networking Systems (LAN,WAN);Other Software (inq. Games);Computer Consulting Services</v>
      </c>
      <c r="Y26" s="6" t="str">
        <v>Workstations;Other Computer Related Svcs;Applications Software(Business;Other Software (inq. Games);Computer Consulting Services;Communication/Network Software;Networking Systems (LAN,WAN)</v>
      </c>
      <c r="Z26" s="6" t="str">
        <v>Other Computer Related Svcs;Other Software (inq. Games);Workstations;Communication/Network Software;Applications Software(Business;Computer Consulting Services;Networking Systems (LAN,WAN)</v>
      </c>
      <c r="AA26" s="6" t="str">
        <v>Computer Consulting Services;Other Peripherals;Applications Software(Business;Internet Services &amp; Software;Operating Systems;Monitors/Terminals</v>
      </c>
      <c r="AB26" s="6" t="str">
        <v>Computer Consulting Services;Operating Systems;Monitors/Terminals;Internet Services &amp; Software;Other Peripherals;Applications Software(Business</v>
      </c>
      <c r="AC26" s="8">
        <v>90</v>
      </c>
      <c r="AD26" s="7">
        <f>=DATE(1995,4,12)</f>
        <v>34800.99949074074</v>
      </c>
      <c r="AF26" s="8" t="str">
        <v>866.20</v>
      </c>
      <c r="AG26" s="8" t="str">
        <v>866.20</v>
      </c>
      <c r="AH26" s="8" t="str">
        <v>900.00</v>
      </c>
      <c r="AI26" s="8" t="str">
        <v>900.00</v>
      </c>
      <c r="AL26" s="8">
        <v>90</v>
      </c>
    </row>
    <row r="27">
      <c r="A27" s="6" t="str">
        <v>594918</v>
      </c>
      <c r="B27" s="6" t="str">
        <v>United States</v>
      </c>
      <c r="C27" s="6" t="str">
        <v>Microsoft Corp</v>
      </c>
      <c r="D27" s="6" t="str">
        <v>Microsoft Corp</v>
      </c>
      <c r="F27" s="6" t="str">
        <v>United Kingdom</v>
      </c>
      <c r="G27" s="6" t="str">
        <v>Network Managers PLC</v>
      </c>
      <c r="H27" s="6" t="str">
        <v>Business Services</v>
      </c>
      <c r="I27" s="6" t="str">
        <v>64121I</v>
      </c>
      <c r="J27" s="6" t="str">
        <v>Network Managers PLC</v>
      </c>
      <c r="K27" s="6" t="str">
        <v>Network Managers PLC</v>
      </c>
      <c r="L27" s="7">
        <f>=DATE(1995,7,10)</f>
        <v>34889.99949074074</v>
      </c>
      <c r="M27" s="7">
        <f>=DATE(1995,7,10)</f>
        <v>34889.99949074074</v>
      </c>
      <c r="W27" s="6" t="str">
        <v>Applications Software(Business;Internet Services &amp; Software;Computer Consulting Services;Operating Systems;Monitors/Terminals;Other Peripherals</v>
      </c>
      <c r="X27" s="6" t="str">
        <v>Operating Systems;CAD/CAM/CAE/Graphics Systems;Applications Software(Home);Networking Systems (LAN,WAN);Applications Software(Business;Other Computer Systems</v>
      </c>
      <c r="Y27" s="6" t="str">
        <v>Operating Systems;Applications Software(Business;Other Computer Systems;Applications Software(Home);CAD/CAM/CAE/Graphics Systems;Networking Systems (LAN,WAN)</v>
      </c>
      <c r="Z27" s="6" t="str">
        <v>Applications Software(Home);Applications Software(Business;Other Computer Systems;Networking Systems (LAN,WAN);CAD/CAM/CAE/Graphics Systems;Operating Systems</v>
      </c>
      <c r="AA27" s="6" t="str">
        <v>Monitors/Terminals;Computer Consulting Services;Internet Services &amp; Software;Operating Systems;Other Peripherals;Applications Software(Business</v>
      </c>
      <c r="AB27" s="6" t="str">
        <v>Applications Software(Business;Internet Services &amp; Software;Computer Consulting Services;Other Peripherals;Monitors/Terminals;Operating Systems</v>
      </c>
    </row>
    <row r="28">
      <c r="A28" s="6" t="str">
        <v>127646</v>
      </c>
      <c r="B28" s="6" t="str">
        <v>United States</v>
      </c>
      <c r="C28" s="6" t="str">
        <v>Caere Corp</v>
      </c>
      <c r="D28" s="6" t="str">
        <v>Caere Corp</v>
      </c>
      <c r="F28" s="6" t="str">
        <v>United States</v>
      </c>
      <c r="G28" s="6" t="str">
        <v>ViewStar Corp</v>
      </c>
      <c r="H28" s="6" t="str">
        <v>Business Services</v>
      </c>
      <c r="I28" s="6" t="str">
        <v>92672Y</v>
      </c>
      <c r="J28" s="6" t="str">
        <v>ViewStar Corp</v>
      </c>
      <c r="K28" s="6" t="str">
        <v>ViewStar Corp</v>
      </c>
      <c r="L28" s="7">
        <f>=DATE(1995,10,9)</f>
        <v>34980.99949074074</v>
      </c>
      <c r="N28" s="8">
        <v>37.68</v>
      </c>
      <c r="O28" s="8">
        <v>38.685</v>
      </c>
      <c r="W28" s="6" t="str">
        <v>Data Processing Services;Applications Software(Business</v>
      </c>
      <c r="X28" s="6" t="str">
        <v>Other Peripherals</v>
      </c>
      <c r="Y28" s="6" t="str">
        <v>Other Peripherals</v>
      </c>
      <c r="Z28" s="6" t="str">
        <v>Other Peripherals</v>
      </c>
      <c r="AA28" s="6" t="str">
        <v>Data Processing Services;Applications Software(Business</v>
      </c>
      <c r="AB28" s="6" t="str">
        <v>Applications Software(Business;Data Processing Services</v>
      </c>
      <c r="AC28" s="8">
        <v>38.685</v>
      </c>
      <c r="AD28" s="7">
        <f>=DATE(1995,10,9)</f>
        <v>34980.99949074074</v>
      </c>
      <c r="AL28" s="8">
        <v>38.685</v>
      </c>
    </row>
    <row r="29">
      <c r="A29" s="6" t="str">
        <v>594918</v>
      </c>
      <c r="B29" s="6" t="str">
        <v>United States</v>
      </c>
      <c r="C29" s="6" t="str">
        <v>Microsoft Corp</v>
      </c>
      <c r="D29" s="6" t="str">
        <v>Microsoft Corp</v>
      </c>
      <c r="F29" s="6" t="str">
        <v>United States</v>
      </c>
      <c r="G29" s="6" t="str">
        <v>Individual Inc</v>
      </c>
      <c r="H29" s="6" t="str">
        <v>Business Services</v>
      </c>
      <c r="I29" s="6" t="str">
        <v>455912</v>
      </c>
      <c r="J29" s="6" t="str">
        <v>Individual Inc</v>
      </c>
      <c r="K29" s="6" t="str">
        <v>Individual Inc</v>
      </c>
      <c r="L29" s="7">
        <f>=DATE(1995,10,11)</f>
        <v>34982.99949074074</v>
      </c>
      <c r="M29" s="7">
        <f>=DATE(1995,10,12)</f>
        <v>34983.99949074074</v>
      </c>
      <c r="W29" s="6" t="str">
        <v>Other Peripherals;Applications Software(Business;Monitors/Terminals;Operating Systems;Internet Services &amp; Software;Computer Consulting Services</v>
      </c>
      <c r="X29" s="6" t="str">
        <v>Satellite Communications</v>
      </c>
      <c r="Y29" s="6" t="str">
        <v>Satellite Communications</v>
      </c>
      <c r="Z29" s="6" t="str">
        <v>Satellite Communications</v>
      </c>
      <c r="AA29" s="6" t="str">
        <v>Other Peripherals;Internet Services &amp; Software;Operating Systems;Applications Software(Business;Monitors/Terminals;Computer Consulting Services</v>
      </c>
      <c r="AB29" s="6" t="str">
        <v>Operating Systems;Other Peripherals;Monitors/Terminals;Applications Software(Business;Internet Services &amp; Software;Computer Consulting Services</v>
      </c>
    </row>
    <row r="30">
      <c r="A30" s="6" t="str">
        <v>302131</v>
      </c>
      <c r="B30" s="6" t="str">
        <v>United States</v>
      </c>
      <c r="C30" s="6" t="str">
        <v>Expert Software Inc</v>
      </c>
      <c r="D30" s="6" t="str">
        <v>Expert Software Inc</v>
      </c>
      <c r="F30" s="6" t="str">
        <v>United States</v>
      </c>
      <c r="G30" s="6" t="str">
        <v>Swfte International Ltd</v>
      </c>
      <c r="H30" s="6" t="str">
        <v>Prepackaged Software</v>
      </c>
      <c r="I30" s="6" t="str">
        <v>87070W</v>
      </c>
      <c r="J30" s="6" t="str">
        <v>Swfte International Ltd</v>
      </c>
      <c r="K30" s="6" t="str">
        <v>Swfte International Ltd</v>
      </c>
      <c r="L30" s="7">
        <f>=DATE(1995,10,16)</f>
        <v>34987.99949074074</v>
      </c>
      <c r="M30" s="7">
        <f>=DATE(1995,11,2)</f>
        <v>35004.99949074074</v>
      </c>
      <c r="W30" s="6" t="str">
        <v>Other Software (inq. Games);Applications Software(Business;Applications Software(Home)</v>
      </c>
      <c r="X30" s="6" t="str">
        <v>Applications Software(Home);Other Software (inq. Games)</v>
      </c>
      <c r="Y30" s="6" t="str">
        <v>Other Software (inq. Games);Applications Software(Home)</v>
      </c>
      <c r="Z30" s="6" t="str">
        <v>Other Software (inq. Games);Applications Software(Home)</v>
      </c>
      <c r="AA30" s="6" t="str">
        <v>Applications Software(Business;Applications Software(Home);Other Software (inq. Games)</v>
      </c>
      <c r="AB30" s="6" t="str">
        <v>Other Software (inq. Games);Applications Software(Business;Applications Software(Home)</v>
      </c>
    </row>
    <row r="31">
      <c r="A31" s="6" t="str">
        <v>594918</v>
      </c>
      <c r="B31" s="6" t="str">
        <v>United States</v>
      </c>
      <c r="C31" s="6" t="str">
        <v>Microsoft Corp</v>
      </c>
      <c r="D31" s="6" t="str">
        <v>Microsoft Corp</v>
      </c>
      <c r="F31" s="6" t="str">
        <v>United States</v>
      </c>
      <c r="G31" s="6" t="str">
        <v>Blue Ribbon SoundWorks Ltd</v>
      </c>
      <c r="H31" s="6" t="str">
        <v>Business Services</v>
      </c>
      <c r="I31" s="6" t="str">
        <v>09590W</v>
      </c>
      <c r="J31" s="6" t="str">
        <v>Blue Ribbon SoundWorks Ltd</v>
      </c>
      <c r="K31" s="6" t="str">
        <v>Blue Ribbon SoundWorks Ltd</v>
      </c>
      <c r="L31" s="7">
        <f>=DATE(1995,10,17)</f>
        <v>34988.99949074074</v>
      </c>
      <c r="M31" s="7">
        <f>=DATE(1995,10,17)</f>
        <v>34988.99949074074</v>
      </c>
      <c r="W31" s="6" t="str">
        <v>Applications Software(Business;Internet Services &amp; Software;Computer Consulting Services;Other Peripherals;Operating Systems;Monitors/Terminals</v>
      </c>
      <c r="X31" s="6" t="str">
        <v>Operating Systems</v>
      </c>
      <c r="Y31" s="6" t="str">
        <v>Operating Systems</v>
      </c>
      <c r="Z31" s="6" t="str">
        <v>Operating Systems</v>
      </c>
      <c r="AA31" s="6" t="str">
        <v>Applications Software(Business;Monitors/Terminals;Other Peripherals;Computer Consulting Services;Internet Services &amp; Software;Operating Systems</v>
      </c>
      <c r="AB31" s="6" t="str">
        <v>Monitors/Terminals;Applications Software(Business;Computer Consulting Services;Operating Systems;Internet Services &amp; Software;Other Peripherals</v>
      </c>
    </row>
    <row r="32">
      <c r="A32" s="6" t="str">
        <v>127646</v>
      </c>
      <c r="B32" s="6" t="str">
        <v>United States</v>
      </c>
      <c r="C32" s="6" t="str">
        <v>Caere Corp</v>
      </c>
      <c r="D32" s="6" t="str">
        <v>Caere Corp</v>
      </c>
      <c r="F32" s="6" t="str">
        <v>United States</v>
      </c>
      <c r="G32" s="6" t="str">
        <v>ZyLAB North America LLC</v>
      </c>
      <c r="H32" s="6" t="str">
        <v>Business Services</v>
      </c>
      <c r="I32" s="6" t="str">
        <v>4L2195</v>
      </c>
      <c r="J32" s="6" t="str">
        <v>C-CUBED Corp</v>
      </c>
      <c r="K32" s="6" t="str">
        <v>ZyCo Inc</v>
      </c>
      <c r="L32" s="7">
        <f>=DATE(1995,11,2)</f>
        <v>35004.99949074074</v>
      </c>
      <c r="N32" s="8">
        <v>2.4</v>
      </c>
      <c r="O32" s="8">
        <v>2.4</v>
      </c>
      <c r="W32" s="6" t="str">
        <v>Applications Software(Business;Data Processing Services</v>
      </c>
      <c r="X32" s="6" t="str">
        <v>Programming Services</v>
      </c>
      <c r="Y32" s="6" t="str">
        <v>Other Software (inq. Games)</v>
      </c>
      <c r="Z32" s="6" t="str">
        <v>Primary Business not Hi-Tech</v>
      </c>
      <c r="AA32" s="6" t="str">
        <v>Applications Software(Business;Data Processing Services</v>
      </c>
      <c r="AB32" s="6" t="str">
        <v>Data Processing Services;Applications Software(Business</v>
      </c>
      <c r="AC32" s="8">
        <v>2.4</v>
      </c>
      <c r="AL32" s="8">
        <v>2.4</v>
      </c>
    </row>
    <row r="33">
      <c r="A33" s="6" t="str">
        <v>594918</v>
      </c>
      <c r="B33" s="6" t="str">
        <v>United States</v>
      </c>
      <c r="C33" s="6" t="str">
        <v>Microsoft Corp</v>
      </c>
      <c r="D33" s="6" t="str">
        <v>Microsoft Corp</v>
      </c>
      <c r="F33" s="6" t="str">
        <v>United States</v>
      </c>
      <c r="G33" s="6" t="str">
        <v>Netwise Inc</v>
      </c>
      <c r="H33" s="6" t="str">
        <v>Prepackaged Software</v>
      </c>
      <c r="I33" s="6" t="str">
        <v>64158W</v>
      </c>
      <c r="J33" s="6" t="str">
        <v>Netwise Inc</v>
      </c>
      <c r="K33" s="6" t="str">
        <v>Netwise Inc</v>
      </c>
      <c r="L33" s="7">
        <f>=DATE(1995,11,6)</f>
        <v>35008.99949074074</v>
      </c>
      <c r="M33" s="7">
        <f>=DATE(1995,11,6)</f>
        <v>35008.99949074074</v>
      </c>
      <c r="S33" s="8">
        <v>10</v>
      </c>
      <c r="W33" s="6" t="str">
        <v>Computer Consulting Services;Other Peripherals;Internet Services &amp; Software;Applications Software(Business;Operating Systems;Monitors/Terminals</v>
      </c>
      <c r="X33" s="6" t="str">
        <v>Database Software/Programming;Utilities/File Mgmt Software;Other Computer Systems;Communication/Network Software</v>
      </c>
      <c r="Y33" s="6" t="str">
        <v>Communication/Network Software;Utilities/File Mgmt Software;Database Software/Programming;Other Computer Systems</v>
      </c>
      <c r="Z33" s="6" t="str">
        <v>Database Software/Programming;Other Computer Systems;Communication/Network Software;Utilities/File Mgmt Software</v>
      </c>
      <c r="AA33" s="6" t="str">
        <v>Internet Services &amp; Software;Other Peripherals;Applications Software(Business;Monitors/Terminals;Operating Systems;Computer Consulting Services</v>
      </c>
      <c r="AB33" s="6" t="str">
        <v>Operating Systems;Computer Consulting Services;Applications Software(Business;Monitors/Terminals;Internet Services &amp; Software;Other Peripherals</v>
      </c>
    </row>
    <row r="34">
      <c r="A34" s="6" t="str">
        <v>594918</v>
      </c>
      <c r="B34" s="6" t="str">
        <v>United States</v>
      </c>
      <c r="C34" s="6" t="str">
        <v>Microsoft Corp</v>
      </c>
      <c r="D34" s="6" t="str">
        <v>Microsoft Corp</v>
      </c>
      <c r="F34" s="6" t="str">
        <v>United States</v>
      </c>
      <c r="G34" s="6" t="str">
        <v>Bruce Artwick Organization</v>
      </c>
      <c r="H34" s="6" t="str">
        <v>Business Services</v>
      </c>
      <c r="I34" s="6" t="str">
        <v>04315M</v>
      </c>
      <c r="J34" s="6" t="str">
        <v>Bruce Artwick Organization</v>
      </c>
      <c r="K34" s="6" t="str">
        <v>Bruce Artwick Organization</v>
      </c>
      <c r="L34" s="7">
        <f>=DATE(1995,12,11)</f>
        <v>35043.99949074074</v>
      </c>
      <c r="M34" s="7">
        <f>=DATE(1995,12,12)</f>
        <v>35044.99949074074</v>
      </c>
      <c r="W34" s="6" t="str">
        <v>Internet Services &amp; Software;Other Peripherals;Computer Consulting Services;Operating Systems;Applications Software(Business;Monitors/Terminals</v>
      </c>
      <c r="X34" s="6" t="str">
        <v>Programming Services</v>
      </c>
      <c r="Y34" s="6" t="str">
        <v>Programming Services</v>
      </c>
      <c r="Z34" s="6" t="str">
        <v>Programming Services</v>
      </c>
      <c r="AA34" s="6" t="str">
        <v>Internet Services &amp; Software;Computer Consulting Services;Applications Software(Business;Monitors/Terminals;Other Peripherals;Operating Systems</v>
      </c>
      <c r="AB34" s="6" t="str">
        <v>Applications Software(Business;Monitors/Terminals;Operating Systems;Computer Consulting Services;Internet Services &amp; Software;Other Peripherals</v>
      </c>
    </row>
    <row r="35">
      <c r="A35" s="6" t="str">
        <v>68628K</v>
      </c>
      <c r="B35" s="6" t="str">
        <v>United States</v>
      </c>
      <c r="C35" s="6" t="str">
        <v>Orion Network Systems Inc</v>
      </c>
      <c r="D35" s="6" t="str">
        <v>Orion Network Systems Inc</v>
      </c>
      <c r="F35" s="6" t="str">
        <v>United States</v>
      </c>
      <c r="G35" s="6" t="str">
        <v>Orion Atlantic</v>
      </c>
      <c r="H35" s="6" t="str">
        <v>Telecommunications</v>
      </c>
      <c r="I35" s="6" t="str">
        <v>68626Z</v>
      </c>
      <c r="J35" s="6" t="str">
        <v>Orion Atlantic</v>
      </c>
      <c r="K35" s="6" t="str">
        <v>Orion Atlantic</v>
      </c>
      <c r="L35" s="7">
        <f>=DATE(1995,12,15)</f>
        <v>35047.99949074074</v>
      </c>
      <c r="M35" s="7">
        <f>=DATE(1995,12,15)</f>
        <v>35047.99949074074</v>
      </c>
      <c r="N35" s="8">
        <v>8</v>
      </c>
      <c r="O35" s="8">
        <v>8</v>
      </c>
      <c r="W35" s="6" t="str">
        <v>Primary Business not Hi-Tech</v>
      </c>
      <c r="X35" s="6" t="str">
        <v>Communication/Network Software;Cellular Communications</v>
      </c>
      <c r="Y35" s="6" t="str">
        <v>Cellular Communications;Communication/Network Software</v>
      </c>
      <c r="Z35" s="6" t="str">
        <v>Communication/Network Software;Cellular Communications</v>
      </c>
      <c r="AA35" s="6" t="str">
        <v>Primary Business not Hi-Tech</v>
      </c>
      <c r="AB35" s="6" t="str">
        <v>Primary Business not Hi-Tech</v>
      </c>
      <c r="AC35" s="8">
        <v>8</v>
      </c>
      <c r="AD35" s="7">
        <f>=DATE(1995,12,15)</f>
        <v>35047.99949074074</v>
      </c>
      <c r="AF35" s="8" t="str">
        <v>96.39</v>
      </c>
      <c r="AG35" s="8" t="str">
        <v>96.39</v>
      </c>
      <c r="AH35" s="8" t="str">
        <v>96.39</v>
      </c>
      <c r="AI35" s="8" t="str">
        <v>96.39</v>
      </c>
      <c r="AL35" s="8">
        <v>8</v>
      </c>
    </row>
    <row r="36">
      <c r="A36" s="6" t="str">
        <v>594918</v>
      </c>
      <c r="B36" s="6" t="str">
        <v>United States</v>
      </c>
      <c r="C36" s="6" t="str">
        <v>Microsoft Corp</v>
      </c>
      <c r="D36" s="6" t="str">
        <v>Microsoft Corp</v>
      </c>
      <c r="F36" s="6" t="str">
        <v>India</v>
      </c>
      <c r="G36" s="6" t="str">
        <v>Microsoft Corp(I)Pvt Ltd</v>
      </c>
      <c r="H36" s="6" t="str">
        <v>Prepackaged Software</v>
      </c>
      <c r="I36" s="6" t="str">
        <v>59494N</v>
      </c>
      <c r="J36" s="6" t="str">
        <v>Microsoft Corp</v>
      </c>
      <c r="K36" s="6" t="str">
        <v>Microsoft Corp</v>
      </c>
      <c r="L36" s="7">
        <f>=DATE(1995,12,27)</f>
        <v>35059.99949074074</v>
      </c>
      <c r="W36" s="6" t="str">
        <v>Internet Services &amp; Software;Computer Consulting Services;Monitors/Terminals;Applications Software(Business;Other Peripherals;Operating Systems</v>
      </c>
      <c r="X36" s="6" t="str">
        <v>Networking Systems (LAN,WAN);Other Peripherals;Database Software/Programming;Applications Software(Business;Monitors/Terminals;Operating Systems;Communication/Network Software;Computer Consulting Services</v>
      </c>
      <c r="Y36" s="6" t="str">
        <v>Internet Services &amp; Software;Other Peripherals;Monitors/Terminals;Applications Software(Business;Computer Consulting Services;Operating Systems</v>
      </c>
      <c r="Z36" s="6" t="str">
        <v>Operating Systems;Other Peripherals;Monitors/Terminals;Applications Software(Business;Internet Services &amp; Software;Computer Consulting Services</v>
      </c>
      <c r="AA36" s="6" t="str">
        <v>Internet Services &amp; Software;Other Peripherals;Operating Systems;Computer Consulting Services;Monitors/Terminals;Applications Software(Business</v>
      </c>
      <c r="AB36" s="6" t="str">
        <v>Operating Systems;Computer Consulting Services;Internet Services &amp; Software;Other Peripherals;Applications Software(Business;Monitors/Terminals</v>
      </c>
    </row>
    <row r="37">
      <c r="A37" s="6" t="str">
        <v>594918</v>
      </c>
      <c r="B37" s="6" t="str">
        <v>United States</v>
      </c>
      <c r="C37" s="6" t="str">
        <v>Microsoft Corp</v>
      </c>
      <c r="D37" s="6" t="str">
        <v>Microsoft Corp</v>
      </c>
      <c r="F37" s="6" t="str">
        <v>United States</v>
      </c>
      <c r="G37" s="6" t="str">
        <v>Vermeer Technologies</v>
      </c>
      <c r="H37" s="6" t="str">
        <v>Prepackaged Software</v>
      </c>
      <c r="I37" s="6" t="str">
        <v>92346C</v>
      </c>
      <c r="J37" s="6" t="str">
        <v>Vermeer Technologies</v>
      </c>
      <c r="K37" s="6" t="str">
        <v>Vermeer Technologies</v>
      </c>
      <c r="L37" s="7">
        <f>=DATE(1996,1,16)</f>
        <v>35079.99949074074</v>
      </c>
      <c r="M37" s="7">
        <f>=DATE(1996,1,16)</f>
        <v>35079.99949074074</v>
      </c>
      <c r="W37" s="6" t="str">
        <v>Computer Consulting Services;Other Peripherals;Applications Software(Business;Operating Systems;Internet Services &amp; Software;Monitors/Terminals</v>
      </c>
      <c r="X37" s="6" t="str">
        <v>Communication/Network Software</v>
      </c>
      <c r="Y37" s="6" t="str">
        <v>Communication/Network Software</v>
      </c>
      <c r="Z37" s="6" t="str">
        <v>Communication/Network Software</v>
      </c>
      <c r="AA37" s="6" t="str">
        <v>Computer Consulting Services;Internet Services &amp; Software;Applications Software(Business;Monitors/Terminals;Other Peripherals;Operating Systems</v>
      </c>
      <c r="AB37" s="6" t="str">
        <v>Other Peripherals;Internet Services &amp; Software;Applications Software(Business;Operating Systems;Monitors/Terminals;Computer Consulting Services</v>
      </c>
    </row>
    <row r="38">
      <c r="A38" s="6" t="str">
        <v>35158A</v>
      </c>
      <c r="B38" s="6" t="str">
        <v>United States</v>
      </c>
      <c r="C38" s="6" t="str">
        <v>Fox Software Inc(Microsoft Corp)</v>
      </c>
      <c r="D38" s="6" t="str">
        <v>Microsoft Corp</v>
      </c>
      <c r="F38" s="6" t="str">
        <v>Germany</v>
      </c>
      <c r="G38" s="6" t="str">
        <v>VGA-Animation Software Division</v>
      </c>
      <c r="H38" s="6" t="str">
        <v>Prepackaged Software</v>
      </c>
      <c r="I38" s="6" t="str">
        <v>91791Y</v>
      </c>
      <c r="J38" s="6" t="str">
        <v>VGA</v>
      </c>
      <c r="K38" s="6" t="str">
        <v>VGA</v>
      </c>
      <c r="L38" s="7">
        <f>=DATE(1996,3,6)</f>
        <v>35129.99949074074</v>
      </c>
      <c r="M38" s="7">
        <f>=DATE(1996,3,6)</f>
        <v>35129.99949074074</v>
      </c>
      <c r="W38" s="6" t="str">
        <v>Database Software/Programming;Applications Software(Business;Other Software (inq. Games);Other Peripherals</v>
      </c>
      <c r="X38" s="6" t="str">
        <v>Other Software (inq. Games)</v>
      </c>
      <c r="Y38" s="6" t="str">
        <v>Other Software (inq. Games)</v>
      </c>
      <c r="Z38" s="6" t="str">
        <v>Other Software (inq. Games)</v>
      </c>
      <c r="AA38" s="6" t="str">
        <v>Operating Systems;Other Peripherals;Internet Services &amp; Software;Monitors/Terminals;Applications Software(Business;Computer Consulting Services</v>
      </c>
      <c r="AB38" s="6" t="str">
        <v>Other Peripherals;Computer Consulting Services;Applications Software(Business;Operating Systems;Internet Services &amp; Software;Monitors/Terminals</v>
      </c>
    </row>
    <row r="39">
      <c r="A39" s="6" t="str">
        <v>594918</v>
      </c>
      <c r="B39" s="6" t="str">
        <v>United States</v>
      </c>
      <c r="C39" s="6" t="str">
        <v>Microsoft Corp</v>
      </c>
      <c r="D39" s="6" t="str">
        <v>Microsoft Corp</v>
      </c>
      <c r="F39" s="6" t="str">
        <v>United States</v>
      </c>
      <c r="G39" s="6" t="str">
        <v>Aspect Software Engineering</v>
      </c>
      <c r="H39" s="6" t="str">
        <v>Prepackaged Software</v>
      </c>
      <c r="I39" s="6" t="str">
        <v>04524Y</v>
      </c>
      <c r="J39" s="6" t="str">
        <v>Aspect Software Engineering</v>
      </c>
      <c r="K39" s="6" t="str">
        <v>Aspect Software Engineering</v>
      </c>
      <c r="L39" s="7">
        <f>=DATE(1996,3,12)</f>
        <v>35135.99949074074</v>
      </c>
      <c r="M39" s="7">
        <f>=DATE(1996,4,23)</f>
        <v>35177.99949074074</v>
      </c>
      <c r="N39" s="8">
        <v>14.15</v>
      </c>
      <c r="O39" s="8">
        <v>14.15</v>
      </c>
      <c r="W39" s="6" t="str">
        <v>Operating Systems;Internet Services &amp; Software;Computer Consulting Services;Monitors/Terminals;Other Peripherals;Applications Software(Business</v>
      </c>
      <c r="X39" s="6" t="str">
        <v>Other Software (inq. Games)</v>
      </c>
      <c r="Y39" s="6" t="str">
        <v>Other Software (inq. Games)</v>
      </c>
      <c r="Z39" s="6" t="str">
        <v>Other Software (inq. Games)</v>
      </c>
      <c r="AA39" s="6" t="str">
        <v>Internet Services &amp; Software;Monitors/Terminals;Computer Consulting Services;Operating Systems;Applications Software(Business;Other Peripherals</v>
      </c>
      <c r="AB39" s="6" t="str">
        <v>Other Peripherals;Computer Consulting Services;Operating Systems;Applications Software(Business;Monitors/Terminals;Internet Services &amp; Software</v>
      </c>
      <c r="AC39" s="8">
        <v>14.15</v>
      </c>
      <c r="AD39" s="7">
        <f>=DATE(1996,4,23)</f>
        <v>35177.99949074074</v>
      </c>
      <c r="AF39" s="8" t="str">
        <v>14.15</v>
      </c>
      <c r="AG39" s="8" t="str">
        <v>14.15</v>
      </c>
      <c r="AH39" s="8" t="str">
        <v>14.15</v>
      </c>
      <c r="AI39" s="8" t="str">
        <v>14.15</v>
      </c>
      <c r="AL39" s="8">
        <v>14.15</v>
      </c>
    </row>
    <row r="40">
      <c r="A40" s="6" t="str">
        <v>594918</v>
      </c>
      <c r="B40" s="6" t="str">
        <v>United States</v>
      </c>
      <c r="C40" s="6" t="str">
        <v>Microsoft Corp</v>
      </c>
      <c r="D40" s="6" t="str">
        <v>Microsoft Corp</v>
      </c>
      <c r="F40" s="6" t="str">
        <v>United States</v>
      </c>
      <c r="G40" s="6" t="str">
        <v>Colusa Software Inc</v>
      </c>
      <c r="H40" s="6" t="str">
        <v>Prepackaged Software</v>
      </c>
      <c r="I40" s="6" t="str">
        <v>19690W</v>
      </c>
      <c r="J40" s="6" t="str">
        <v>Colusa Software Inc</v>
      </c>
      <c r="K40" s="6" t="str">
        <v>Colusa Software Inc</v>
      </c>
      <c r="L40" s="7">
        <f>=DATE(1996,3,12)</f>
        <v>35135.99949074074</v>
      </c>
      <c r="M40" s="7">
        <f>=DATE(1996,3,12)</f>
        <v>35135.99949074074</v>
      </c>
      <c r="W40" s="6" t="str">
        <v>Internet Services &amp; Software;Monitors/Terminals;Computer Consulting Services;Applications Software(Business;Other Peripherals;Operating Systems</v>
      </c>
      <c r="X40" s="6" t="str">
        <v>Applications Software(Home);Applications Software(Business;Database Software/Programming;Other Software (inq. Games)</v>
      </c>
      <c r="Y40" s="6" t="str">
        <v>Database Software/Programming;Other Software (inq. Games);Applications Software(Home);Applications Software(Business</v>
      </c>
      <c r="Z40" s="6" t="str">
        <v>Applications Software(Business;Other Software (inq. Games);Database Software/Programming;Applications Software(Home)</v>
      </c>
      <c r="AA40" s="6" t="str">
        <v>Applications Software(Business;Operating Systems;Other Peripherals;Monitors/Terminals;Computer Consulting Services;Internet Services &amp; Software</v>
      </c>
      <c r="AB40" s="6" t="str">
        <v>Monitors/Terminals;Operating Systems;Internet Services &amp; Software;Applications Software(Business;Other Peripherals;Computer Consulting Services</v>
      </c>
    </row>
    <row r="41">
      <c r="A41" s="6" t="str">
        <v>594918</v>
      </c>
      <c r="B41" s="6" t="str">
        <v>United States</v>
      </c>
      <c r="C41" s="6" t="str">
        <v>Microsoft Corp</v>
      </c>
      <c r="D41" s="6" t="str">
        <v>Microsoft Corp</v>
      </c>
      <c r="F41" s="6" t="str">
        <v>United States</v>
      </c>
      <c r="G41" s="6" t="str">
        <v>Mobile Telecommunications Technologies Corp</v>
      </c>
      <c r="H41" s="6" t="str">
        <v>Telecommunications</v>
      </c>
      <c r="I41" s="6" t="str">
        <v>607406</v>
      </c>
      <c r="J41" s="6" t="str">
        <v>Mobile Telecommunications Technologies Corp</v>
      </c>
      <c r="K41" s="6" t="str">
        <v>Mobile Telecommunications Technologies Corp</v>
      </c>
      <c r="L41" s="7">
        <f>=DATE(1996,4,1)</f>
        <v>35155.99949074074</v>
      </c>
      <c r="M41" s="7">
        <f>=DATE(1996,4,1)</f>
        <v>35155.99949074074</v>
      </c>
      <c r="N41" s="8">
        <v>25</v>
      </c>
      <c r="O41" s="8">
        <v>25</v>
      </c>
      <c r="P41" s="8" t="str">
        <v>1,512.48</v>
      </c>
      <c r="R41" s="8">
        <v>-52.027</v>
      </c>
      <c r="S41" s="8">
        <v>245.991</v>
      </c>
      <c r="T41" s="8">
        <v>61.119</v>
      </c>
      <c r="U41" s="8">
        <v>-207.686</v>
      </c>
      <c r="V41" s="8">
        <v>10.559</v>
      </c>
      <c r="W41" s="6" t="str">
        <v>Operating Systems;Applications Software(Business;Other Peripherals;Internet Services &amp; Software;Monitors/Terminals;Computer Consulting Services</v>
      </c>
      <c r="X41" s="6" t="str">
        <v>Cellular Communications</v>
      </c>
      <c r="Y41" s="6" t="str">
        <v>Cellular Communications</v>
      </c>
      <c r="Z41" s="6" t="str">
        <v>Cellular Communications</v>
      </c>
      <c r="AA41" s="6" t="str">
        <v>Computer Consulting Services;Other Peripherals;Applications Software(Business;Internet Services &amp; Software;Operating Systems;Monitors/Terminals</v>
      </c>
      <c r="AB41" s="6" t="str">
        <v>Other Peripherals;Operating Systems;Monitors/Terminals;Internet Services &amp; Software;Computer Consulting Services;Applications Software(Business</v>
      </c>
      <c r="AC41" s="8">
        <v>25</v>
      </c>
      <c r="AD41" s="7">
        <f>=DATE(1996,4,1)</f>
        <v>35155.99949074074</v>
      </c>
      <c r="AF41" s="8" t="str">
        <v>1,512.42</v>
      </c>
      <c r="AG41" s="8" t="str">
        <v>1,512.42</v>
      </c>
      <c r="AH41" s="8" t="str">
        <v>1,000.00</v>
      </c>
      <c r="AI41" s="8" t="str">
        <v>1,000.00</v>
      </c>
      <c r="AL41" s="8">
        <v>25</v>
      </c>
    </row>
    <row r="42">
      <c r="A42" s="6" t="str">
        <v>594918</v>
      </c>
      <c r="B42" s="6" t="str">
        <v>United States</v>
      </c>
      <c r="C42" s="6" t="str">
        <v>Microsoft Corp</v>
      </c>
      <c r="D42" s="6" t="str">
        <v>Microsoft Corp</v>
      </c>
      <c r="F42" s="6" t="str">
        <v>United States</v>
      </c>
      <c r="G42" s="6" t="str">
        <v>Aha! Software Corp</v>
      </c>
      <c r="H42" s="6" t="str">
        <v>Prepackaged Software</v>
      </c>
      <c r="I42" s="6" t="str">
        <v>00868X</v>
      </c>
      <c r="J42" s="6" t="str">
        <v>Aha! Software Corp</v>
      </c>
      <c r="K42" s="6" t="str">
        <v>Aha! Software Corp</v>
      </c>
      <c r="L42" s="7">
        <f>=DATE(1996,4,8)</f>
        <v>35162.99949074074</v>
      </c>
      <c r="W42" s="6" t="str">
        <v>Internet Services &amp; Software;Monitors/Terminals;Applications Software(Business;Operating Systems;Other Peripherals;Computer Consulting Services</v>
      </c>
      <c r="X42" s="6" t="str">
        <v>Other Software (inq. Games)</v>
      </c>
      <c r="Y42" s="6" t="str">
        <v>Other Software (inq. Games)</v>
      </c>
      <c r="Z42" s="6" t="str">
        <v>Other Software (inq. Games)</v>
      </c>
      <c r="AA42" s="6" t="str">
        <v>Computer Consulting Services;Applications Software(Business;Other Peripherals;Internet Services &amp; Software;Monitors/Terminals;Operating Systems</v>
      </c>
      <c r="AB42" s="6" t="str">
        <v>Operating Systems;Computer Consulting Services;Internet Services &amp; Software;Other Peripherals;Applications Software(Business;Monitors/Terminals</v>
      </c>
    </row>
    <row r="43">
      <c r="A43" s="6" t="str">
        <v>127646</v>
      </c>
      <c r="B43" s="6" t="str">
        <v>United States</v>
      </c>
      <c r="C43" s="6" t="str">
        <v>Caere Corp</v>
      </c>
      <c r="D43" s="6" t="str">
        <v>Caere Corp</v>
      </c>
      <c r="F43" s="6" t="str">
        <v>United States</v>
      </c>
      <c r="G43" s="6" t="str">
        <v>Caere Corp</v>
      </c>
      <c r="H43" s="6" t="str">
        <v>Prepackaged Software</v>
      </c>
      <c r="I43" s="6" t="str">
        <v>127646</v>
      </c>
      <c r="J43" s="6" t="str">
        <v>Caere Corp</v>
      </c>
      <c r="K43" s="6" t="str">
        <v>Caere Corp</v>
      </c>
      <c r="L43" s="7">
        <f>=DATE(1996,4,15)</f>
        <v>35169.99949074074</v>
      </c>
      <c r="N43" s="8">
        <v>10.0625</v>
      </c>
      <c r="O43" s="8">
        <v>10.0625</v>
      </c>
      <c r="P43" s="8" t="str">
        <v>85.90</v>
      </c>
      <c r="R43" s="8">
        <v>2.397</v>
      </c>
      <c r="S43" s="8">
        <v>51.939</v>
      </c>
      <c r="T43" s="8">
        <v>1.529</v>
      </c>
      <c r="U43" s="8">
        <v>1.959</v>
      </c>
      <c r="V43" s="8">
        <v>3.181</v>
      </c>
      <c r="W43" s="6" t="str">
        <v>Applications Software(Business;Data Processing Services</v>
      </c>
      <c r="X43" s="6" t="str">
        <v>Data Processing Services;Applications Software(Business</v>
      </c>
      <c r="Y43" s="6" t="str">
        <v>Applications Software(Business;Data Processing Services</v>
      </c>
      <c r="Z43" s="6" t="str">
        <v>Data Processing Services;Applications Software(Business</v>
      </c>
      <c r="AA43" s="6" t="str">
        <v>Data Processing Services;Applications Software(Business</v>
      </c>
      <c r="AB43" s="6" t="str">
        <v>Data Processing Services;Applications Software(Business</v>
      </c>
      <c r="AC43" s="8">
        <v>10.0625</v>
      </c>
      <c r="AD43" s="7">
        <f>=DATE(1996,4,15)</f>
        <v>35169.99949074074</v>
      </c>
      <c r="AE43" s="8">
        <v>133.147</v>
      </c>
      <c r="AF43" s="8" t="str">
        <v>85.38</v>
      </c>
      <c r="AI43" s="8" t="str">
        <v>133.15</v>
      </c>
      <c r="AL43" s="8">
        <v>10.0625</v>
      </c>
    </row>
    <row r="44">
      <c r="A44" s="6" t="str">
        <v>594918</v>
      </c>
      <c r="B44" s="6" t="str">
        <v>United States</v>
      </c>
      <c r="C44" s="6" t="str">
        <v>Microsoft Corp</v>
      </c>
      <c r="D44" s="6" t="str">
        <v>Microsoft Corp</v>
      </c>
      <c r="F44" s="6" t="str">
        <v>United States</v>
      </c>
      <c r="G44" s="6" t="str">
        <v>Exos Inc</v>
      </c>
      <c r="H44" s="6" t="str">
        <v>Miscellaneous Manufacturing</v>
      </c>
      <c r="I44" s="6" t="str">
        <v>30222N</v>
      </c>
      <c r="J44" s="6" t="str">
        <v>Exos Inc</v>
      </c>
      <c r="K44" s="6" t="str">
        <v>Exos Inc</v>
      </c>
      <c r="L44" s="7">
        <f>=DATE(1996,4,16)</f>
        <v>35170.99949074074</v>
      </c>
      <c r="M44" s="7">
        <f>=DATE(1996,4,16)</f>
        <v>35170.99949074074</v>
      </c>
      <c r="W44" s="6" t="str">
        <v>Operating Systems;Applications Software(Business;Monitors/Terminals;Other Peripherals;Internet Services &amp; Software;Computer Consulting Services</v>
      </c>
      <c r="X44" s="6" t="str">
        <v>Other Electronics</v>
      </c>
      <c r="Y44" s="6" t="str">
        <v>Other Electronics</v>
      </c>
      <c r="Z44" s="6" t="str">
        <v>Other Electronics</v>
      </c>
      <c r="AA44" s="6" t="str">
        <v>Monitors/Terminals;Operating Systems;Internet Services &amp; Software;Other Peripherals;Applications Software(Business;Computer Consulting Services</v>
      </c>
      <c r="AB44" s="6" t="str">
        <v>Computer Consulting Services;Applications Software(Business;Monitors/Terminals;Operating Systems;Internet Services &amp; Software;Other Peripherals</v>
      </c>
    </row>
    <row r="45">
      <c r="A45" s="6" t="str">
        <v>594918</v>
      </c>
      <c r="B45" s="6" t="str">
        <v>United States</v>
      </c>
      <c r="C45" s="6" t="str">
        <v>Microsoft Corp</v>
      </c>
      <c r="D45" s="6" t="str">
        <v>Microsoft Corp</v>
      </c>
      <c r="F45" s="6" t="str">
        <v>United States</v>
      </c>
      <c r="G45" s="6" t="str">
        <v>eShop Inc</v>
      </c>
      <c r="H45" s="6" t="str">
        <v>Prepackaged Software</v>
      </c>
      <c r="I45" s="6" t="str">
        <v>88074N</v>
      </c>
      <c r="J45" s="6" t="str">
        <v>eShop Inc</v>
      </c>
      <c r="K45" s="6" t="str">
        <v>eShop Inc</v>
      </c>
      <c r="L45" s="7">
        <f>=DATE(1996,6,10)</f>
        <v>35225.99949074074</v>
      </c>
      <c r="M45" s="7">
        <f>=DATE(1996,6,11)</f>
        <v>35226.99949074074</v>
      </c>
      <c r="W45" s="6" t="str">
        <v>Applications Software(Business;Operating Systems;Computer Consulting Services;Other Peripherals;Internet Services &amp; Software;Monitors/Terminals</v>
      </c>
      <c r="X45" s="6" t="str">
        <v>Applications Software(Business;Applications Software(Home)</v>
      </c>
      <c r="Y45" s="6" t="str">
        <v>Applications Software(Business;Applications Software(Home)</v>
      </c>
      <c r="Z45" s="6" t="str">
        <v>Applications Software(Home);Applications Software(Business</v>
      </c>
      <c r="AA45" s="6" t="str">
        <v>Operating Systems;Applications Software(Business;Other Peripherals;Monitors/Terminals;Internet Services &amp; Software;Computer Consulting Services</v>
      </c>
      <c r="AB45" s="6" t="str">
        <v>Other Peripherals;Operating Systems;Monitors/Terminals;Applications Software(Business;Computer Consulting Services;Internet Services &amp; Software</v>
      </c>
    </row>
    <row r="46">
      <c r="A46" s="6" t="str">
        <v>594918</v>
      </c>
      <c r="B46" s="6" t="str">
        <v>United States</v>
      </c>
      <c r="C46" s="6" t="str">
        <v>Microsoft Corp</v>
      </c>
      <c r="D46" s="6" t="str">
        <v>Microsoft Corp</v>
      </c>
      <c r="E46" s="6" t="str">
        <v>Microsoft Corp</v>
      </c>
      <c r="F46" s="6" t="str">
        <v>United States</v>
      </c>
      <c r="G46" s="6" t="str">
        <v>Microsoft Corp</v>
      </c>
      <c r="H46" s="6" t="str">
        <v>Prepackaged Software</v>
      </c>
      <c r="I46" s="6" t="str">
        <v>594918</v>
      </c>
      <c r="J46" s="6" t="str">
        <v>Microsoft Corp</v>
      </c>
      <c r="K46" s="6" t="str">
        <v>Microsoft Corp</v>
      </c>
      <c r="L46" s="7">
        <f>=DATE(1996,7,3)</f>
        <v>35248.99949074074</v>
      </c>
      <c r="Q46" s="8" t="str">
        <v>1,374.91</v>
      </c>
      <c r="R46" s="8">
        <v>2195</v>
      </c>
      <c r="S46" s="8">
        <v>8671</v>
      </c>
      <c r="T46" s="8">
        <v>-405</v>
      </c>
      <c r="U46" s="8">
        <v>-2670</v>
      </c>
      <c r="V46" s="8">
        <v>3719</v>
      </c>
      <c r="W46" s="6" t="str">
        <v>Monitors/Terminals;Computer Consulting Services;Operating Systems;Applications Software(Business;Other Peripherals;Internet Services &amp; Software</v>
      </c>
      <c r="X46" s="6" t="str">
        <v>Computer Consulting Services;Monitors/Terminals;Operating Systems;Internet Services &amp; Software;Applications Software(Business;Other Peripherals</v>
      </c>
      <c r="Y46" s="6" t="str">
        <v>Operating Systems;Computer Consulting Services;Applications Software(Business;Other Peripherals;Internet Services &amp; Software;Monitors/Terminals</v>
      </c>
      <c r="Z46" s="6" t="str">
        <v>Computer Consulting Services;Operating Systems;Applications Software(Business;Other Peripherals;Monitors/Terminals;Internet Services &amp; Software</v>
      </c>
      <c r="AA46" s="6" t="str">
        <v>Applications Software(Business;Computer Consulting Services;Operating Systems;Other Peripherals;Monitors/Terminals;Internet Services &amp; Software</v>
      </c>
      <c r="AB46" s="6" t="str">
        <v>Computer Consulting Services;Internet Services &amp; Software;Applications Software(Business;Other Peripherals;Operating Systems;Monitors/Terminals</v>
      </c>
    </row>
    <row r="47">
      <c r="A47" s="6" t="str">
        <v>037833</v>
      </c>
      <c r="B47" s="6" t="str">
        <v>United States</v>
      </c>
      <c r="C47" s="6" t="str">
        <v>Apple Computer Inc</v>
      </c>
      <c r="D47" s="6" t="str">
        <v>Apple Computer Inc</v>
      </c>
      <c r="F47" s="6" t="str">
        <v>United States</v>
      </c>
      <c r="G47" s="6" t="str">
        <v>Be Inc</v>
      </c>
      <c r="H47" s="6" t="str">
        <v>Prepackaged Software</v>
      </c>
      <c r="I47" s="6" t="str">
        <v>073309</v>
      </c>
      <c r="J47" s="6" t="str">
        <v>Be Inc</v>
      </c>
      <c r="K47" s="6" t="str">
        <v>Be Inc</v>
      </c>
      <c r="L47" s="7">
        <f>=DATE(1996,8,29)</f>
        <v>35305.99949074074</v>
      </c>
      <c r="W47" s="6" t="str">
        <v>Portable Computers;Micro-Computers (PCs);Other Peripherals;Printers;Mainframes &amp; Super Computers;Disk Drives;Monitors/Terminals;Other Software (inq. Games)</v>
      </c>
      <c r="X47" s="6" t="str">
        <v>Applications Software(Business</v>
      </c>
      <c r="Y47" s="6" t="str">
        <v>Applications Software(Business</v>
      </c>
      <c r="Z47" s="6" t="str">
        <v>Applications Software(Business</v>
      </c>
      <c r="AA47" s="6" t="str">
        <v>Other Software (inq. Games);Printers;Disk Drives;Other Peripherals;Mainframes &amp; Super Computers;Micro-Computers (PCs);Monitors/Terminals;Portable Computers</v>
      </c>
      <c r="AB47" s="6" t="str">
        <v>Disk Drives;Monitors/Terminals;Portable Computers;Other Peripherals;Printers;Mainframes &amp; Super Computers;Other Software (inq. Games);Micro-Computers (PCs)</v>
      </c>
    </row>
    <row r="48">
      <c r="A48" s="6" t="str">
        <v>594918</v>
      </c>
      <c r="B48" s="6" t="str">
        <v>United States</v>
      </c>
      <c r="C48" s="6" t="str">
        <v>Microsoft Corp</v>
      </c>
      <c r="D48" s="6" t="str">
        <v>Microsoft Corp</v>
      </c>
      <c r="F48" s="6" t="str">
        <v>United States</v>
      </c>
      <c r="G48" s="6" t="str">
        <v>SingleTrac Entertainment Technologies Inc</v>
      </c>
      <c r="H48" s="6" t="str">
        <v>Prepackaged Software</v>
      </c>
      <c r="I48" s="6" t="str">
        <v>82932Y</v>
      </c>
      <c r="J48" s="6" t="str">
        <v>SingleTrac Entertainment Technologies Inc</v>
      </c>
      <c r="K48" s="6" t="str">
        <v>SingleTrac Entertainment Technologies Inc</v>
      </c>
      <c r="L48" s="7">
        <f>=DATE(1996,9,9)</f>
        <v>35316.99949074074</v>
      </c>
      <c r="M48" s="7">
        <f>=DATE(1996,9,9)</f>
        <v>35316.99949074074</v>
      </c>
      <c r="W48" s="6" t="str">
        <v>Operating Systems;Other Peripherals;Applications Software(Business;Monitors/Terminals;Internet Services &amp; Software;Computer Consulting Services</v>
      </c>
      <c r="X48" s="6" t="str">
        <v>Other Software (inq. Games)</v>
      </c>
      <c r="Y48" s="6" t="str">
        <v>Other Software (inq. Games)</v>
      </c>
      <c r="Z48" s="6" t="str">
        <v>Other Software (inq. Games)</v>
      </c>
      <c r="AA48" s="6" t="str">
        <v>Internet Services &amp; Software;Monitors/Terminals;Computer Consulting Services;Other Peripherals;Applications Software(Business;Operating Systems</v>
      </c>
      <c r="AB48" s="6" t="str">
        <v>Operating Systems;Computer Consulting Services;Applications Software(Business;Other Peripherals;Internet Services &amp; Software;Monitors/Terminals</v>
      </c>
    </row>
    <row r="49">
      <c r="A49" s="6" t="str">
        <v>25433J</v>
      </c>
      <c r="B49" s="6" t="str">
        <v>United States</v>
      </c>
      <c r="C49" s="6" t="str">
        <v>Dimension X Inc</v>
      </c>
      <c r="D49" s="6" t="str">
        <v>Dimension X Inc</v>
      </c>
      <c r="F49" s="6" t="str">
        <v>United States</v>
      </c>
      <c r="G49" s="6" t="str">
        <v>Anyware Fast Inc</v>
      </c>
      <c r="H49" s="6" t="str">
        <v>Business Services</v>
      </c>
      <c r="I49" s="6" t="str">
        <v>03690X</v>
      </c>
      <c r="J49" s="6" t="str">
        <v>Anyware Fast Inc</v>
      </c>
      <c r="K49" s="6" t="str">
        <v>Anyware Fast Inc</v>
      </c>
      <c r="L49" s="7">
        <f>=DATE(1996,9,25)</f>
        <v>35332.99949074074</v>
      </c>
      <c r="M49" s="7">
        <f>=DATE(1996,9,25)</f>
        <v>35332.99949074074</v>
      </c>
      <c r="W49" s="6" t="str">
        <v>Other Software (inq. Games)</v>
      </c>
      <c r="X49" s="6" t="str">
        <v>Database Software/Programming;Programming Services</v>
      </c>
      <c r="Y49" s="6" t="str">
        <v>Programming Services;Database Software/Programming</v>
      </c>
      <c r="Z49" s="6" t="str">
        <v>Programming Services;Database Software/Programming</v>
      </c>
      <c r="AA49" s="6" t="str">
        <v>Other Software (inq. Games)</v>
      </c>
      <c r="AB49" s="6" t="str">
        <v>Other Software (inq. Games)</v>
      </c>
    </row>
    <row r="50">
      <c r="A50" s="6" t="str">
        <v>594918</v>
      </c>
      <c r="B50" s="6" t="str">
        <v>United States</v>
      </c>
      <c r="C50" s="6" t="str">
        <v>Microsoft Corp</v>
      </c>
      <c r="D50" s="6" t="str">
        <v>Microsoft Corp</v>
      </c>
      <c r="E50" s="6" t="str">
        <v>Microsoft Corp</v>
      </c>
      <c r="F50" s="6" t="str">
        <v>United States</v>
      </c>
      <c r="G50" s="6" t="str">
        <v>WebTV Networks Inc</v>
      </c>
      <c r="H50" s="6" t="str">
        <v>Business Services</v>
      </c>
      <c r="I50" s="6" t="str">
        <v>94733N</v>
      </c>
      <c r="J50" s="6" t="str">
        <v>WebTV Networks Inc</v>
      </c>
      <c r="K50" s="6" t="str">
        <v>WebTV Networks Inc</v>
      </c>
      <c r="L50" s="7">
        <f>=DATE(1996,10,1)</f>
        <v>35338.99949074074</v>
      </c>
      <c r="M50" s="7">
        <f>=DATE(1996,10,1)</f>
        <v>35338.99949074074</v>
      </c>
      <c r="Q50" s="8" t="str">
        <v>425.00</v>
      </c>
      <c r="W50" s="6" t="str">
        <v>Other Peripherals;Computer Consulting Services;Operating Systems;Internet Services &amp; Software;Applications Software(Business;Monitors/Terminals</v>
      </c>
      <c r="X50" s="6" t="str">
        <v>Communication/Network Software;Internet Services &amp; Software</v>
      </c>
      <c r="Y50" s="6" t="str">
        <v>Communication/Network Software;Internet Services &amp; Software</v>
      </c>
      <c r="Z50" s="6" t="str">
        <v>Internet Services &amp; Software;Communication/Network Software</v>
      </c>
      <c r="AA50" s="6" t="str">
        <v>Operating Systems;Monitors/Terminals;Applications Software(Business;Computer Consulting Services;Other Peripherals;Internet Services &amp; Software</v>
      </c>
      <c r="AB50" s="6" t="str">
        <v>Operating Systems;Internet Services &amp; Software;Other Peripherals;Monitors/Terminals;Applications Software(Business;Computer Consulting Services</v>
      </c>
    </row>
    <row r="51">
      <c r="A51" s="6" t="str">
        <v>594918</v>
      </c>
      <c r="B51" s="6" t="str">
        <v>United States</v>
      </c>
      <c r="C51" s="6" t="str">
        <v>Microsoft Corp</v>
      </c>
      <c r="D51" s="6" t="str">
        <v>Microsoft Corp</v>
      </c>
      <c r="F51" s="6" t="str">
        <v>United States</v>
      </c>
      <c r="G51" s="6" t="str">
        <v>VDOnet Corp Ltd</v>
      </c>
      <c r="H51" s="6" t="str">
        <v>Business Services</v>
      </c>
      <c r="I51" s="6" t="str">
        <v>91839F</v>
      </c>
      <c r="J51" s="6" t="str">
        <v>VDOnet Corp Ltd</v>
      </c>
      <c r="K51" s="6" t="str">
        <v>VDOnet Corp Ltd</v>
      </c>
      <c r="L51" s="7">
        <f>=DATE(1996,10,28)</f>
        <v>35365.99949074074</v>
      </c>
      <c r="M51" s="7">
        <f>=DATE(1996,10,28)</f>
        <v>35365.99949074074</v>
      </c>
      <c r="W51" s="6" t="str">
        <v>Other Peripherals;Internet Services &amp; Software;Monitors/Terminals;Operating Systems;Applications Software(Business;Computer Consulting Services</v>
      </c>
      <c r="X51" s="6" t="str">
        <v>Internet Services &amp; Software;Applications Software(Business;Communication/Network Software</v>
      </c>
      <c r="Y51" s="6" t="str">
        <v>Internet Services &amp; Software;Applications Software(Business;Communication/Network Software</v>
      </c>
      <c r="Z51" s="6" t="str">
        <v>Internet Services &amp; Software;Applications Software(Business;Communication/Network Software</v>
      </c>
      <c r="AA51" s="6" t="str">
        <v>Internet Services &amp; Software;Other Peripherals;Computer Consulting Services;Applications Software(Business;Operating Systems;Monitors/Terminals</v>
      </c>
      <c r="AB51" s="6" t="str">
        <v>Monitors/Terminals;Operating Systems;Computer Consulting Services;Applications Software(Business;Other Peripherals;Internet Services &amp; Software</v>
      </c>
    </row>
    <row r="52">
      <c r="A52" s="6" t="str">
        <v>594918</v>
      </c>
      <c r="B52" s="6" t="str">
        <v>United States</v>
      </c>
      <c r="C52" s="6" t="str">
        <v>Microsoft Corp</v>
      </c>
      <c r="D52" s="6" t="str">
        <v>Microsoft Corp</v>
      </c>
      <c r="F52" s="6" t="str">
        <v>Israel</v>
      </c>
      <c r="G52" s="6" t="str">
        <v>Panorama Software Systems- On-Line Analytical Software Technology</v>
      </c>
      <c r="H52" s="6" t="str">
        <v>Prepackaged Software</v>
      </c>
      <c r="I52" s="6" t="str">
        <v>69974Y</v>
      </c>
      <c r="J52" s="6" t="str">
        <v>Panorama Software Systems</v>
      </c>
      <c r="K52" s="6" t="str">
        <v>Panorama Software Systems</v>
      </c>
      <c r="L52" s="7">
        <f>=DATE(1996,11,1)</f>
        <v>35369.99949074074</v>
      </c>
      <c r="M52" s="7">
        <f>=DATE(1996,11,1)</f>
        <v>35369.99949074074</v>
      </c>
      <c r="W52" s="6" t="str">
        <v>Applications Software(Business;Computer Consulting Services;Other Peripherals;Monitors/Terminals;Operating Systems;Internet Services &amp; Software</v>
      </c>
      <c r="X52" s="6" t="str">
        <v>Database Software/Programming;Applications Software(Business;Applications Software(Home)</v>
      </c>
      <c r="Y52" s="6" t="str">
        <v>Database Software/Programming;Applications Software(Home);Applications Software(Business;Programming Services</v>
      </c>
      <c r="Z52" s="6" t="str">
        <v>Programming Services;Database Software/Programming;Applications Software(Business;Applications Software(Home)</v>
      </c>
      <c r="AA52" s="6" t="str">
        <v>Monitors/Terminals;Computer Consulting Services;Other Peripherals;Applications Software(Business;Internet Services &amp; Software;Operating Systems</v>
      </c>
      <c r="AB52" s="6" t="str">
        <v>Internet Services &amp; Software;Other Peripherals;Applications Software(Business;Computer Consulting Services;Monitors/Terminals;Operating Systems</v>
      </c>
    </row>
    <row r="53">
      <c r="A53" s="6" t="str">
        <v>594918</v>
      </c>
      <c r="B53" s="6" t="str">
        <v>United States</v>
      </c>
      <c r="C53" s="6" t="str">
        <v>Microsoft Corp</v>
      </c>
      <c r="D53" s="6" t="str">
        <v>Microsoft Corp</v>
      </c>
      <c r="F53" s="6" t="str">
        <v>United States</v>
      </c>
      <c r="G53" s="6" t="str">
        <v>Microsoft Network LLC{MSN}</v>
      </c>
      <c r="H53" s="6" t="str">
        <v>Business Services</v>
      </c>
      <c r="I53" s="6" t="str">
        <v>59493Z</v>
      </c>
      <c r="J53" s="6" t="str">
        <v>Microsoft Corp</v>
      </c>
      <c r="K53" s="6" t="str">
        <v>Microsoft Corp</v>
      </c>
      <c r="L53" s="7">
        <f>=DATE(1996,11,15)</f>
        <v>35383.99949074074</v>
      </c>
      <c r="M53" s="7">
        <f>=DATE(1996,11,15)</f>
        <v>35383.99949074074</v>
      </c>
      <c r="N53" s="8">
        <v>125</v>
      </c>
      <c r="O53" s="8">
        <v>125</v>
      </c>
      <c r="W53" s="6" t="str">
        <v>Computer Consulting Services;Applications Software(Business;Operating Systems;Monitors/Terminals;Internet Services &amp; Software;Other Peripherals</v>
      </c>
      <c r="X53" s="6" t="str">
        <v>Communication/Network Software;Internet Services &amp; Software</v>
      </c>
      <c r="Y53" s="6" t="str">
        <v>Operating Systems;Computer Consulting Services;Monitors/Terminals;Applications Software(Business;Internet Services &amp; Software;Other Peripherals</v>
      </c>
      <c r="Z53" s="6" t="str">
        <v>Applications Software(Business;Computer Consulting Services;Operating Systems;Internet Services &amp; Software;Monitors/Terminals;Other Peripherals</v>
      </c>
      <c r="AA53" s="6" t="str">
        <v>Operating Systems;Other Peripherals;Applications Software(Business;Computer Consulting Services;Monitors/Terminals;Internet Services &amp; Software</v>
      </c>
      <c r="AB53" s="6" t="str">
        <v>Other Peripherals;Computer Consulting Services;Internet Services &amp; Software;Monitors/Terminals;Applications Software(Business;Operating Systems</v>
      </c>
      <c r="AC53" s="8">
        <v>125</v>
      </c>
      <c r="AD53" s="7">
        <f>=DATE(1996,11,15)</f>
        <v>35383.99949074074</v>
      </c>
      <c r="AF53" s="8" t="str">
        <v>625.00</v>
      </c>
      <c r="AG53" s="8" t="str">
        <v>625.00</v>
      </c>
      <c r="AH53" s="8" t="str">
        <v>625.00</v>
      </c>
      <c r="AI53" s="8" t="str">
        <v>625.00</v>
      </c>
      <c r="AL53" s="8">
        <v>125</v>
      </c>
    </row>
    <row r="54">
      <c r="A54" s="6" t="str">
        <v>127646</v>
      </c>
      <c r="B54" s="6" t="str">
        <v>United States</v>
      </c>
      <c r="C54" s="6" t="str">
        <v>Caere Corp</v>
      </c>
      <c r="D54" s="6" t="str">
        <v>Caere Corp</v>
      </c>
      <c r="F54" s="6" t="str">
        <v>Hungary</v>
      </c>
      <c r="G54" s="6" t="str">
        <v>Recognita Rt</v>
      </c>
      <c r="H54" s="6" t="str">
        <v>Measuring, Medical, Photo Equipment; Clocks</v>
      </c>
      <c r="I54" s="6" t="str">
        <v>75627J</v>
      </c>
      <c r="J54" s="6" t="str">
        <v>Recognita Rt</v>
      </c>
      <c r="K54" s="6" t="str">
        <v>Recognita Rt</v>
      </c>
      <c r="L54" s="7">
        <f>=DATE(1996,12,3)</f>
        <v>35401.99949074074</v>
      </c>
      <c r="M54" s="7">
        <f>=DATE(1997,1,9)</f>
        <v>35438.99949074074</v>
      </c>
      <c r="N54" s="8">
        <v>4.8047681621926</v>
      </c>
      <c r="O54" s="8">
        <v>4.8047681621926</v>
      </c>
      <c r="W54" s="6" t="str">
        <v>Applications Software(Business;Data Processing Services</v>
      </c>
      <c r="X54" s="6" t="str">
        <v>Other Software (inq. Games)</v>
      </c>
      <c r="Y54" s="6" t="str">
        <v>Other Software (inq. Games)</v>
      </c>
      <c r="Z54" s="6" t="str">
        <v>Other Software (inq. Games)</v>
      </c>
      <c r="AA54" s="6" t="str">
        <v>Data Processing Services;Applications Software(Business</v>
      </c>
      <c r="AB54" s="6" t="str">
        <v>Applications Software(Business;Data Processing Services</v>
      </c>
      <c r="AC54" s="8">
        <v>4.8047681621926</v>
      </c>
      <c r="AD54" s="7">
        <f>=DATE(1996,12,3)</f>
        <v>35401.99949074074</v>
      </c>
      <c r="AL54" s="8">
        <v>4.8047681621926</v>
      </c>
    </row>
    <row r="55">
      <c r="A55" s="6" t="str">
        <v>594918</v>
      </c>
      <c r="B55" s="6" t="str">
        <v>United States</v>
      </c>
      <c r="C55" s="6" t="str">
        <v>Microsoft Corp</v>
      </c>
      <c r="D55" s="6" t="str">
        <v>Microsoft Corp</v>
      </c>
      <c r="E55" s="6" t="str">
        <v>Microsoft Corp</v>
      </c>
      <c r="F55" s="6" t="str">
        <v>United States</v>
      </c>
      <c r="G55" s="6" t="str">
        <v>CMG Information Services Inc</v>
      </c>
      <c r="H55" s="6" t="str">
        <v>Business Services</v>
      </c>
      <c r="I55" s="6" t="str">
        <v>125750</v>
      </c>
      <c r="J55" s="6" t="str">
        <v>CMG Information Services Inc</v>
      </c>
      <c r="K55" s="6" t="str">
        <v>CMG Information Services Inc</v>
      </c>
      <c r="L55" s="7">
        <f>=DATE(1996,12,10)</f>
        <v>35408.99949074074</v>
      </c>
      <c r="M55" s="7">
        <f>=DATE(1997,2,3)</f>
        <v>35463.99949074074</v>
      </c>
      <c r="Q55" s="8" t="str">
        <v>20.00</v>
      </c>
      <c r="R55" s="8">
        <v>14.322</v>
      </c>
      <c r="S55" s="8">
        <v>28.485</v>
      </c>
      <c r="T55" s="8">
        <v>48.043</v>
      </c>
      <c r="U55" s="8">
        <v>10.693</v>
      </c>
      <c r="V55" s="8">
        <v>-4.772</v>
      </c>
      <c r="W55" s="6" t="str">
        <v>Monitors/Terminals;Computer Consulting Services;Operating Systems;Applications Software(Business;Other Peripherals;Internet Services &amp; Software</v>
      </c>
      <c r="X55" s="6" t="str">
        <v>Communication/Network Software;Primary Business not Hi-Tech;Internet Services &amp; Software</v>
      </c>
      <c r="Y55" s="6" t="str">
        <v>Communication/Network Software;Primary Business not Hi-Tech;Internet Services &amp; Software</v>
      </c>
      <c r="Z55" s="6" t="str">
        <v>Internet Services &amp; Software;Primary Business not Hi-Tech;Communication/Network Software</v>
      </c>
      <c r="AA55" s="6" t="str">
        <v>Applications Software(Business;Monitors/Terminals;Operating Systems;Other Peripherals;Computer Consulting Services;Internet Services &amp; Software</v>
      </c>
      <c r="AB55" s="6" t="str">
        <v>Internet Services &amp; Software;Operating Systems;Monitors/Terminals;Other Peripherals;Applications Software(Business;Computer Consulting Services</v>
      </c>
    </row>
    <row r="56">
      <c r="A56" s="6" t="str">
        <v>594918</v>
      </c>
      <c r="B56" s="6" t="str">
        <v>United States</v>
      </c>
      <c r="C56" s="6" t="str">
        <v>Microsoft Corp</v>
      </c>
      <c r="D56" s="6" t="str">
        <v>Microsoft Corp</v>
      </c>
      <c r="E56" s="6" t="str">
        <v>Microsoft Corp</v>
      </c>
      <c r="F56" s="6" t="str">
        <v>United States</v>
      </c>
      <c r="G56" s="6" t="str">
        <v>NetCarta Corp(CMG Information Service Inc)</v>
      </c>
      <c r="H56" s="6" t="str">
        <v>Prepackaged Software</v>
      </c>
      <c r="I56" s="6" t="str">
        <v>64109Q</v>
      </c>
      <c r="J56" s="6" t="str">
        <v>CMG Information Services Inc</v>
      </c>
      <c r="K56" s="6" t="str">
        <v>CMG Information Services Inc</v>
      </c>
      <c r="L56" s="7">
        <f>=DATE(1996,12,10)</f>
        <v>35408.99949074074</v>
      </c>
      <c r="M56" s="7">
        <f>=DATE(1997,2,3)</f>
        <v>35463.99949074074</v>
      </c>
      <c r="N56" s="8">
        <v>20</v>
      </c>
      <c r="O56" s="8">
        <v>20</v>
      </c>
      <c r="W56" s="6" t="str">
        <v>Applications Software(Business;Internet Services &amp; Software;Other Peripherals;Monitors/Terminals;Operating Systems;Computer Consulting Services</v>
      </c>
      <c r="X56" s="6" t="str">
        <v>Internet Services &amp; Software;Communication/Network Software</v>
      </c>
      <c r="Y56" s="6" t="str">
        <v>Communication/Network Software;Primary Business not Hi-Tech;Internet Services &amp; Software</v>
      </c>
      <c r="Z56" s="6" t="str">
        <v>Internet Services &amp; Software;Primary Business not Hi-Tech;Communication/Network Software</v>
      </c>
      <c r="AA56" s="6" t="str">
        <v>Applications Software(Business;Other Peripherals;Internet Services &amp; Software;Operating Systems;Monitors/Terminals;Computer Consulting Services</v>
      </c>
      <c r="AB56" s="6" t="str">
        <v>Internet Services &amp; Software;Monitors/Terminals;Operating Systems;Computer Consulting Services;Applications Software(Business;Other Peripherals</v>
      </c>
      <c r="AC56" s="8">
        <v>20</v>
      </c>
      <c r="AD56" s="7">
        <f>=DATE(1996,12,10)</f>
        <v>35408.99949074074</v>
      </c>
      <c r="AL56" s="8">
        <v>20</v>
      </c>
    </row>
    <row r="57">
      <c r="A57" s="6" t="str">
        <v>68628K</v>
      </c>
      <c r="B57" s="6" t="str">
        <v>United States</v>
      </c>
      <c r="C57" s="6" t="str">
        <v>Orion Network Systems Inc</v>
      </c>
      <c r="D57" s="6" t="str">
        <v>Orion Network Systems Inc</v>
      </c>
      <c r="F57" s="6" t="str">
        <v>United States</v>
      </c>
      <c r="G57" s="6" t="str">
        <v>Orion Atlantic</v>
      </c>
      <c r="H57" s="6" t="str">
        <v>Telecommunications</v>
      </c>
      <c r="I57" s="6" t="str">
        <v>68626Z</v>
      </c>
      <c r="J57" s="6" t="str">
        <v>Orion Atlantic</v>
      </c>
      <c r="K57" s="6" t="str">
        <v>Orion Atlantic</v>
      </c>
      <c r="L57" s="7">
        <f>=DATE(1996,12,16)</f>
        <v>35414.99949074074</v>
      </c>
      <c r="M57" s="7">
        <f>=DATE(1997,1,31)</f>
        <v>35460.99949074074</v>
      </c>
      <c r="N57" s="8">
        <v>122</v>
      </c>
      <c r="O57" s="8">
        <v>122</v>
      </c>
      <c r="W57" s="6" t="str">
        <v>Primary Business not Hi-Tech</v>
      </c>
      <c r="X57" s="6" t="str">
        <v>Communication/Network Software;Cellular Communications</v>
      </c>
      <c r="Y57" s="6" t="str">
        <v>Cellular Communications;Communication/Network Software</v>
      </c>
      <c r="Z57" s="6" t="str">
        <v>Communication/Network Software;Cellular Communications</v>
      </c>
      <c r="AA57" s="6" t="str">
        <v>Primary Business not Hi-Tech</v>
      </c>
      <c r="AB57" s="6" t="str">
        <v>Primary Business not Hi-Tech</v>
      </c>
      <c r="AC57" s="8">
        <v>122</v>
      </c>
      <c r="AD57" s="7">
        <f>=DATE(1996,12,16)</f>
        <v>35414.99949074074</v>
      </c>
      <c r="AF57" s="8" t="str">
        <v>122.00</v>
      </c>
      <c r="AG57" s="8" t="str">
        <v>122.00</v>
      </c>
      <c r="AH57" s="8" t="str">
        <v>122.00</v>
      </c>
      <c r="AI57" s="8" t="str">
        <v>122.00</v>
      </c>
      <c r="AL57" s="8">
        <v>122</v>
      </c>
    </row>
    <row r="58">
      <c r="A58" s="6" t="str">
        <v>037833</v>
      </c>
      <c r="B58" s="6" t="str">
        <v>United States</v>
      </c>
      <c r="C58" s="6" t="str">
        <v>Apple Computer Inc</v>
      </c>
      <c r="D58" s="6" t="str">
        <v>Apple Computer Inc</v>
      </c>
      <c r="F58" s="6" t="str">
        <v>United States</v>
      </c>
      <c r="G58" s="6" t="str">
        <v>NeXT Computer Inc</v>
      </c>
      <c r="H58" s="6" t="str">
        <v>Business Services</v>
      </c>
      <c r="I58" s="6" t="str">
        <v>65332U</v>
      </c>
      <c r="J58" s="6" t="str">
        <v>NeXT Computer Inc</v>
      </c>
      <c r="K58" s="6" t="str">
        <v>NeXT Computer Inc</v>
      </c>
      <c r="L58" s="7">
        <f>=DATE(1996,12,20)</f>
        <v>35418.99949074074</v>
      </c>
      <c r="M58" s="7">
        <f>=DATE(1997,2,7)</f>
        <v>35467.99949074074</v>
      </c>
      <c r="N58" s="8">
        <v>404</v>
      </c>
      <c r="O58" s="8">
        <v>404</v>
      </c>
      <c r="W58" s="6" t="str">
        <v>Other Software (inq. Games);Portable Computers;Micro-Computers (PCs);Monitors/Terminals;Printers;Disk Drives;Other Peripherals;Mainframes &amp; Super Computers</v>
      </c>
      <c r="X58" s="6" t="str">
        <v>Programming Services</v>
      </c>
      <c r="Y58" s="6" t="str">
        <v>Programming Services</v>
      </c>
      <c r="Z58" s="6" t="str">
        <v>Programming Services</v>
      </c>
      <c r="AA58" s="6" t="str">
        <v>Mainframes &amp; Super Computers;Micro-Computers (PCs);Monitors/Terminals;Disk Drives;Other Peripherals;Other Software (inq. Games);Printers;Portable Computers</v>
      </c>
      <c r="AB58" s="6" t="str">
        <v>Micro-Computers (PCs);Other Peripherals;Disk Drives;Printers;Other Software (inq. Games);Mainframes &amp; Super Computers;Monitors/Terminals;Portable Computers</v>
      </c>
      <c r="AC58" s="8">
        <v>404</v>
      </c>
      <c r="AD58" s="7">
        <f>=DATE(1996,12,20)</f>
        <v>35418.99949074074</v>
      </c>
      <c r="AF58" s="8" t="str">
        <v>404.00</v>
      </c>
      <c r="AG58" s="8" t="str">
        <v>404.00</v>
      </c>
      <c r="AH58" s="8" t="str">
        <v>349.00</v>
      </c>
      <c r="AI58" s="8" t="str">
        <v>349.00</v>
      </c>
      <c r="AL58" s="8">
        <v>404</v>
      </c>
    </row>
    <row r="59">
      <c r="A59" s="6" t="str">
        <v>594918</v>
      </c>
      <c r="B59" s="6" t="str">
        <v>United States</v>
      </c>
      <c r="C59" s="6" t="str">
        <v>Microsoft Corp</v>
      </c>
      <c r="D59" s="6" t="str">
        <v>Microsoft Corp</v>
      </c>
      <c r="F59" s="6" t="str">
        <v>United States</v>
      </c>
      <c r="G59" s="6" t="str">
        <v>Digital Anvil</v>
      </c>
      <c r="H59" s="6" t="str">
        <v>Prepackaged Software</v>
      </c>
      <c r="I59" s="6" t="str">
        <v>25382K</v>
      </c>
      <c r="J59" s="6" t="str">
        <v>Digital Anvil</v>
      </c>
      <c r="K59" s="6" t="str">
        <v>Digital Anvil</v>
      </c>
      <c r="L59" s="7">
        <f>=DATE(1997,2,18)</f>
        <v>35478.99949074074</v>
      </c>
      <c r="M59" s="7">
        <f>=DATE(1997,2,18)</f>
        <v>35478.99949074074</v>
      </c>
      <c r="W59" s="6" t="str">
        <v>Computer Consulting Services;Applications Software(Business;Monitors/Terminals;Other Peripherals;Internet Services &amp; Software;Operating Systems</v>
      </c>
      <c r="X59" s="6" t="str">
        <v>Other Software (inq. Games)</v>
      </c>
      <c r="Y59" s="6" t="str">
        <v>Other Software (inq. Games)</v>
      </c>
      <c r="Z59" s="6" t="str">
        <v>Other Software (inq. Games)</v>
      </c>
      <c r="AA59" s="6" t="str">
        <v>Applications Software(Business;Computer Consulting Services;Operating Systems;Other Peripherals;Monitors/Terminals;Internet Services &amp; Software</v>
      </c>
      <c r="AB59" s="6" t="str">
        <v>Monitors/Terminals;Computer Consulting Services;Other Peripherals;Operating Systems;Applications Software(Business;Internet Services &amp; Software</v>
      </c>
    </row>
    <row r="60">
      <c r="A60" s="6" t="str">
        <v>927914</v>
      </c>
      <c r="B60" s="6" t="str">
        <v>United States</v>
      </c>
      <c r="C60" s="6" t="str">
        <v>Visio Corp</v>
      </c>
      <c r="D60" s="6" t="str">
        <v>Visio Corp</v>
      </c>
      <c r="F60" s="6" t="str">
        <v>United States</v>
      </c>
      <c r="G60" s="6" t="str">
        <v>Boomerang Technology Inc- Certain Assets</v>
      </c>
      <c r="H60" s="6" t="str">
        <v>Business Services</v>
      </c>
      <c r="I60" s="6" t="str">
        <v>09858K</v>
      </c>
      <c r="J60" s="6" t="str">
        <v>Boomerang Technology Inc</v>
      </c>
      <c r="K60" s="6" t="str">
        <v>Boomerang Technology Inc</v>
      </c>
      <c r="L60" s="7">
        <f>=DATE(1997,2,27)</f>
        <v>35487.99949074074</v>
      </c>
      <c r="M60" s="7">
        <f>=DATE(1997,2,27)</f>
        <v>35487.99949074074</v>
      </c>
      <c r="N60" s="8">
        <v>6.7</v>
      </c>
      <c r="O60" s="8">
        <v>6.7</v>
      </c>
      <c r="W60" s="6" t="str">
        <v>Applications Software(Business</v>
      </c>
      <c r="X60" s="6" t="str">
        <v>Other Software (inq. Games);Applications Software(Business</v>
      </c>
      <c r="Y60" s="6" t="str">
        <v>Other Software (inq. Games);Applications Software(Business</v>
      </c>
      <c r="Z60" s="6" t="str">
        <v>Other Software (inq. Games);Applications Software(Business</v>
      </c>
      <c r="AA60" s="6" t="str">
        <v>Applications Software(Business</v>
      </c>
      <c r="AB60" s="6" t="str">
        <v>Applications Software(Business</v>
      </c>
      <c r="AC60" s="8">
        <v>6.7</v>
      </c>
      <c r="AD60" s="7">
        <f>=DATE(1997,2,27)</f>
        <v>35487.99949074074</v>
      </c>
      <c r="AL60" s="8">
        <v>6.7</v>
      </c>
    </row>
    <row r="61">
      <c r="A61" s="6" t="str">
        <v>594918</v>
      </c>
      <c r="B61" s="6" t="str">
        <v>United States</v>
      </c>
      <c r="C61" s="6" t="str">
        <v>Microsoft Corp</v>
      </c>
      <c r="D61" s="6" t="str">
        <v>Microsoft Corp</v>
      </c>
      <c r="F61" s="6" t="str">
        <v>United States</v>
      </c>
      <c r="G61" s="6" t="str">
        <v>Interse Corp</v>
      </c>
      <c r="H61" s="6" t="str">
        <v>Prepackaged Software</v>
      </c>
      <c r="I61" s="6" t="str">
        <v>46070F</v>
      </c>
      <c r="J61" s="6" t="str">
        <v>Interse Corp</v>
      </c>
      <c r="K61" s="6" t="str">
        <v>Interse Corp</v>
      </c>
      <c r="L61" s="7">
        <f>=DATE(1997,3,3)</f>
        <v>35491.99949074074</v>
      </c>
      <c r="M61" s="7">
        <f>=DATE(1997,3,3)</f>
        <v>35491.99949074074</v>
      </c>
      <c r="W61" s="6" t="str">
        <v>Computer Consulting Services;Monitors/Terminals;Applications Software(Business;Operating Systems;Internet Services &amp; Software;Other Peripherals</v>
      </c>
      <c r="X61" s="6" t="str">
        <v>Applications Software(Business</v>
      </c>
      <c r="Y61" s="6" t="str">
        <v>Applications Software(Business</v>
      </c>
      <c r="Z61" s="6" t="str">
        <v>Applications Software(Business</v>
      </c>
      <c r="AA61" s="6" t="str">
        <v>Applications Software(Business;Internet Services &amp; Software;Operating Systems;Other Peripherals;Monitors/Terminals;Computer Consulting Services</v>
      </c>
      <c r="AB61" s="6" t="str">
        <v>Applications Software(Business;Monitors/Terminals;Other Peripherals;Computer Consulting Services;Operating Systems;Internet Services &amp; Software</v>
      </c>
    </row>
    <row r="62">
      <c r="A62" s="6" t="str">
        <v>68628K</v>
      </c>
      <c r="B62" s="6" t="str">
        <v>United States</v>
      </c>
      <c r="C62" s="6" t="str">
        <v>Orion Network Systems Inc (Loring Space &amp; Communications Ltd)</v>
      </c>
      <c r="D62" s="6" t="str">
        <v>Loral Space &amp; Communications Ltd</v>
      </c>
      <c r="F62" s="6" t="str">
        <v>Germany</v>
      </c>
      <c r="G62" s="6" t="str">
        <v>Teleport Europe</v>
      </c>
      <c r="H62" s="6" t="str">
        <v>Radio and Television Broadcasting Stations</v>
      </c>
      <c r="I62" s="6" t="str">
        <v>87947V</v>
      </c>
      <c r="J62" s="6" t="str">
        <v>Teleport Europe</v>
      </c>
      <c r="K62" s="6" t="str">
        <v>Teleport Europe</v>
      </c>
      <c r="L62" s="7">
        <f>=DATE(1997,3,26)</f>
        <v>35514.99949074074</v>
      </c>
      <c r="M62" s="7">
        <f>=DATE(1998,4,1)</f>
        <v>35885.99949074074</v>
      </c>
      <c r="N62" s="8">
        <v>9.00527282421944</v>
      </c>
      <c r="O62" s="8">
        <v>9.00527282421944</v>
      </c>
      <c r="W62" s="6" t="str">
        <v>Internet Services &amp; Software;Other Telecommunications Equip;Communication/Network Software;Satellite Communications</v>
      </c>
      <c r="X62" s="6" t="str">
        <v>Satellite Communications</v>
      </c>
      <c r="Y62" s="6" t="str">
        <v>Satellite Communications</v>
      </c>
      <c r="Z62" s="6" t="str">
        <v>Satellite Communications</v>
      </c>
      <c r="AA62" s="6" t="str">
        <v>Telecommunications Equipment;Satellite Communications</v>
      </c>
      <c r="AB62" s="6" t="str">
        <v>Satellite Communications;Telecommunications Equipment</v>
      </c>
      <c r="AC62" s="8">
        <v>9.00527282421944</v>
      </c>
      <c r="AD62" s="7">
        <f>=DATE(1997,3,26)</f>
        <v>35514.99949074074</v>
      </c>
      <c r="AL62" s="8">
        <v>9.00527282421944</v>
      </c>
    </row>
    <row r="63">
      <c r="A63" s="6" t="str">
        <v>127646</v>
      </c>
      <c r="B63" s="6" t="str">
        <v>United States</v>
      </c>
      <c r="C63" s="6" t="str">
        <v>Caere Corp</v>
      </c>
      <c r="D63" s="6" t="str">
        <v>Caere Corp</v>
      </c>
      <c r="F63" s="6" t="str">
        <v>United States</v>
      </c>
      <c r="G63" s="6" t="str">
        <v>Forminix Inc</v>
      </c>
      <c r="H63" s="6" t="str">
        <v>Prepackaged Software</v>
      </c>
      <c r="I63" s="6" t="str">
        <v>34639Y</v>
      </c>
      <c r="J63" s="6" t="str">
        <v>Forminix Inc</v>
      </c>
      <c r="K63" s="6" t="str">
        <v>Forminix Inc</v>
      </c>
      <c r="L63" s="7">
        <f>=DATE(1997,3,31)</f>
        <v>35519.99949074074</v>
      </c>
      <c r="M63" s="7">
        <f>=DATE(1997,3,31)</f>
        <v>35519.99949074074</v>
      </c>
      <c r="N63" s="8">
        <v>4.5</v>
      </c>
      <c r="O63" s="8">
        <v>4.5</v>
      </c>
      <c r="W63" s="6" t="str">
        <v>Data Processing Services;Applications Software(Business</v>
      </c>
      <c r="X63" s="6" t="str">
        <v>Applications Software(Business</v>
      </c>
      <c r="Y63" s="6" t="str">
        <v>Applications Software(Business</v>
      </c>
      <c r="Z63" s="6" t="str">
        <v>Applications Software(Business</v>
      </c>
      <c r="AA63" s="6" t="str">
        <v>Data Processing Services;Applications Software(Business</v>
      </c>
      <c r="AB63" s="6" t="str">
        <v>Applications Software(Business;Data Processing Services</v>
      </c>
      <c r="AC63" s="8">
        <v>4.5</v>
      </c>
      <c r="AD63" s="7">
        <f>=DATE(1997,3,31)</f>
        <v>35519.99949074074</v>
      </c>
      <c r="AL63" s="8">
        <v>4.5</v>
      </c>
    </row>
    <row r="64">
      <c r="A64" s="6" t="str">
        <v>594918</v>
      </c>
      <c r="B64" s="6" t="str">
        <v>United States</v>
      </c>
      <c r="C64" s="6" t="str">
        <v>Microsoft Corp</v>
      </c>
      <c r="D64" s="6" t="str">
        <v>Microsoft Corp</v>
      </c>
      <c r="E64" s="6" t="str">
        <v>Microsoft Corp</v>
      </c>
      <c r="F64" s="6" t="str">
        <v>United States</v>
      </c>
      <c r="G64" s="6" t="str">
        <v>WebTV Networks Inc</v>
      </c>
      <c r="H64" s="6" t="str">
        <v>Business Services</v>
      </c>
      <c r="I64" s="6" t="str">
        <v>94733N</v>
      </c>
      <c r="J64" s="6" t="str">
        <v>WebTV Networks Inc</v>
      </c>
      <c r="K64" s="6" t="str">
        <v>WebTV Networks Inc</v>
      </c>
      <c r="L64" s="7">
        <f>=DATE(1997,4,7)</f>
        <v>35526.99949074074</v>
      </c>
      <c r="M64" s="7">
        <f>=DATE(1997,4,30)</f>
        <v>35549.99949074074</v>
      </c>
      <c r="N64" s="8">
        <v>425</v>
      </c>
      <c r="O64" s="8">
        <v>425</v>
      </c>
      <c r="W64" s="6" t="str">
        <v>Applications Software(Business;Operating Systems;Internet Services &amp; Software;Monitors/Terminals;Other Peripherals;Computer Consulting Services</v>
      </c>
      <c r="X64" s="6" t="str">
        <v>Internet Services &amp; Software;Communication/Network Software</v>
      </c>
      <c r="Y64" s="6" t="str">
        <v>Internet Services &amp; Software;Communication/Network Software</v>
      </c>
      <c r="Z64" s="6" t="str">
        <v>Internet Services &amp; Software;Communication/Network Software</v>
      </c>
      <c r="AA64" s="6" t="str">
        <v>Operating Systems;Applications Software(Business;Computer Consulting Services;Internet Services &amp; Software;Other Peripherals;Monitors/Terminals</v>
      </c>
      <c r="AB64" s="6" t="str">
        <v>Operating Systems;Internet Services &amp; Software;Applications Software(Business;Computer Consulting Services;Monitors/Terminals;Other Peripherals</v>
      </c>
      <c r="AC64" s="8">
        <v>425</v>
      </c>
      <c r="AD64" s="7">
        <f>=DATE(1997,4,7)</f>
        <v>35526.99949074074</v>
      </c>
      <c r="AL64" s="8">
        <v>425</v>
      </c>
    </row>
    <row r="65">
      <c r="A65" s="6" t="str">
        <v>83434X</v>
      </c>
      <c r="B65" s="6" t="str">
        <v>United States</v>
      </c>
      <c r="C65" s="6" t="str">
        <v>Solomon Software</v>
      </c>
      <c r="D65" s="6" t="str">
        <v>Solomon Software</v>
      </c>
      <c r="F65" s="6" t="str">
        <v>United States</v>
      </c>
      <c r="G65" s="6" t="str">
        <v>Smith Dennis &amp; Gaylord Inc</v>
      </c>
      <c r="H65" s="6" t="str">
        <v>Prepackaged Software</v>
      </c>
      <c r="I65" s="6" t="str">
        <v>83204X</v>
      </c>
      <c r="J65" s="6" t="str">
        <v>Smith Dennis &amp; Gaylord Inc</v>
      </c>
      <c r="K65" s="6" t="str">
        <v>Smith Dennis &amp; Gaylord Inc</v>
      </c>
      <c r="L65" s="7">
        <f>=DATE(1997,4,25)</f>
        <v>35544.99949074074</v>
      </c>
      <c r="M65" s="7">
        <f>=DATE(1997,5,20)</f>
        <v>35569.99949074074</v>
      </c>
      <c r="W65" s="6" t="str">
        <v>Applications Software(Business</v>
      </c>
      <c r="X65" s="6" t="str">
        <v>Other Software (inq. Games);Applications Software(Business</v>
      </c>
      <c r="Y65" s="6" t="str">
        <v>Applications Software(Business;Other Software (inq. Games)</v>
      </c>
      <c r="Z65" s="6" t="str">
        <v>Other Software (inq. Games);Applications Software(Business</v>
      </c>
      <c r="AA65" s="6" t="str">
        <v>Applications Software(Business</v>
      </c>
      <c r="AB65" s="6" t="str">
        <v>Applications Software(Business</v>
      </c>
    </row>
    <row r="66">
      <c r="A66" s="6" t="str">
        <v>127646</v>
      </c>
      <c r="B66" s="6" t="str">
        <v>United States</v>
      </c>
      <c r="C66" s="6" t="str">
        <v>Caere Corp</v>
      </c>
      <c r="D66" s="6" t="str">
        <v>Caere Corp</v>
      </c>
      <c r="F66" s="6" t="str">
        <v>United States</v>
      </c>
      <c r="G66" s="6" t="str">
        <v>Caere Corp</v>
      </c>
      <c r="H66" s="6" t="str">
        <v>Prepackaged Software</v>
      </c>
      <c r="I66" s="6" t="str">
        <v>127646</v>
      </c>
      <c r="J66" s="6" t="str">
        <v>Caere Corp</v>
      </c>
      <c r="K66" s="6" t="str">
        <v>Caere Corp</v>
      </c>
      <c r="L66" s="7">
        <f>=DATE(1997,4,30)</f>
        <v>35549.99949074074</v>
      </c>
      <c r="N66" s="8">
        <v>6.75</v>
      </c>
      <c r="O66" s="8">
        <v>6.75</v>
      </c>
      <c r="P66" s="8" t="str">
        <v>40.97</v>
      </c>
      <c r="R66" s="8">
        <v>0.396</v>
      </c>
      <c r="S66" s="8">
        <v>54.528</v>
      </c>
      <c r="T66" s="8">
        <v>-6.972</v>
      </c>
      <c r="U66" s="8">
        <v>2.344</v>
      </c>
      <c r="V66" s="8">
        <v>5.627</v>
      </c>
      <c r="W66" s="6" t="str">
        <v>Data Processing Services;Applications Software(Business</v>
      </c>
      <c r="X66" s="6" t="str">
        <v>Applications Software(Business;Data Processing Services</v>
      </c>
      <c r="Y66" s="6" t="str">
        <v>Data Processing Services;Applications Software(Business</v>
      </c>
      <c r="Z66" s="6" t="str">
        <v>Data Processing Services;Applications Software(Business</v>
      </c>
      <c r="AA66" s="6" t="str">
        <v>Data Processing Services;Applications Software(Business</v>
      </c>
      <c r="AB66" s="6" t="str">
        <v>Applications Software(Business;Data Processing Services</v>
      </c>
      <c r="AC66" s="8">
        <v>6.75</v>
      </c>
      <c r="AD66" s="7">
        <f>=DATE(1997,4,30)</f>
        <v>35549.99949074074</v>
      </c>
      <c r="AE66" s="8">
        <v>89.1</v>
      </c>
      <c r="AF66" s="8" t="str">
        <v>44.81</v>
      </c>
      <c r="AI66" s="8" t="str">
        <v>89.10</v>
      </c>
      <c r="AL66" s="8">
        <v>6.75</v>
      </c>
    </row>
    <row r="67">
      <c r="A67" s="6" t="str">
        <v>927914</v>
      </c>
      <c r="B67" s="6" t="str">
        <v>United States</v>
      </c>
      <c r="C67" s="6" t="str">
        <v>Visio Corp</v>
      </c>
      <c r="D67" s="6" t="str">
        <v>Visio Corp</v>
      </c>
      <c r="F67" s="6" t="str">
        <v>United States</v>
      </c>
      <c r="G67" s="6" t="str">
        <v>SysDraw Software Co-Certain Assets</v>
      </c>
      <c r="H67" s="6" t="str">
        <v>Prepackaged Software</v>
      </c>
      <c r="I67" s="6" t="str">
        <v>87193H</v>
      </c>
      <c r="J67" s="6" t="str">
        <v>SysDraw Software Co</v>
      </c>
      <c r="K67" s="6" t="str">
        <v>SysDraw Software Co</v>
      </c>
      <c r="L67" s="7">
        <f>=DATE(1997,5,1)</f>
        <v>35550.99949074074</v>
      </c>
      <c r="M67" s="7">
        <f>=DATE(1997,5,1)</f>
        <v>35550.99949074074</v>
      </c>
      <c r="N67" s="8">
        <v>6.5</v>
      </c>
      <c r="O67" s="8">
        <v>6.5</v>
      </c>
      <c r="W67" s="6" t="str">
        <v>Applications Software(Business</v>
      </c>
      <c r="X67" s="6" t="str">
        <v>Communication/Network Software</v>
      </c>
      <c r="Y67" s="6" t="str">
        <v>Communication/Network Software</v>
      </c>
      <c r="Z67" s="6" t="str">
        <v>Communication/Network Software</v>
      </c>
      <c r="AA67" s="6" t="str">
        <v>Applications Software(Business</v>
      </c>
      <c r="AB67" s="6" t="str">
        <v>Applications Software(Business</v>
      </c>
      <c r="AC67" s="8">
        <v>6.5</v>
      </c>
      <c r="AD67" s="7">
        <f>=DATE(1997,5,1)</f>
        <v>35550.99949074074</v>
      </c>
      <c r="AL67" s="8">
        <v>6.5</v>
      </c>
    </row>
    <row r="68">
      <c r="A68" s="6" t="str">
        <v>594918</v>
      </c>
      <c r="B68" s="6" t="str">
        <v>United States</v>
      </c>
      <c r="C68" s="6" t="str">
        <v>Microsoft Corp</v>
      </c>
      <c r="D68" s="6" t="str">
        <v>Microsoft Corp</v>
      </c>
      <c r="F68" s="6" t="str">
        <v>United States</v>
      </c>
      <c r="G68" s="6" t="str">
        <v>Dimension X Inc</v>
      </c>
      <c r="H68" s="6" t="str">
        <v>Prepackaged Software</v>
      </c>
      <c r="I68" s="6" t="str">
        <v>25433J</v>
      </c>
      <c r="J68" s="6" t="str">
        <v>Dimension X Inc</v>
      </c>
      <c r="K68" s="6" t="str">
        <v>Dimension X Inc</v>
      </c>
      <c r="L68" s="7">
        <f>=DATE(1997,5,7)</f>
        <v>35556.99949074074</v>
      </c>
      <c r="M68" s="7">
        <f>=DATE(1997,5,7)</f>
        <v>35556.99949074074</v>
      </c>
      <c r="W68" s="6" t="str">
        <v>Monitors/Terminals;Computer Consulting Services;Applications Software(Business;Other Peripherals;Operating Systems;Internet Services &amp; Software</v>
      </c>
      <c r="X68" s="6" t="str">
        <v>Other Software (inq. Games)</v>
      </c>
      <c r="Y68" s="6" t="str">
        <v>Other Software (inq. Games)</v>
      </c>
      <c r="Z68" s="6" t="str">
        <v>Other Software (inq. Games)</v>
      </c>
      <c r="AA68" s="6" t="str">
        <v>Monitors/Terminals;Other Peripherals;Computer Consulting Services;Applications Software(Business;Operating Systems;Internet Services &amp; Software</v>
      </c>
      <c r="AB68" s="6" t="str">
        <v>Operating Systems;Other Peripherals;Computer Consulting Services;Applications Software(Business;Internet Services &amp; Software;Monitors/Terminals</v>
      </c>
    </row>
    <row r="69">
      <c r="A69" s="6" t="str">
        <v>594918</v>
      </c>
      <c r="B69" s="6" t="str">
        <v>United States</v>
      </c>
      <c r="C69" s="6" t="str">
        <v>Microsoft Corp</v>
      </c>
      <c r="D69" s="6" t="str">
        <v>Microsoft Corp</v>
      </c>
      <c r="F69" s="6" t="str">
        <v>United States</v>
      </c>
      <c r="G69" s="6" t="str">
        <v>Comcast Corp</v>
      </c>
      <c r="H69" s="6" t="str">
        <v>Radio and Television Broadcasting Stations</v>
      </c>
      <c r="I69" s="6" t="str">
        <v>200300</v>
      </c>
      <c r="J69" s="6" t="str">
        <v>Comcast Corp</v>
      </c>
      <c r="K69" s="6" t="str">
        <v>Comcast Corp</v>
      </c>
      <c r="L69" s="7">
        <f>=DATE(1997,6,9)</f>
        <v>35589.99949074074</v>
      </c>
      <c r="M69" s="7">
        <f>=DATE(1997,6,30)</f>
        <v>35610.99949074074</v>
      </c>
      <c r="N69" s="8">
        <v>1000</v>
      </c>
      <c r="O69" s="8">
        <v>1000</v>
      </c>
      <c r="P69" s="8" t="str">
        <v>27,169.78</v>
      </c>
      <c r="R69" s="8">
        <v>-52.5</v>
      </c>
      <c r="S69" s="8">
        <v>4038.4</v>
      </c>
      <c r="T69" s="8">
        <v>-81.2</v>
      </c>
      <c r="U69" s="8">
        <v>-926.2</v>
      </c>
      <c r="V69" s="8">
        <v>799.6</v>
      </c>
      <c r="W69" s="6" t="str">
        <v>Other Peripherals;Computer Consulting Services;Operating Systems;Internet Services &amp; Software;Monitors/Terminals;Applications Software(Business</v>
      </c>
      <c r="X69" s="6" t="str">
        <v>Cellular Communications</v>
      </c>
      <c r="Y69" s="6" t="str">
        <v>Cellular Communications</v>
      </c>
      <c r="Z69" s="6" t="str">
        <v>Cellular Communications</v>
      </c>
      <c r="AA69" s="6" t="str">
        <v>Monitors/Terminals;Operating Systems;Applications Software(Business;Computer Consulting Services;Other Peripherals;Internet Services &amp; Software</v>
      </c>
      <c r="AB69" s="6" t="str">
        <v>Applications Software(Business;Monitors/Terminals;Other Peripherals;Operating Systems;Internet Services &amp; Software;Computer Consulting Services</v>
      </c>
      <c r="AC69" s="8">
        <v>1000</v>
      </c>
      <c r="AD69" s="7">
        <f>=DATE(1997,6,9)</f>
        <v>35589.99949074074</v>
      </c>
      <c r="AE69" s="8">
        <v>7823.81923185</v>
      </c>
      <c r="AF69" s="8" t="str">
        <v>13,930.83</v>
      </c>
      <c r="AG69" s="8" t="str">
        <v>27,169.78</v>
      </c>
      <c r="AH69" s="8" t="str">
        <v>20,345.28</v>
      </c>
      <c r="AI69" s="8" t="str">
        <v>7,106.33</v>
      </c>
      <c r="AL69" s="8">
        <v>1000</v>
      </c>
    </row>
    <row r="70">
      <c r="A70" s="6" t="str">
        <v>594918</v>
      </c>
      <c r="B70" s="6" t="str">
        <v>United States</v>
      </c>
      <c r="C70" s="6" t="str">
        <v>Microsoft Corp</v>
      </c>
      <c r="D70" s="6" t="str">
        <v>Microsoft Corp</v>
      </c>
      <c r="F70" s="6" t="str">
        <v>United States</v>
      </c>
      <c r="G70" s="6" t="str">
        <v>Cooper &amp; Peters Inc</v>
      </c>
      <c r="H70" s="6" t="str">
        <v>Business Services</v>
      </c>
      <c r="I70" s="6" t="str">
        <v>21665Z</v>
      </c>
      <c r="J70" s="6" t="str">
        <v>Cooper &amp; Peters Inc</v>
      </c>
      <c r="K70" s="6" t="str">
        <v>Cooper &amp; Peters Inc</v>
      </c>
      <c r="L70" s="7">
        <f>=DATE(1997,6,13)</f>
        <v>35593.99949074074</v>
      </c>
      <c r="M70" s="7">
        <f>=DATE(1997,6,13)</f>
        <v>35593.99949074074</v>
      </c>
      <c r="W70" s="6" t="str">
        <v>Other Peripherals;Monitors/Terminals;Applications Software(Business;Internet Services &amp; Software;Operating Systems;Computer Consulting Services</v>
      </c>
      <c r="X70" s="6" t="str">
        <v>Programming Services;Applications Software(Business</v>
      </c>
      <c r="Y70" s="6" t="str">
        <v>Applications Software(Business;Programming Services</v>
      </c>
      <c r="Z70" s="6" t="str">
        <v>Applications Software(Business;Programming Services</v>
      </c>
      <c r="AA70" s="6" t="str">
        <v>Operating Systems;Other Peripherals;Applications Software(Business;Computer Consulting Services;Monitors/Terminals;Internet Services &amp; Software</v>
      </c>
      <c r="AB70" s="6" t="str">
        <v>Monitors/Terminals;Applications Software(Business;Other Peripherals;Operating Systems;Computer Consulting Services;Internet Services &amp; Software</v>
      </c>
    </row>
    <row r="71">
      <c r="A71" s="6" t="str">
        <v>594918</v>
      </c>
      <c r="B71" s="6" t="str">
        <v>United States</v>
      </c>
      <c r="C71" s="6" t="str">
        <v>Microsoft Corp</v>
      </c>
      <c r="D71" s="6" t="str">
        <v>Microsoft Corp</v>
      </c>
      <c r="F71" s="6" t="str">
        <v>Canada</v>
      </c>
      <c r="G71" s="6" t="str">
        <v>LinkAge Software Inc</v>
      </c>
      <c r="H71" s="6" t="str">
        <v>Prepackaged Software</v>
      </c>
      <c r="I71" s="6" t="str">
        <v>53591L</v>
      </c>
      <c r="J71" s="6" t="str">
        <v>LinkAge Software Inc</v>
      </c>
      <c r="K71" s="6" t="str">
        <v>LinkAge Software Inc</v>
      </c>
      <c r="L71" s="7">
        <f>=DATE(1997,6,30)</f>
        <v>35610.99949074074</v>
      </c>
      <c r="M71" s="7">
        <f>=DATE(1997,6,30)</f>
        <v>35610.99949074074</v>
      </c>
      <c r="W71" s="6" t="str">
        <v>Monitors/Terminals;Internet Services &amp; Software;Computer Consulting Services;Applications Software(Business;Other Peripherals;Operating Systems</v>
      </c>
      <c r="X71" s="6" t="str">
        <v>Internet Services &amp; Software;Communication/Network Software</v>
      </c>
      <c r="Y71" s="6" t="str">
        <v>Internet Services &amp; Software;Communication/Network Software</v>
      </c>
      <c r="Z71" s="6" t="str">
        <v>Internet Services &amp; Software;Communication/Network Software</v>
      </c>
      <c r="AA71" s="6" t="str">
        <v>Computer Consulting Services;Operating Systems;Applications Software(Business;Other Peripherals;Monitors/Terminals;Internet Services &amp; Software</v>
      </c>
      <c r="AB71" s="6" t="str">
        <v>Applications Software(Business;Internet Services &amp; Software;Other Peripherals;Operating Systems;Computer Consulting Services;Monitors/Terminals</v>
      </c>
    </row>
    <row r="72">
      <c r="A72" s="6" t="str">
        <v>594918</v>
      </c>
      <c r="B72" s="6" t="str">
        <v>United States</v>
      </c>
      <c r="C72" s="6" t="str">
        <v>Microsoft Corp</v>
      </c>
      <c r="D72" s="6" t="str">
        <v>Microsoft Corp</v>
      </c>
      <c r="F72" s="6" t="str">
        <v>United States</v>
      </c>
      <c r="G72" s="6" t="str">
        <v>Navitel Communications Inc</v>
      </c>
      <c r="H72" s="6" t="str">
        <v>Business Services</v>
      </c>
      <c r="I72" s="6" t="str">
        <v>63936X</v>
      </c>
      <c r="J72" s="6" t="str">
        <v>Navitel Communications Inc</v>
      </c>
      <c r="K72" s="6" t="str">
        <v>Navitel Communications Inc</v>
      </c>
      <c r="L72" s="7">
        <f>=DATE(1997,7,29)</f>
        <v>35639.99949074074</v>
      </c>
      <c r="W72" s="6" t="str">
        <v>Computer Consulting Services;Internet Services &amp; Software;Operating Systems;Applications Software(Business;Other Peripherals;Monitors/Terminals</v>
      </c>
      <c r="X72" s="6" t="str">
        <v>Communication/Network Software;Operating Systems;Utilities/File Mgmt Software;Applications Software(Business</v>
      </c>
      <c r="Y72" s="6" t="str">
        <v>Applications Software(Business;Communication/Network Software;Utilities/File Mgmt Software;Operating Systems</v>
      </c>
      <c r="Z72" s="6" t="str">
        <v>Utilities/File Mgmt Software;Communication/Network Software;Applications Software(Business;Operating Systems</v>
      </c>
      <c r="AA72" s="6" t="str">
        <v>Computer Consulting Services;Applications Software(Business;Other Peripherals;Internet Services &amp; Software;Monitors/Terminals;Operating Systems</v>
      </c>
      <c r="AB72" s="6" t="str">
        <v>Computer Consulting Services;Internet Services &amp; Software;Other Peripherals;Monitors/Terminals;Applications Software(Business;Operating Systems</v>
      </c>
    </row>
    <row r="73">
      <c r="A73" s="6" t="str">
        <v>594918</v>
      </c>
      <c r="B73" s="6" t="str">
        <v>United States</v>
      </c>
      <c r="C73" s="6" t="str">
        <v>Microsoft Corp</v>
      </c>
      <c r="D73" s="6" t="str">
        <v>Microsoft Corp</v>
      </c>
      <c r="F73" s="6" t="str">
        <v>United States</v>
      </c>
      <c r="G73" s="6" t="str">
        <v>VXtreme Inc</v>
      </c>
      <c r="H73" s="6" t="str">
        <v>Prepackaged Software</v>
      </c>
      <c r="I73" s="6" t="str">
        <v>91847Z</v>
      </c>
      <c r="J73" s="6" t="str">
        <v>VXtreme Inc</v>
      </c>
      <c r="K73" s="6" t="str">
        <v>VXtreme Inc</v>
      </c>
      <c r="L73" s="7">
        <f>=DATE(1997,8,5)</f>
        <v>35646.99949074074</v>
      </c>
      <c r="M73" s="7">
        <f>=DATE(1997,8,5)</f>
        <v>35646.99949074074</v>
      </c>
      <c r="W73" s="6" t="str">
        <v>Internet Services &amp; Software;Monitors/Terminals;Other Peripherals;Operating Systems;Applications Software(Business;Computer Consulting Services</v>
      </c>
      <c r="X73" s="6" t="str">
        <v>Communication/Network Software;Internet Services &amp; Software</v>
      </c>
      <c r="Y73" s="6" t="str">
        <v>Communication/Network Software;Internet Services &amp; Software</v>
      </c>
      <c r="Z73" s="6" t="str">
        <v>Internet Services &amp; Software;Communication/Network Software</v>
      </c>
      <c r="AA73" s="6" t="str">
        <v>Applications Software(Business;Monitors/Terminals;Internet Services &amp; Software;Computer Consulting Services;Other Peripherals;Operating Systems</v>
      </c>
      <c r="AB73" s="6" t="str">
        <v>Computer Consulting Services;Other Peripherals;Operating Systems;Applications Software(Business;Internet Services &amp; Software;Monitors/Terminals</v>
      </c>
    </row>
    <row r="74">
      <c r="A74" s="6" t="str">
        <v>594918</v>
      </c>
      <c r="B74" s="6" t="str">
        <v>United States</v>
      </c>
      <c r="C74" s="6" t="str">
        <v>Microsoft Corp</v>
      </c>
      <c r="D74" s="6" t="str">
        <v>Microsoft Corp</v>
      </c>
      <c r="F74" s="6" t="str">
        <v>United States</v>
      </c>
      <c r="G74" s="6" t="str">
        <v>Apple Computer Inc</v>
      </c>
      <c r="H74" s="6" t="str">
        <v>Computer and Office Equipment</v>
      </c>
      <c r="I74" s="6" t="str">
        <v>037833</v>
      </c>
      <c r="J74" s="6" t="str">
        <v>Apple Computer Inc</v>
      </c>
      <c r="K74" s="6" t="str">
        <v>Apple Computer Inc</v>
      </c>
      <c r="L74" s="7">
        <f>=DATE(1997,8,6)</f>
        <v>35647.99949074074</v>
      </c>
      <c r="M74" s="7">
        <f>=DATE(1997,8,6)</f>
        <v>35647.99949074074</v>
      </c>
      <c r="N74" s="8">
        <v>150</v>
      </c>
      <c r="O74" s="8">
        <v>150</v>
      </c>
      <c r="R74" s="8">
        <v>-816</v>
      </c>
      <c r="S74" s="8">
        <v>9833</v>
      </c>
      <c r="T74" s="8">
        <v>396</v>
      </c>
      <c r="U74" s="8">
        <v>-119</v>
      </c>
      <c r="V74" s="8">
        <v>519</v>
      </c>
      <c r="W74" s="6" t="str">
        <v>Applications Software(Business;Monitors/Terminals;Computer Consulting Services;Internet Services &amp; Software;Other Peripherals;Operating Systems</v>
      </c>
      <c r="X74" s="6" t="str">
        <v>Monitors/Terminals;Other Software (inq. Games);Printers;Portable Computers;Disk Drives;Micro-Computers (PCs);Mainframes &amp; Super Computers;Other Peripherals</v>
      </c>
      <c r="Y74" s="6" t="str">
        <v>Other Software (inq. Games);Printers;Other Peripherals;Portable Computers;Micro-Computers (PCs);Monitors/Terminals;Mainframes &amp; Super Computers;Disk Drives</v>
      </c>
      <c r="Z74" s="6" t="str">
        <v>Other Peripherals;Monitors/Terminals;Disk Drives;Mainframes &amp; Super Computers;Micro-Computers (PCs);Other Software (inq. Games);Printers;Portable Computers</v>
      </c>
      <c r="AA74" s="6" t="str">
        <v>Applications Software(Business;Internet Services &amp; Software;Other Peripherals;Operating Systems;Monitors/Terminals;Computer Consulting Services</v>
      </c>
      <c r="AB74" s="6" t="str">
        <v>Monitors/Terminals;Operating Systems;Computer Consulting Services;Internet Services &amp; Software;Applications Software(Business;Other Peripherals</v>
      </c>
      <c r="AC74" s="8">
        <v>150</v>
      </c>
      <c r="AD74" s="7">
        <f>=DATE(1997,8,11)</f>
        <v>35652.99949074074</v>
      </c>
      <c r="AL74" s="8">
        <v>150</v>
      </c>
    </row>
    <row r="75">
      <c r="A75" s="6" t="str">
        <v>594918</v>
      </c>
      <c r="B75" s="6" t="str">
        <v>United States</v>
      </c>
      <c r="C75" s="6" t="str">
        <v>Microsoft Corp</v>
      </c>
      <c r="D75" s="6" t="str">
        <v>Microsoft Corp</v>
      </c>
      <c r="F75" s="6" t="str">
        <v>United States</v>
      </c>
      <c r="G75" s="6" t="str">
        <v>Progressive Networks Inc</v>
      </c>
      <c r="H75" s="6" t="str">
        <v>Prepackaged Software</v>
      </c>
      <c r="I75" s="6" t="str">
        <v>74336E</v>
      </c>
      <c r="J75" s="6" t="str">
        <v>Progressive Networks Inc</v>
      </c>
      <c r="K75" s="6" t="str">
        <v>Progressive Networks Inc</v>
      </c>
      <c r="L75" s="7">
        <f>=DATE(1997,8,19)</f>
        <v>35660.99949074074</v>
      </c>
      <c r="M75" s="7">
        <f>=DATE(1997,8,19)</f>
        <v>35660.99949074074</v>
      </c>
      <c r="N75" s="8">
        <v>30</v>
      </c>
      <c r="O75" s="8">
        <v>30</v>
      </c>
      <c r="W75" s="6" t="str">
        <v>Operating Systems;Monitors/Terminals;Other Peripherals;Applications Software(Business;Computer Consulting Services;Internet Services &amp; Software</v>
      </c>
      <c r="X75" s="6" t="str">
        <v>Other Software (inq. Games);Programming Services;Applications Software(Business;Other Computer Systems;Communication/Network Software;Internet Services &amp; Software;Database Software/Programming;Other Computer Related Svcs;Applications Software(Home)</v>
      </c>
      <c r="Y75" s="6" t="str">
        <v>Programming Services;Internet Services &amp; Software;Applications Software(Home);Applications Software(Business;Other Computer Systems;Other Software (inq. Games);Database Software/Programming;Communication/Network Software;Other Computer Related Svcs</v>
      </c>
      <c r="Z75" s="6" t="str">
        <v>Programming Services;Applications Software(Home);Applications Software(Business;Database Software/Programming;Other Computer Systems;Other Computer Related Svcs;Communication/Network Software;Other Software (inq. Games);Internet Services &amp; Software</v>
      </c>
      <c r="AA75" s="6" t="str">
        <v>Applications Software(Business;Operating Systems;Computer Consulting Services;Internet Services &amp; Software;Other Peripherals;Monitors/Terminals</v>
      </c>
      <c r="AB75" s="6" t="str">
        <v>Computer Consulting Services;Operating Systems;Internet Services &amp; Software;Monitors/Terminals;Other Peripherals;Applications Software(Business</v>
      </c>
      <c r="AC75" s="8">
        <v>30</v>
      </c>
      <c r="AD75" s="7">
        <f>=DATE(1997,9,28)</f>
        <v>35700.99949074074</v>
      </c>
      <c r="AF75" s="8" t="str">
        <v>300.00</v>
      </c>
      <c r="AG75" s="8" t="str">
        <v>300.00</v>
      </c>
      <c r="AH75" s="8" t="str">
        <v>300.00</v>
      </c>
      <c r="AI75" s="8" t="str">
        <v>300.00</v>
      </c>
      <c r="AL75" s="8">
        <v>30</v>
      </c>
    </row>
    <row r="76">
      <c r="A76" s="6" t="str">
        <v>037833</v>
      </c>
      <c r="B76" s="6" t="str">
        <v>United States</v>
      </c>
      <c r="C76" s="6" t="str">
        <v>Apple Computer Inc</v>
      </c>
      <c r="D76" s="6" t="str">
        <v>Apple Computer Inc</v>
      </c>
      <c r="F76" s="6" t="str">
        <v>United States</v>
      </c>
      <c r="G76" s="6" t="str">
        <v>Power Computing Corp-Clone- Making Division</v>
      </c>
      <c r="H76" s="6" t="str">
        <v>Computer and Office Equipment</v>
      </c>
      <c r="I76" s="6" t="str">
        <v>73921J</v>
      </c>
      <c r="J76" s="6" t="str">
        <v>Power Computing Corp</v>
      </c>
      <c r="K76" s="6" t="str">
        <v>Power Computing Corp</v>
      </c>
      <c r="L76" s="7">
        <f>=DATE(1997,9,2)</f>
        <v>35674.99949074074</v>
      </c>
      <c r="M76" s="7">
        <f>=DATE(1997,9,2)</f>
        <v>35674.99949074074</v>
      </c>
      <c r="N76" s="8">
        <v>100</v>
      </c>
      <c r="O76" s="8">
        <v>100</v>
      </c>
      <c r="W76" s="6" t="str">
        <v>Other Software (inq. Games);Micro-Computers (PCs);Monitors/Terminals;Other Peripherals;Portable Computers;Disk Drives;Printers;Mainframes &amp; Super Computers</v>
      </c>
      <c r="X76" s="6" t="str">
        <v>Other Computer Systems</v>
      </c>
      <c r="Y76" s="6" t="str">
        <v>Computer Consulting Services</v>
      </c>
      <c r="Z76" s="6" t="str">
        <v>Computer Consulting Services</v>
      </c>
      <c r="AA76" s="6" t="str">
        <v>Portable Computers;Mainframes &amp; Super Computers;Disk Drives;Micro-Computers (PCs);Other Peripherals;Monitors/Terminals;Printers;Other Software (inq. Games)</v>
      </c>
      <c r="AB76" s="6" t="str">
        <v>Disk Drives;Printers;Other Software (inq. Games);Monitors/Terminals;Portable Computers;Other Peripherals;Mainframes &amp; Super Computers;Micro-Computers (PCs)</v>
      </c>
      <c r="AC76" s="8">
        <v>100</v>
      </c>
      <c r="AD76" s="7">
        <f>=DATE(1997,9,2)</f>
        <v>35674.99949074074</v>
      </c>
      <c r="AL76" s="8">
        <v>100</v>
      </c>
    </row>
    <row r="77">
      <c r="A77" s="6" t="str">
        <v>594918</v>
      </c>
      <c r="B77" s="6" t="str">
        <v>United States</v>
      </c>
      <c r="C77" s="6" t="str">
        <v>Microsoft Corp</v>
      </c>
      <c r="D77" s="6" t="str">
        <v>Microsoft Corp</v>
      </c>
      <c r="F77" s="6" t="str">
        <v>Germany</v>
      </c>
      <c r="G77" s="6" t="str">
        <v>Trados GmbH</v>
      </c>
      <c r="H77" s="6" t="str">
        <v>Prepackaged Software</v>
      </c>
      <c r="I77" s="6" t="str">
        <v>89269A</v>
      </c>
      <c r="J77" s="6" t="str">
        <v>Trados GmbH</v>
      </c>
      <c r="K77" s="6" t="str">
        <v>Trados GmbH</v>
      </c>
      <c r="L77" s="7">
        <f>=DATE(1997,9,9)</f>
        <v>35681.99949074074</v>
      </c>
      <c r="W77" s="6" t="str">
        <v>Applications Software(Business;Monitors/Terminals;Other Peripherals;Operating Systems;Internet Services &amp; Software;Computer Consulting Services</v>
      </c>
      <c r="X77" s="6" t="str">
        <v>Applications Software(Business</v>
      </c>
      <c r="Y77" s="6" t="str">
        <v>Applications Software(Business</v>
      </c>
      <c r="Z77" s="6" t="str">
        <v>Applications Software(Business</v>
      </c>
      <c r="AA77" s="6" t="str">
        <v>Applications Software(Business;Other Peripherals;Operating Systems;Internet Services &amp; Software;Monitors/Terminals;Computer Consulting Services</v>
      </c>
      <c r="AB77" s="6" t="str">
        <v>Applications Software(Business;Other Peripherals;Computer Consulting Services;Monitors/Terminals;Operating Systems;Internet Services &amp; Software</v>
      </c>
    </row>
    <row r="78">
      <c r="A78" s="6" t="str">
        <v>594918</v>
      </c>
      <c r="B78" s="6" t="str">
        <v>United States</v>
      </c>
      <c r="C78" s="6" t="str">
        <v>Microsoft Corp</v>
      </c>
      <c r="D78" s="6" t="str">
        <v>Microsoft Corp</v>
      </c>
      <c r="F78" s="6" t="str">
        <v>Belgium</v>
      </c>
      <c r="G78" s="6" t="str">
        <v>Lernout &amp; Hauspie Speech Products NV</v>
      </c>
      <c r="H78" s="6" t="str">
        <v>Prepackaged Software</v>
      </c>
      <c r="I78" s="6" t="str">
        <v>B5628B</v>
      </c>
      <c r="J78" s="6" t="str">
        <v>Lernout &amp; Hauspie Speech Products NV</v>
      </c>
      <c r="K78" s="6" t="str">
        <v>Lernout &amp; Hauspie Speech Products NV</v>
      </c>
      <c r="L78" s="7">
        <f>=DATE(1997,9,11)</f>
        <v>35683.99949074074</v>
      </c>
      <c r="M78" s="7">
        <f>=DATE(1997,9,11)</f>
        <v>35683.99949074074</v>
      </c>
      <c r="N78" s="8">
        <v>45.0511292517007</v>
      </c>
      <c r="O78" s="8">
        <v>45.0511292517007</v>
      </c>
      <c r="P78" s="8" t="str">
        <v>671.44</v>
      </c>
      <c r="R78" s="8">
        <v>-7.75490010714061</v>
      </c>
      <c r="S78" s="8">
        <v>30.2948257389551</v>
      </c>
      <c r="T78" s="8">
        <v>39.93441609</v>
      </c>
      <c r="U78" s="8">
        <v>-34.38198309</v>
      </c>
      <c r="V78" s="8">
        <v>2.45905623</v>
      </c>
      <c r="W78" s="6" t="str">
        <v>Internet Services &amp; Software;Monitors/Terminals;Other Peripherals;Applications Software(Business;Operating Systems;Computer Consulting Services</v>
      </c>
      <c r="X78" s="6" t="str">
        <v>Applications Software(Business;Applications Software(Home);Communication/Network Software;Other Software (inq. Games)</v>
      </c>
      <c r="Y78" s="6" t="str">
        <v>Communication/Network Software;Applications Software(Home);Other Software (inq. Games);Applications Software(Business</v>
      </c>
      <c r="Z78" s="6" t="str">
        <v>Applications Software(Home);Applications Software(Business;Communication/Network Software;Other Software (inq. Games)</v>
      </c>
      <c r="AA78" s="6" t="str">
        <v>Computer Consulting Services;Monitors/Terminals;Operating Systems;Other Peripherals;Internet Services &amp; Software;Applications Software(Business</v>
      </c>
      <c r="AB78" s="6" t="str">
        <v>Other Peripherals;Computer Consulting Services;Applications Software(Business;Internet Services &amp; Software;Monitors/Terminals;Operating Systems</v>
      </c>
      <c r="AC78" s="8">
        <v>45.0511292517007</v>
      </c>
      <c r="AD78" s="7">
        <f>=DATE(1997,9,11)</f>
        <v>35683.99949074074</v>
      </c>
      <c r="AF78" s="8" t="str">
        <v>579.75</v>
      </c>
      <c r="AG78" s="8" t="str">
        <v>579.75</v>
      </c>
      <c r="AH78" s="8" t="str">
        <v>563.14</v>
      </c>
      <c r="AI78" s="8" t="str">
        <v>563.14</v>
      </c>
      <c r="AL78" s="8">
        <v>45.0511292517007</v>
      </c>
    </row>
    <row r="79">
      <c r="A79" s="6" t="str">
        <v>594918</v>
      </c>
      <c r="B79" s="6" t="str">
        <v>United States</v>
      </c>
      <c r="C79" s="6" t="str">
        <v>Microsoft Corp</v>
      </c>
      <c r="D79" s="6" t="str">
        <v>Microsoft Corp</v>
      </c>
      <c r="F79" s="6" t="str">
        <v>United States</v>
      </c>
      <c r="G79" s="6" t="str">
        <v>E-Stamp Corp</v>
      </c>
      <c r="H79" s="6" t="str">
        <v>Prepackaged Software</v>
      </c>
      <c r="I79" s="6" t="str">
        <v>269154</v>
      </c>
      <c r="J79" s="6" t="str">
        <v>E-Stamp Corp</v>
      </c>
      <c r="K79" s="6" t="str">
        <v>E-Stamp Corp</v>
      </c>
      <c r="L79" s="7">
        <f>=DATE(1997,9,23)</f>
        <v>35695.99949074074</v>
      </c>
      <c r="M79" s="7">
        <f>=DATE(1997,9,23)</f>
        <v>35695.99949074074</v>
      </c>
      <c r="W79" s="6" t="str">
        <v>Operating Systems;Monitors/Terminals;Applications Software(Business;Internet Services &amp; Software;Computer Consulting Services;Other Peripherals</v>
      </c>
      <c r="X79" s="6" t="str">
        <v>Internet Services &amp; Software;Communication/Network Software</v>
      </c>
      <c r="Y79" s="6" t="str">
        <v>Internet Services &amp; Software;Communication/Network Software</v>
      </c>
      <c r="Z79" s="6" t="str">
        <v>Communication/Network Software;Internet Services &amp; Software</v>
      </c>
      <c r="AA79" s="6" t="str">
        <v>Operating Systems;Applications Software(Business;Internet Services &amp; Software;Computer Consulting Services;Other Peripherals;Monitors/Terminals</v>
      </c>
      <c r="AB79" s="6" t="str">
        <v>Computer Consulting Services;Internet Services &amp; Software;Applications Software(Business;Operating Systems;Other Peripherals;Monitors/Terminals</v>
      </c>
    </row>
    <row r="80">
      <c r="A80" s="6" t="str">
        <v>594918</v>
      </c>
      <c r="B80" s="6" t="str">
        <v>United States</v>
      </c>
      <c r="C80" s="6" t="str">
        <v>Microsoft Corp</v>
      </c>
      <c r="D80" s="6" t="str">
        <v>Microsoft Corp</v>
      </c>
      <c r="F80" s="6" t="str">
        <v>United States</v>
      </c>
      <c r="G80" s="6" t="str">
        <v>Tele-Communications Inc</v>
      </c>
      <c r="H80" s="6" t="str">
        <v>Radio and Television Broadcasting Stations</v>
      </c>
      <c r="I80" s="6" t="str">
        <v>87924V</v>
      </c>
      <c r="J80" s="6" t="str">
        <v>Tele-Communications Inc</v>
      </c>
      <c r="K80" s="6" t="str">
        <v>Tele-Communications Inc</v>
      </c>
      <c r="L80" s="7">
        <f>=DATE(1997,10,15)</f>
        <v>35717.99949074074</v>
      </c>
      <c r="R80" s="8">
        <v>490</v>
      </c>
      <c r="S80" s="8">
        <v>7803</v>
      </c>
      <c r="W80" s="6" t="str">
        <v>Monitors/Terminals;Applications Software(Business;Internet Services &amp; Software;Computer Consulting Services;Other Peripherals;Operating Systems</v>
      </c>
      <c r="X80" s="6" t="str">
        <v>Satellite Communications</v>
      </c>
      <c r="Y80" s="6" t="str">
        <v>Satellite Communications</v>
      </c>
      <c r="Z80" s="6" t="str">
        <v>Satellite Communications</v>
      </c>
      <c r="AA80" s="6" t="str">
        <v>Monitors/Terminals;Other Peripherals;Applications Software(Business;Computer Consulting Services;Internet Services &amp; Software;Operating Systems</v>
      </c>
      <c r="AB80" s="6" t="str">
        <v>Operating Systems;Computer Consulting Services;Applications Software(Business;Other Peripherals;Monitors/Terminals;Internet Services &amp; Software</v>
      </c>
    </row>
    <row r="81">
      <c r="A81" s="6" t="str">
        <v>594918</v>
      </c>
      <c r="B81" s="6" t="str">
        <v>United States</v>
      </c>
      <c r="C81" s="6" t="str">
        <v>Microsoft Corp</v>
      </c>
      <c r="D81" s="6" t="str">
        <v>Microsoft Corp</v>
      </c>
      <c r="F81" s="6" t="str">
        <v>United States</v>
      </c>
      <c r="G81" s="6" t="str">
        <v>Hotmail Corp(Microsoft Corp)</v>
      </c>
      <c r="H81" s="6" t="str">
        <v>Prepackaged Software</v>
      </c>
      <c r="I81" s="6" t="str">
        <v>44109K</v>
      </c>
      <c r="J81" s="6" t="str">
        <v>Microsoft Corp</v>
      </c>
      <c r="K81" s="6" t="str">
        <v>Microsoft Corp</v>
      </c>
      <c r="L81" s="7">
        <f>=DATE(1997,12,5)</f>
        <v>35768.99949074074</v>
      </c>
      <c r="M81" s="7">
        <f>=DATE(1997,12,31)</f>
        <v>35794.99949074074</v>
      </c>
      <c r="W81" s="6" t="str">
        <v>Monitors/Terminals;Internet Services &amp; Software;Computer Consulting Services;Other Peripherals;Operating Systems;Applications Software(Business</v>
      </c>
      <c r="X81" s="6" t="str">
        <v>Communication/Network Software;Internet Services &amp; Software</v>
      </c>
      <c r="Y81" s="6" t="str">
        <v>Applications Software(Business;Other Peripherals;Operating Systems;Internet Services &amp; Software;Monitors/Terminals;Computer Consulting Services</v>
      </c>
      <c r="Z81" s="6" t="str">
        <v>Internet Services &amp; Software;Monitors/Terminals;Computer Consulting Services;Operating Systems;Other Peripherals;Applications Software(Business</v>
      </c>
      <c r="AA81" s="6" t="str">
        <v>Other Peripherals;Computer Consulting Services;Applications Software(Business;Internet Services &amp; Software;Operating Systems;Monitors/Terminals</v>
      </c>
      <c r="AB81" s="6" t="str">
        <v>Computer Consulting Services;Monitors/Terminals;Other Peripherals;Operating Systems;Internet Services &amp; Software;Applications Software(Business</v>
      </c>
    </row>
    <row r="82">
      <c r="A82" s="6" t="str">
        <v>927914</v>
      </c>
      <c r="B82" s="6" t="str">
        <v>United States</v>
      </c>
      <c r="C82" s="6" t="str">
        <v>Visio Corp</v>
      </c>
      <c r="D82" s="6" t="str">
        <v>Visio Corp</v>
      </c>
      <c r="F82" s="6" t="str">
        <v>United States</v>
      </c>
      <c r="G82" s="6" t="str">
        <v>InfoModelers Inc</v>
      </c>
      <c r="H82" s="6" t="str">
        <v>Prepackaged Software</v>
      </c>
      <c r="I82" s="6" t="str">
        <v>45680V</v>
      </c>
      <c r="J82" s="6" t="str">
        <v>InfoModelers Inc</v>
      </c>
      <c r="K82" s="6" t="str">
        <v>InfoModelers Inc</v>
      </c>
      <c r="L82" s="7">
        <f>=DATE(1998,1,20)</f>
        <v>35814.99949074074</v>
      </c>
      <c r="W82" s="6" t="str">
        <v>Applications Software(Business</v>
      </c>
      <c r="X82" s="6" t="str">
        <v>Applications Software(Business</v>
      </c>
      <c r="Y82" s="6" t="str">
        <v>Applications Software(Business</v>
      </c>
      <c r="Z82" s="6" t="str">
        <v>Applications Software(Business</v>
      </c>
      <c r="AA82" s="6" t="str">
        <v>Applications Software(Business</v>
      </c>
      <c r="AB82" s="6" t="str">
        <v>Applications Software(Business</v>
      </c>
    </row>
    <row r="83">
      <c r="A83" s="6" t="str">
        <v>594918</v>
      </c>
      <c r="B83" s="6" t="str">
        <v>United States</v>
      </c>
      <c r="C83" s="6" t="str">
        <v>Microsoft Corp</v>
      </c>
      <c r="D83" s="6" t="str">
        <v>Microsoft Corp</v>
      </c>
      <c r="F83" s="6" t="str">
        <v>United States</v>
      </c>
      <c r="G83" s="6" t="str">
        <v>General Magic Inc</v>
      </c>
      <c r="H83" s="6" t="str">
        <v>Prepackaged Software</v>
      </c>
      <c r="I83" s="6" t="str">
        <v>370253</v>
      </c>
      <c r="J83" s="6" t="str">
        <v>General Magic Inc</v>
      </c>
      <c r="K83" s="6" t="str">
        <v>General Magic Inc</v>
      </c>
      <c r="L83" s="7">
        <f>=DATE(1998,3,4)</f>
        <v>35857.99949074074</v>
      </c>
      <c r="M83" s="7">
        <f>=DATE(1998,3,4)</f>
        <v>35857.99949074074</v>
      </c>
      <c r="N83" s="8">
        <v>6</v>
      </c>
      <c r="O83" s="8">
        <v>6</v>
      </c>
      <c r="R83" s="8">
        <v>-33.899</v>
      </c>
      <c r="S83" s="8">
        <v>4.58</v>
      </c>
      <c r="W83" s="6" t="str">
        <v>Internet Services &amp; Software;Other Peripherals;Operating Systems;Applications Software(Business;Monitors/Terminals;Computer Consulting Services</v>
      </c>
      <c r="X83" s="6" t="str">
        <v>Communication/Network Software;Programming Services</v>
      </c>
      <c r="Y83" s="6" t="str">
        <v>Communication/Network Software;Programming Services</v>
      </c>
      <c r="Z83" s="6" t="str">
        <v>Programming Services;Communication/Network Software</v>
      </c>
      <c r="AA83" s="6" t="str">
        <v>Computer Consulting Services;Other Peripherals;Operating Systems;Internet Services &amp; Software;Applications Software(Business;Monitors/Terminals</v>
      </c>
      <c r="AB83" s="6" t="str">
        <v>Applications Software(Business;Monitors/Terminals;Operating Systems;Computer Consulting Services;Internet Services &amp; Software;Other Peripherals</v>
      </c>
      <c r="AC83" s="8">
        <v>6</v>
      </c>
      <c r="AD83" s="7">
        <f>=DATE(1998,3,4)</f>
        <v>35857.99949074074</v>
      </c>
      <c r="AL83" s="8">
        <v>6</v>
      </c>
    </row>
    <row r="84">
      <c r="A84" s="6" t="str">
        <v>594918</v>
      </c>
      <c r="B84" s="6" t="str">
        <v>United States</v>
      </c>
      <c r="C84" s="6" t="str">
        <v>Microsoft Corp</v>
      </c>
      <c r="D84" s="6" t="str">
        <v>Microsoft Corp</v>
      </c>
      <c r="F84" s="6" t="str">
        <v>United States</v>
      </c>
      <c r="G84" s="6" t="str">
        <v>WavePhore Inc</v>
      </c>
      <c r="H84" s="6" t="str">
        <v>Communications Equipment</v>
      </c>
      <c r="I84" s="6" t="str">
        <v>943567</v>
      </c>
      <c r="J84" s="6" t="str">
        <v>WavePhore Inc</v>
      </c>
      <c r="K84" s="6" t="str">
        <v>WavePhore Inc</v>
      </c>
      <c r="L84" s="7">
        <f>=DATE(1998,3,6)</f>
        <v>35859.99949074074</v>
      </c>
      <c r="M84" s="7">
        <f>=DATE(1998,3,6)</f>
        <v>35859.99949074074</v>
      </c>
      <c r="R84" s="8">
        <v>-19.784</v>
      </c>
      <c r="S84" s="8">
        <v>22.59</v>
      </c>
      <c r="T84" s="8">
        <v>24.563</v>
      </c>
      <c r="U84" s="8">
        <v>-11.396</v>
      </c>
      <c r="V84" s="8">
        <v>-13.407</v>
      </c>
      <c r="W84" s="6" t="str">
        <v>Computer Consulting Services;Monitors/Terminals;Operating Systems;Internet Services &amp; Software;Other Peripherals;Applications Software(Business</v>
      </c>
      <c r="X84" s="6" t="str">
        <v>Other Telecommunications Equip</v>
      </c>
      <c r="Y84" s="6" t="str">
        <v>Other Telecommunications Equip</v>
      </c>
      <c r="Z84" s="6" t="str">
        <v>Other Telecommunications Equip</v>
      </c>
      <c r="AA84" s="6" t="str">
        <v>Monitors/Terminals;Internet Services &amp; Software;Computer Consulting Services;Other Peripherals;Applications Software(Business;Operating Systems</v>
      </c>
      <c r="AB84" s="6" t="str">
        <v>Monitors/Terminals;Internet Services &amp; Software;Applications Software(Business;Other Peripherals;Operating Systems;Computer Consulting Services</v>
      </c>
    </row>
    <row r="85">
      <c r="A85" s="6" t="str">
        <v>594918</v>
      </c>
      <c r="B85" s="6" t="str">
        <v>United States</v>
      </c>
      <c r="C85" s="6" t="str">
        <v>Microsoft Corp</v>
      </c>
      <c r="D85" s="6" t="str">
        <v>Microsoft Corp</v>
      </c>
      <c r="F85" s="6" t="str">
        <v>United States</v>
      </c>
      <c r="G85" s="6" t="str">
        <v>FireFly Network Inc</v>
      </c>
      <c r="H85" s="6" t="str">
        <v>Prepackaged Software</v>
      </c>
      <c r="I85" s="6" t="str">
        <v>31813V</v>
      </c>
      <c r="J85" s="6" t="str">
        <v>FireFly Network Inc</v>
      </c>
      <c r="K85" s="6" t="str">
        <v>FireFly Network Inc</v>
      </c>
      <c r="L85" s="7">
        <f>=DATE(1998,4,10)</f>
        <v>35894.99949074074</v>
      </c>
      <c r="M85" s="7">
        <f>=DATE(1998,4,15)</f>
        <v>35899.99949074074</v>
      </c>
      <c r="N85" s="8">
        <v>40</v>
      </c>
      <c r="O85" s="8">
        <v>40</v>
      </c>
      <c r="W85" s="6" t="str">
        <v>Internet Services &amp; Software;Other Peripherals;Monitors/Terminals;Operating Systems;Applications Software(Business;Computer Consulting Services</v>
      </c>
      <c r="X85" s="6" t="str">
        <v>Internet Services &amp; Software;Applications Software(Home);Communication/Network Software;Applications Software(Business</v>
      </c>
      <c r="Y85" s="6" t="str">
        <v>Internet Services &amp; Software;Applications Software(Business;Communication/Network Software;Applications Software(Home)</v>
      </c>
      <c r="Z85" s="6" t="str">
        <v>Applications Software(Home);Communication/Network Software;Applications Software(Business;Internet Services &amp; Software</v>
      </c>
      <c r="AA85" s="6" t="str">
        <v>Operating Systems;Internet Services &amp; Software;Other Peripherals;Applications Software(Business;Computer Consulting Services;Monitors/Terminals</v>
      </c>
      <c r="AB85" s="6" t="str">
        <v>Internet Services &amp; Software;Other Peripherals;Operating Systems;Applications Software(Business;Monitors/Terminals;Computer Consulting Services</v>
      </c>
      <c r="AC85" s="8">
        <v>40</v>
      </c>
      <c r="AD85" s="7">
        <f>=DATE(1998,4,15)</f>
        <v>35899.99949074074</v>
      </c>
      <c r="AF85" s="8" t="str">
        <v>40.00</v>
      </c>
      <c r="AG85" s="8" t="str">
        <v>40.00</v>
      </c>
      <c r="AH85" s="8" t="str">
        <v>40.00</v>
      </c>
      <c r="AI85" s="8" t="str">
        <v>40.00</v>
      </c>
      <c r="AL85" s="8">
        <v>40</v>
      </c>
    </row>
    <row r="86">
      <c r="A86" s="6" t="str">
        <v>023135</v>
      </c>
      <c r="B86" s="6" t="str">
        <v>United States</v>
      </c>
      <c r="C86" s="6" t="str">
        <v>Amazon.com Inc</v>
      </c>
      <c r="D86" s="6" t="str">
        <v>Amazon.com Inc</v>
      </c>
      <c r="E86" s="6" t="str">
        <v>Amazon.com Inc;Amazon.com Inc</v>
      </c>
      <c r="F86" s="6" t="str">
        <v>United Kingdom</v>
      </c>
      <c r="G86" s="6" t="str">
        <v>Bookpages Ltd</v>
      </c>
      <c r="H86" s="6" t="str">
        <v>Wholesale Trade-Nondurable Goods</v>
      </c>
      <c r="I86" s="6" t="str">
        <v>09855P</v>
      </c>
      <c r="J86" s="6" t="str">
        <v>Bookpages Ltd</v>
      </c>
      <c r="K86" s="6" t="str">
        <v>Bookpages Ltd</v>
      </c>
      <c r="L86" s="7">
        <f>=DATE(1998,4,28)</f>
        <v>35912.99949074074</v>
      </c>
      <c r="M86" s="7">
        <f>=DATE(1998,4,28)</f>
        <v>35912.99949074074</v>
      </c>
      <c r="W86" s="6" t="str">
        <v>Primary Business not Hi-Tech</v>
      </c>
      <c r="X86" s="6" t="str">
        <v>Other Computer Related Svcs</v>
      </c>
      <c r="Y86" s="6" t="str">
        <v>Other Computer Related Svcs</v>
      </c>
      <c r="Z86" s="6" t="str">
        <v>Other Computer Related Svcs</v>
      </c>
      <c r="AA86" s="6" t="str">
        <v>Primary Business not Hi-Tech</v>
      </c>
      <c r="AB86" s="6" t="str">
        <v>Primary Business not Hi-Tech</v>
      </c>
    </row>
    <row r="87">
      <c r="A87" s="6" t="str">
        <v>023135</v>
      </c>
      <c r="B87" s="6" t="str">
        <v>United States</v>
      </c>
      <c r="C87" s="6" t="str">
        <v>Amazon.com Inc</v>
      </c>
      <c r="D87" s="6" t="str">
        <v>Amazon.com Inc</v>
      </c>
      <c r="E87" s="6" t="str">
        <v>Amazon.com Inc;Amazon.com Inc</v>
      </c>
      <c r="F87" s="6" t="str">
        <v>United States</v>
      </c>
      <c r="G87" s="6" t="str">
        <v>Internet Movie Database Inc</v>
      </c>
      <c r="H87" s="6" t="str">
        <v>Business Services</v>
      </c>
      <c r="I87" s="6" t="str">
        <v>46056F</v>
      </c>
      <c r="J87" s="6" t="str">
        <v>Amazon.com Inc</v>
      </c>
      <c r="K87" s="6" t="str">
        <v>Amazon.com Inc</v>
      </c>
      <c r="L87" s="7">
        <f>=DATE(1998,4,28)</f>
        <v>35912.99949074074</v>
      </c>
      <c r="M87" s="7">
        <f>=DATE(1998,4,28)</f>
        <v>35912.99949074074</v>
      </c>
      <c r="W87" s="6" t="str">
        <v>Primary Business not Hi-Tech</v>
      </c>
      <c r="X87" s="6" t="str">
        <v>Internet Services &amp; Software;Other Computer Related Svcs</v>
      </c>
      <c r="Y87" s="6" t="str">
        <v>Primary Business not Hi-Tech</v>
      </c>
      <c r="Z87" s="6" t="str">
        <v>Primary Business not Hi-Tech</v>
      </c>
      <c r="AA87" s="6" t="str">
        <v>Primary Business not Hi-Tech</v>
      </c>
      <c r="AB87" s="6" t="str">
        <v>Primary Business not Hi-Tech</v>
      </c>
    </row>
    <row r="88">
      <c r="A88" s="6" t="str">
        <v>594918</v>
      </c>
      <c r="B88" s="6" t="str">
        <v>United States</v>
      </c>
      <c r="C88" s="6" t="str">
        <v>Microsoft Corp</v>
      </c>
      <c r="D88" s="6" t="str">
        <v>Microsoft Corp</v>
      </c>
      <c r="F88" s="6" t="str">
        <v>United States</v>
      </c>
      <c r="G88" s="6" t="str">
        <v>MESA Group Inc</v>
      </c>
      <c r="H88" s="6" t="str">
        <v>Prepackaged Software</v>
      </c>
      <c r="I88" s="6" t="str">
        <v>59066L</v>
      </c>
      <c r="J88" s="6" t="str">
        <v>MESA Group Inc</v>
      </c>
      <c r="K88" s="6" t="str">
        <v>MESA Group Inc</v>
      </c>
      <c r="L88" s="7">
        <f>=DATE(1998,4,28)</f>
        <v>35912.99949074074</v>
      </c>
      <c r="M88" s="7">
        <f>=DATE(1998,4,28)</f>
        <v>35912.99949074074</v>
      </c>
      <c r="W88" s="6" t="str">
        <v>Applications Software(Business;Monitors/Terminals;Other Peripherals;Computer Consulting Services;Operating Systems;Internet Services &amp; Software</v>
      </c>
      <c r="X88" s="6" t="str">
        <v>Communication/Network Software;Utilities/File Mgmt Software</v>
      </c>
      <c r="Y88" s="6" t="str">
        <v>Communication/Network Software;Utilities/File Mgmt Software</v>
      </c>
      <c r="Z88" s="6" t="str">
        <v>Utilities/File Mgmt Software;Communication/Network Software</v>
      </c>
      <c r="AA88" s="6" t="str">
        <v>Computer Consulting Services;Internet Services &amp; Software;Applications Software(Business;Operating Systems;Other Peripherals;Monitors/Terminals</v>
      </c>
      <c r="AB88" s="6" t="str">
        <v>Monitors/Terminals;Operating Systems;Applications Software(Business;Computer Consulting Services;Internet Services &amp; Software;Other Peripherals</v>
      </c>
    </row>
    <row r="89">
      <c r="A89" s="6" t="str">
        <v>023135</v>
      </c>
      <c r="B89" s="6" t="str">
        <v>United States</v>
      </c>
      <c r="C89" s="6" t="str">
        <v>Amazon.com Inc</v>
      </c>
      <c r="D89" s="6" t="str">
        <v>Amazon.com Inc</v>
      </c>
      <c r="E89" s="6" t="str">
        <v>Amazon.com Inc;Amazon.com Inc</v>
      </c>
      <c r="F89" s="6" t="str">
        <v>United States</v>
      </c>
      <c r="G89" s="6" t="str">
        <v>Telebook Inc</v>
      </c>
      <c r="H89" s="6" t="str">
        <v>Business Services</v>
      </c>
      <c r="I89" s="6" t="str">
        <v>87919P</v>
      </c>
      <c r="J89" s="6" t="str">
        <v>Telebook Inc</v>
      </c>
      <c r="K89" s="6" t="str">
        <v>Telebook Inc</v>
      </c>
      <c r="L89" s="7">
        <f>=DATE(1998,4,28)</f>
        <v>35912.99949074074</v>
      </c>
      <c r="M89" s="7">
        <f>=DATE(1998,4,28)</f>
        <v>35912.99949074074</v>
      </c>
      <c r="W89" s="6" t="str">
        <v>Primary Business not Hi-Tech</v>
      </c>
      <c r="X89" s="6" t="str">
        <v>Other Computer Related Svcs</v>
      </c>
      <c r="Y89" s="6" t="str">
        <v>Other Computer Related Svcs</v>
      </c>
      <c r="Z89" s="6" t="str">
        <v>Other Computer Related Svcs</v>
      </c>
      <c r="AA89" s="6" t="str">
        <v>Primary Business not Hi-Tech</v>
      </c>
      <c r="AB89" s="6" t="str">
        <v>Primary Business not Hi-Tech</v>
      </c>
    </row>
    <row r="90">
      <c r="A90" s="6" t="str">
        <v>893929</v>
      </c>
      <c r="B90" s="6" t="str">
        <v>United States</v>
      </c>
      <c r="C90" s="6" t="str">
        <v>Transcend Services Inc</v>
      </c>
      <c r="D90" s="6" t="str">
        <v>Transcend Services Inc</v>
      </c>
      <c r="F90" s="6" t="str">
        <v>United States</v>
      </c>
      <c r="G90" s="6" t="str">
        <v>Health Care Information Systems Inc</v>
      </c>
      <c r="H90" s="6" t="str">
        <v>Prepackaged Software</v>
      </c>
      <c r="I90" s="6" t="str">
        <v>42229W</v>
      </c>
      <c r="J90" s="6" t="str">
        <v>Health Care Information Systems Inc</v>
      </c>
      <c r="K90" s="6" t="str">
        <v>Health Care Information Systems Inc</v>
      </c>
      <c r="L90" s="7">
        <f>=DATE(1998,4,29)</f>
        <v>35913.99949074074</v>
      </c>
      <c r="M90" s="7">
        <f>=DATE(1998,6,2)</f>
        <v>35947.99949074074</v>
      </c>
      <c r="W90" s="6" t="str">
        <v>Data Processing Services;Other Computer Related Svcs</v>
      </c>
      <c r="X90" s="6" t="str">
        <v>Applications Software(Business</v>
      </c>
      <c r="Y90" s="6" t="str">
        <v>Applications Software(Business</v>
      </c>
      <c r="Z90" s="6" t="str">
        <v>Applications Software(Business</v>
      </c>
      <c r="AA90" s="6" t="str">
        <v>Data Processing Services;Other Computer Related Svcs</v>
      </c>
      <c r="AB90" s="6" t="str">
        <v>Other Computer Related Svcs;Data Processing Services</v>
      </c>
    </row>
    <row r="91">
      <c r="A91" s="6" t="str">
        <v>927914</v>
      </c>
      <c r="B91" s="6" t="str">
        <v>United States</v>
      </c>
      <c r="C91" s="6" t="str">
        <v>Visio Corp</v>
      </c>
      <c r="D91" s="6" t="str">
        <v>Visio Corp</v>
      </c>
      <c r="F91" s="6" t="str">
        <v>United Kingdom</v>
      </c>
      <c r="G91" s="6" t="str">
        <v>Decision Graphics UK-CAFM Explorer Technology</v>
      </c>
      <c r="H91" s="6" t="str">
        <v>Prepackaged Software</v>
      </c>
      <c r="I91" s="6" t="str">
        <v>24345L</v>
      </c>
      <c r="J91" s="6" t="str">
        <v>Decision Graphics UK Ltd</v>
      </c>
      <c r="K91" s="6" t="str">
        <v>Decision Graphics UK Ltd</v>
      </c>
      <c r="L91" s="7">
        <f>=DATE(1998,5,26)</f>
        <v>35940.99949074074</v>
      </c>
      <c r="M91" s="7">
        <f>=DATE(1998,5,26)</f>
        <v>35940.99949074074</v>
      </c>
      <c r="W91" s="6" t="str">
        <v>Applications Software(Business</v>
      </c>
      <c r="X91" s="6" t="str">
        <v>Applications Software(Business;Desktop Publishing</v>
      </c>
      <c r="Y91" s="6" t="str">
        <v>Desktop Publishing;Applications Software(Business</v>
      </c>
      <c r="Z91" s="6" t="str">
        <v>Desktop Publishing;Applications Software(Business</v>
      </c>
      <c r="AA91" s="6" t="str">
        <v>Applications Software(Business</v>
      </c>
      <c r="AB91" s="6" t="str">
        <v>Applications Software(Business</v>
      </c>
    </row>
    <row r="92">
      <c r="A92" s="6" t="str">
        <v>594918</v>
      </c>
      <c r="B92" s="6" t="str">
        <v>United States</v>
      </c>
      <c r="C92" s="6" t="str">
        <v>Microsoft Corp</v>
      </c>
      <c r="D92" s="6" t="str">
        <v>Microsoft Corp</v>
      </c>
      <c r="F92" s="6" t="str">
        <v>South Korea</v>
      </c>
      <c r="G92" s="6" t="str">
        <v>Hangul &amp; Computer</v>
      </c>
      <c r="H92" s="6" t="str">
        <v>Prepackaged Software</v>
      </c>
      <c r="I92" s="6" t="str">
        <v>41046J</v>
      </c>
      <c r="J92" s="6" t="str">
        <v>Hangul &amp; Computer</v>
      </c>
      <c r="K92" s="6" t="str">
        <v>Hangul &amp; Computer</v>
      </c>
      <c r="L92" s="7">
        <f>=DATE(1998,6,15)</f>
        <v>35960.99949074074</v>
      </c>
      <c r="N92" s="8">
        <v>19.9674529616725</v>
      </c>
      <c r="O92" s="8">
        <v>19.9674529616725</v>
      </c>
      <c r="W92" s="6" t="str">
        <v>Other Peripherals;Computer Consulting Services;Operating Systems;Monitors/Terminals;Applications Software(Business;Internet Services &amp; Software</v>
      </c>
      <c r="X92" s="6" t="str">
        <v>Applications Software(Home);Database Software/Programming;Other Software (inq. Games);Utilities/File Mgmt Software;Communication/Network Software;Applications Software(Business</v>
      </c>
      <c r="Y92" s="6" t="str">
        <v>Other Software (inq. Games);Utilities/File Mgmt Software;Communication/Network Software;Applications Software(Home);Database Software/Programming;Applications Software(Business</v>
      </c>
      <c r="Z92" s="6" t="str">
        <v>Database Software/Programming;Applications Software(Home);Applications Software(Business;Communication/Network Software;Other Software (inq. Games);Utilities/File Mgmt Software</v>
      </c>
      <c r="AA92" s="6" t="str">
        <v>Other Peripherals;Applications Software(Business;Operating Systems;Internet Services &amp; Software;Computer Consulting Services;Monitors/Terminals</v>
      </c>
      <c r="AB92" s="6" t="str">
        <v>Computer Consulting Services;Operating Systems;Monitors/Terminals;Applications Software(Business;Internet Services &amp; Software;Other Peripherals</v>
      </c>
      <c r="AC92" s="8">
        <v>19.9674529616725</v>
      </c>
      <c r="AD92" s="7">
        <f>=DATE(1998,6,15)</f>
        <v>35960.99949074074</v>
      </c>
      <c r="AL92" s="8">
        <v>19.9674529616725</v>
      </c>
    </row>
    <row r="93">
      <c r="A93" s="6" t="str">
        <v>53577X</v>
      </c>
      <c r="B93" s="6" t="str">
        <v>United States</v>
      </c>
      <c r="C93" s="6" t="str">
        <v>LinkExchange(TM) Inc</v>
      </c>
      <c r="D93" s="6" t="str">
        <v>LinkExchange(TM) Inc</v>
      </c>
      <c r="F93" s="6" t="str">
        <v>United States</v>
      </c>
      <c r="G93" s="6" t="str">
        <v>Merchant Planet</v>
      </c>
      <c r="H93" s="6" t="str">
        <v>Business Services</v>
      </c>
      <c r="I93" s="6" t="str">
        <v>58821W</v>
      </c>
      <c r="J93" s="6" t="str">
        <v>Merchant Planet</v>
      </c>
      <c r="K93" s="6" t="str">
        <v>Merchant Planet</v>
      </c>
      <c r="L93" s="7">
        <f>=DATE(1998,6,22)</f>
        <v>35967.99949074074</v>
      </c>
      <c r="M93" s="7">
        <f>=DATE(1998,6,22)</f>
        <v>35967.99949074074</v>
      </c>
      <c r="X93" s="6" t="str">
        <v>Internet Services &amp; Software</v>
      </c>
      <c r="Y93" s="6" t="str">
        <v>Internet Services &amp; Software</v>
      </c>
      <c r="Z93" s="6" t="str">
        <v>Internet Services &amp; Software</v>
      </c>
    </row>
    <row r="94">
      <c r="A94" s="6" t="str">
        <v>85208C</v>
      </c>
      <c r="B94" s="6" t="str">
        <v>United States</v>
      </c>
      <c r="C94" s="6" t="str">
        <v>Spruce Technologies Inc(Japan Information Processing Service Co)</v>
      </c>
      <c r="D94" s="6" t="str">
        <v>Japan Information Processing Service Co Ltd</v>
      </c>
      <c r="F94" s="6" t="str">
        <v>United States</v>
      </c>
      <c r="G94" s="6" t="str">
        <v>Cadent-DVD Encoding Business</v>
      </c>
      <c r="H94" s="6" t="str">
        <v>Communications Equipment</v>
      </c>
      <c r="I94" s="6" t="str">
        <v>12549Q</v>
      </c>
      <c r="J94" s="6" t="str">
        <v>Cadent LLC</v>
      </c>
      <c r="K94" s="6" t="str">
        <v>Cadent LLC</v>
      </c>
      <c r="L94" s="7">
        <f>=DATE(1998,6,30)</f>
        <v>35975.99949074074</v>
      </c>
      <c r="M94" s="7">
        <f>=DATE(1998,6,30)</f>
        <v>35975.99949074074</v>
      </c>
      <c r="W94" s="6" t="str">
        <v>Other Software (inq. Games)</v>
      </c>
      <c r="X94" s="6" t="str">
        <v>Microwave Communications;Data Commun(Exclude networking</v>
      </c>
      <c r="Y94" s="6" t="str">
        <v>Data Commun(Exclude networking;Microwave Communications</v>
      </c>
      <c r="Z94" s="6" t="str">
        <v>Data Commun(Exclude networking;Microwave Communications</v>
      </c>
      <c r="AA94" s="6" t="str">
        <v>Data Processing Services</v>
      </c>
      <c r="AB94" s="6" t="str">
        <v>Data Processing Services</v>
      </c>
    </row>
    <row r="95">
      <c r="A95" s="6" t="str">
        <v>927914</v>
      </c>
      <c r="B95" s="6" t="str">
        <v>United States</v>
      </c>
      <c r="C95" s="6" t="str">
        <v>Visio Corp</v>
      </c>
      <c r="D95" s="6" t="str">
        <v>Visio Corp</v>
      </c>
      <c r="F95" s="6" t="str">
        <v>United States</v>
      </c>
      <c r="G95" s="6" t="str">
        <v>Kaspia Systems Inc</v>
      </c>
      <c r="H95" s="6" t="str">
        <v>Prepackaged Software</v>
      </c>
      <c r="I95" s="6" t="str">
        <v>48581J</v>
      </c>
      <c r="J95" s="6" t="str">
        <v>Kaspia Systems Inc</v>
      </c>
      <c r="K95" s="6" t="str">
        <v>Kaspia Systems Inc</v>
      </c>
      <c r="L95" s="7">
        <f>=DATE(1998,7,13)</f>
        <v>35988.99949074074</v>
      </c>
      <c r="M95" s="7">
        <f>=DATE(1998,7,13)</f>
        <v>35988.99949074074</v>
      </c>
      <c r="N95" s="8">
        <v>29.787</v>
      </c>
      <c r="O95" s="8">
        <v>29.787</v>
      </c>
      <c r="W95" s="6" t="str">
        <v>Applications Software(Business</v>
      </c>
      <c r="X95" s="6" t="str">
        <v>Applications Software(Business</v>
      </c>
      <c r="Y95" s="6" t="str">
        <v>Applications Software(Business</v>
      </c>
      <c r="Z95" s="6" t="str">
        <v>Applications Software(Business</v>
      </c>
      <c r="AA95" s="6" t="str">
        <v>Applications Software(Business</v>
      </c>
      <c r="AB95" s="6" t="str">
        <v>Applications Software(Business</v>
      </c>
      <c r="AC95" s="8">
        <v>29.787</v>
      </c>
      <c r="AD95" s="7">
        <f>=DATE(1998,7,13)</f>
        <v>35988.99949074074</v>
      </c>
      <c r="AF95" s="8" t="str">
        <v>29.79</v>
      </c>
      <c r="AG95" s="8" t="str">
        <v>29.79</v>
      </c>
      <c r="AH95" s="8" t="str">
        <v>29.79</v>
      </c>
      <c r="AI95" s="8" t="str">
        <v>29.79</v>
      </c>
      <c r="AL95" s="8">
        <v>29.787</v>
      </c>
    </row>
    <row r="96">
      <c r="A96" s="6" t="str">
        <v>023135</v>
      </c>
      <c r="B96" s="6" t="str">
        <v>United States</v>
      </c>
      <c r="C96" s="6" t="str">
        <v>Amazon.com Inc</v>
      </c>
      <c r="D96" s="6" t="str">
        <v>Amazon.com Inc</v>
      </c>
      <c r="F96" s="6" t="str">
        <v>United States</v>
      </c>
      <c r="G96" s="6" t="str">
        <v>Junglee Corp</v>
      </c>
      <c r="H96" s="6" t="str">
        <v>Business Services</v>
      </c>
      <c r="I96" s="6" t="str">
        <v>48187R</v>
      </c>
      <c r="J96" s="6" t="str">
        <v>Junglee Corp</v>
      </c>
      <c r="K96" s="6" t="str">
        <v>Junglee Corp</v>
      </c>
      <c r="L96" s="7">
        <f>=DATE(1998,8,4)</f>
        <v>36010.99949074074</v>
      </c>
      <c r="M96" s="7">
        <f>=DATE(1998,8,12)</f>
        <v>36018.99949074074</v>
      </c>
      <c r="N96" s="8">
        <v>198.4</v>
      </c>
      <c r="O96" s="8">
        <v>173.2</v>
      </c>
      <c r="P96" s="8" t="str">
        <v>173.20</v>
      </c>
      <c r="R96" s="8">
        <v>-4.2</v>
      </c>
      <c r="S96" s="8">
        <v>1.216</v>
      </c>
      <c r="W96" s="6" t="str">
        <v>Primary Business not Hi-Tech</v>
      </c>
      <c r="X96" s="6" t="str">
        <v>Internet Services &amp; Software</v>
      </c>
      <c r="Y96" s="6" t="str">
        <v>Internet Services &amp; Software</v>
      </c>
      <c r="Z96" s="6" t="str">
        <v>Internet Services &amp; Software</v>
      </c>
      <c r="AA96" s="6" t="str">
        <v>Primary Business not Hi-Tech</v>
      </c>
      <c r="AB96" s="6" t="str">
        <v>Primary Business not Hi-Tech</v>
      </c>
      <c r="AC96" s="8">
        <v>173.2</v>
      </c>
      <c r="AD96" s="7">
        <f>=DATE(1998,8,4)</f>
        <v>36010.99949074074</v>
      </c>
      <c r="AF96" s="8" t="str">
        <v>173.20</v>
      </c>
      <c r="AG96" s="8" t="str">
        <v>198.40</v>
      </c>
      <c r="AH96" s="8" t="str">
        <v>173.20</v>
      </c>
      <c r="AI96" s="8" t="str">
        <v>173.20</v>
      </c>
      <c r="AL96" s="8">
        <v>173.2</v>
      </c>
    </row>
    <row r="97">
      <c r="A97" s="6" t="str">
        <v>023135</v>
      </c>
      <c r="B97" s="6" t="str">
        <v>United States</v>
      </c>
      <c r="C97" s="6" t="str">
        <v>Amazon.com Inc</v>
      </c>
      <c r="D97" s="6" t="str">
        <v>Amazon.com Inc</v>
      </c>
      <c r="F97" s="6" t="str">
        <v>United States</v>
      </c>
      <c r="G97" s="6" t="str">
        <v>PlanetAll</v>
      </c>
      <c r="H97" s="6" t="str">
        <v>Prepackaged Software</v>
      </c>
      <c r="I97" s="6" t="str">
        <v>72704J</v>
      </c>
      <c r="J97" s="6" t="str">
        <v>PlanetAll</v>
      </c>
      <c r="K97" s="6" t="str">
        <v>PlanetAll</v>
      </c>
      <c r="L97" s="7">
        <f>=DATE(1998,8,4)</f>
        <v>36010.99949074074</v>
      </c>
      <c r="M97" s="7">
        <f>=DATE(1998,8,27)</f>
        <v>36033.99949074074</v>
      </c>
      <c r="N97" s="8">
        <v>101.8</v>
      </c>
      <c r="O97" s="8">
        <v>86.6</v>
      </c>
      <c r="W97" s="6" t="str">
        <v>Primary Business not Hi-Tech</v>
      </c>
      <c r="X97" s="6" t="str">
        <v>Applications Software(Home)</v>
      </c>
      <c r="Y97" s="6" t="str">
        <v>Applications Software(Home)</v>
      </c>
      <c r="Z97" s="6" t="str">
        <v>Applications Software(Home)</v>
      </c>
      <c r="AA97" s="6" t="str">
        <v>Primary Business not Hi-Tech</v>
      </c>
      <c r="AB97" s="6" t="str">
        <v>Primary Business not Hi-Tech</v>
      </c>
      <c r="AC97" s="8">
        <v>86.6</v>
      </c>
      <c r="AD97" s="7">
        <f>=DATE(1998,8,4)</f>
        <v>36010.99949074074</v>
      </c>
      <c r="AF97" s="8" t="str">
        <v>86.60</v>
      </c>
      <c r="AG97" s="8" t="str">
        <v>101.80</v>
      </c>
      <c r="AH97" s="8" t="str">
        <v>86.60</v>
      </c>
      <c r="AI97" s="8" t="str">
        <v>86.60</v>
      </c>
      <c r="AL97" s="8">
        <v>86.6</v>
      </c>
    </row>
    <row r="98">
      <c r="A98" s="6" t="str">
        <v>594918</v>
      </c>
      <c r="B98" s="6" t="str">
        <v>United States</v>
      </c>
      <c r="C98" s="6" t="str">
        <v>Microsoft Corp</v>
      </c>
      <c r="D98" s="6" t="str">
        <v>Microsoft Corp</v>
      </c>
      <c r="F98" s="6" t="str">
        <v>United States</v>
      </c>
      <c r="G98" s="6" t="str">
        <v>Valence Research Inc</v>
      </c>
      <c r="H98" s="6" t="str">
        <v>Prepackaged Software</v>
      </c>
      <c r="I98" s="6" t="str">
        <v>91891J</v>
      </c>
      <c r="J98" s="6" t="str">
        <v>Valence Research Inc</v>
      </c>
      <c r="K98" s="6" t="str">
        <v>Valence Research Inc</v>
      </c>
      <c r="L98" s="7">
        <f>=DATE(1998,8,25)</f>
        <v>36031.99949074074</v>
      </c>
      <c r="M98" s="7">
        <f>=DATE(1998,8,25)</f>
        <v>36031.99949074074</v>
      </c>
      <c r="W98" s="6" t="str">
        <v>Operating Systems;Computer Consulting Services;Applications Software(Business;Internet Services &amp; Software;Monitors/Terminals;Other Peripherals</v>
      </c>
      <c r="X98" s="6" t="str">
        <v>Internet Services &amp; Software;Communication/Network Software</v>
      </c>
      <c r="Y98" s="6" t="str">
        <v>Internet Services &amp; Software;Communication/Network Software</v>
      </c>
      <c r="Z98" s="6" t="str">
        <v>Communication/Network Software;Internet Services &amp; Software</v>
      </c>
      <c r="AA98" s="6" t="str">
        <v>Internet Services &amp; Software;Applications Software(Business;Computer Consulting Services;Operating Systems;Monitors/Terminals;Other Peripherals</v>
      </c>
      <c r="AB98" s="6" t="str">
        <v>Computer Consulting Services;Applications Software(Business;Operating Systems;Other Peripherals;Internet Services &amp; Software;Monitors/Terminals</v>
      </c>
    </row>
    <row r="99">
      <c r="A99" s="6" t="str">
        <v>594918</v>
      </c>
      <c r="B99" s="6" t="str">
        <v>United States</v>
      </c>
      <c r="C99" s="6" t="str">
        <v>Microsoft Corp</v>
      </c>
      <c r="D99" s="6" t="str">
        <v>Microsoft Corp</v>
      </c>
      <c r="F99" s="6" t="str">
        <v>United States</v>
      </c>
      <c r="G99" s="6" t="str">
        <v>3Com Corp-Palm Pilot Computing Business</v>
      </c>
      <c r="H99" s="6" t="str">
        <v>Computer and Office Equipment</v>
      </c>
      <c r="I99" s="6" t="str">
        <v>88561H</v>
      </c>
      <c r="J99" s="6" t="str">
        <v>3Com Corp</v>
      </c>
      <c r="K99" s="6" t="str">
        <v>3Com Corp</v>
      </c>
      <c r="L99" s="7">
        <f>=DATE(1998,10,16)</f>
        <v>36083.99949074074</v>
      </c>
      <c r="W99" s="6" t="str">
        <v>Other Peripherals;Applications Software(Business;Operating Systems;Computer Consulting Services;Internet Services &amp; Software;Monitors/Terminals</v>
      </c>
      <c r="X99" s="6" t="str">
        <v>Portable Computers</v>
      </c>
      <c r="Y99" s="6" t="str">
        <v>Other Peripherals;Other Telecommunications Equip;Data Commun(Exclude networking;Telephone Interconnect Equip</v>
      </c>
      <c r="Z99" s="6" t="str">
        <v>Telephone Interconnect Equip;Other Peripherals;Other Telecommunications Equip;Data Commun(Exclude networking</v>
      </c>
      <c r="AA99" s="6" t="str">
        <v>Other Peripherals;Monitors/Terminals;Operating Systems;Applications Software(Business;Internet Services &amp; Software;Computer Consulting Services</v>
      </c>
      <c r="AB99" s="6" t="str">
        <v>Computer Consulting Services;Other Peripherals;Internet Services &amp; Software;Applications Software(Business;Monitors/Terminals;Operating Systems</v>
      </c>
    </row>
    <row r="100">
      <c r="A100" s="6" t="str">
        <v>594918</v>
      </c>
      <c r="B100" s="6" t="str">
        <v>United States</v>
      </c>
      <c r="C100" s="6" t="str">
        <v>Microsoft Corp</v>
      </c>
      <c r="D100" s="6" t="str">
        <v>Microsoft Corp</v>
      </c>
      <c r="F100" s="6" t="str">
        <v>United States</v>
      </c>
      <c r="G100" s="6" t="str">
        <v>Qwest Communications Corp</v>
      </c>
      <c r="H100" s="6" t="str">
        <v>Telecommunications</v>
      </c>
      <c r="I100" s="6" t="str">
        <v>749121</v>
      </c>
      <c r="J100" s="6" t="str">
        <v>Anschutz Exploration Corp</v>
      </c>
      <c r="K100" s="6" t="str">
        <v>Anschutz Exploration Corp</v>
      </c>
      <c r="L100" s="7">
        <f>=DATE(1998,12,14)</f>
        <v>36142.99949074074</v>
      </c>
      <c r="M100" s="7">
        <f>=DATE(1998,12,14)</f>
        <v>36142.99949074074</v>
      </c>
      <c r="N100" s="8">
        <v>200</v>
      </c>
      <c r="O100" s="8">
        <v>200</v>
      </c>
      <c r="P100" s="8" t="str">
        <v>18,862.98</v>
      </c>
      <c r="R100" s="8">
        <v>14.523</v>
      </c>
      <c r="S100" s="8">
        <v>696.703</v>
      </c>
      <c r="T100" s="8">
        <v>766.191</v>
      </c>
      <c r="U100" s="8">
        <v>-356.824</v>
      </c>
      <c r="V100" s="8">
        <v>-36.488</v>
      </c>
      <c r="W100" s="6" t="str">
        <v>Operating Systems;Applications Software(Business;Internet Services &amp; Software;Other Peripherals;Computer Consulting Services;Monitors/Terminals</v>
      </c>
      <c r="X100" s="6" t="str">
        <v>Telecommunications Equipment;Communication/Network Software</v>
      </c>
      <c r="Y100" s="6" t="str">
        <v>Primary Business not Hi-Tech</v>
      </c>
      <c r="Z100" s="6" t="str">
        <v>Primary Business not Hi-Tech</v>
      </c>
      <c r="AA100" s="6" t="str">
        <v>Applications Software(Business;Monitors/Terminals;Internet Services &amp; Software;Other Peripherals;Operating Systems;Computer Consulting Services</v>
      </c>
      <c r="AB100" s="6" t="str">
        <v>Applications Software(Business;Other Peripherals;Operating Systems;Internet Services &amp; Software;Monitors/Terminals;Computer Consulting Services</v>
      </c>
      <c r="AC100" s="8">
        <v>200</v>
      </c>
      <c r="AD100" s="7">
        <f>=DATE(1998,12,14)</f>
        <v>36142.99949074074</v>
      </c>
      <c r="AE100" s="8">
        <v>15102</v>
      </c>
      <c r="AF100" s="8" t="str">
        <v>15,364.69</v>
      </c>
      <c r="AG100" s="8" t="str">
        <v>18,862.98</v>
      </c>
      <c r="AH100" s="8" t="str">
        <v>18,600.29</v>
      </c>
      <c r="AI100" s="8" t="str">
        <v>15,102.00</v>
      </c>
      <c r="AL100" s="8">
        <v>200</v>
      </c>
    </row>
    <row r="101">
      <c r="A101" s="6" t="str">
        <v>594918</v>
      </c>
      <c r="B101" s="6" t="str">
        <v>United States</v>
      </c>
      <c r="C101" s="6" t="str">
        <v>Microsoft Corp</v>
      </c>
      <c r="D101" s="6" t="str">
        <v>Microsoft Corp</v>
      </c>
      <c r="F101" s="6" t="str">
        <v>United States</v>
      </c>
      <c r="G101" s="6" t="str">
        <v>SkyTel Communications Inc</v>
      </c>
      <c r="H101" s="6" t="str">
        <v>Telecommunications</v>
      </c>
      <c r="I101" s="6" t="str">
        <v>83087Q</v>
      </c>
      <c r="J101" s="6" t="str">
        <v>SkyTel Communications Inc</v>
      </c>
      <c r="K101" s="6" t="str">
        <v>SkyTel Communications Inc</v>
      </c>
      <c r="L101" s="7">
        <f>=DATE(1999,1,6)</f>
        <v>36165.99949074074</v>
      </c>
      <c r="M101" s="7">
        <f>=DATE(1999,1,6)</f>
        <v>36165.99949074074</v>
      </c>
      <c r="R101" s="8">
        <v>-22.508</v>
      </c>
      <c r="S101" s="8">
        <v>518.294</v>
      </c>
      <c r="T101" s="8">
        <v>-32.1</v>
      </c>
      <c r="U101" s="8">
        <v>-64.557</v>
      </c>
      <c r="V101" s="8">
        <v>93.845</v>
      </c>
      <c r="W101" s="6" t="str">
        <v>Computer Consulting Services;Applications Software(Business;Operating Systems;Internet Services &amp; Software;Monitors/Terminals;Other Peripherals</v>
      </c>
      <c r="X101" s="6" t="str">
        <v>Cellular Communications</v>
      </c>
      <c r="Y101" s="6" t="str">
        <v>Cellular Communications</v>
      </c>
      <c r="Z101" s="6" t="str">
        <v>Cellular Communications</v>
      </c>
      <c r="AA101" s="6" t="str">
        <v>Internet Services &amp; Software;Other Peripherals;Operating Systems;Computer Consulting Services;Monitors/Terminals;Applications Software(Business</v>
      </c>
      <c r="AB101" s="6" t="str">
        <v>Monitors/Terminals;Operating Systems;Applications Software(Business;Other Peripherals;Internet Services &amp; Software;Computer Consulting Services</v>
      </c>
    </row>
    <row r="102">
      <c r="A102" s="6" t="str">
        <v>594918</v>
      </c>
      <c r="B102" s="6" t="str">
        <v>United States</v>
      </c>
      <c r="C102" s="6" t="str">
        <v>Microsoft Corp</v>
      </c>
      <c r="D102" s="6" t="str">
        <v>Microsoft Corp</v>
      </c>
      <c r="F102" s="6" t="str">
        <v>United States</v>
      </c>
      <c r="G102" s="6" t="str">
        <v>FASA Interactive Inc(Virtual Worlds Entertainment Group Inc)</v>
      </c>
      <c r="H102" s="6" t="str">
        <v>Prepackaged Software</v>
      </c>
      <c r="I102" s="6" t="str">
        <v>30298X</v>
      </c>
      <c r="J102" s="6" t="str">
        <v>Virtual Worlds Entertainment Group Inc</v>
      </c>
      <c r="K102" s="6" t="str">
        <v>Virtual Worlds Entertainment Group Inc</v>
      </c>
      <c r="L102" s="7">
        <f>=DATE(1999,1,7)</f>
        <v>36166.99949074074</v>
      </c>
      <c r="M102" s="7">
        <f>=DATE(1999,1,11)</f>
        <v>36170.99949074074</v>
      </c>
      <c r="W102" s="6" t="str">
        <v>Computer Consulting Services;Operating Systems;Applications Software(Business;Internet Services &amp; Software;Monitors/Terminals;Other Peripherals</v>
      </c>
      <c r="X102" s="6" t="str">
        <v>Other Software (inq. Games)</v>
      </c>
      <c r="Y102" s="6" t="str">
        <v>Primary Business not Hi-Tech</v>
      </c>
      <c r="Z102" s="6" t="str">
        <v>Primary Business not Hi-Tech</v>
      </c>
      <c r="AA102" s="6" t="str">
        <v>Computer Consulting Services;Operating Systems;Internet Services &amp; Software;Other Peripherals;Applications Software(Business;Monitors/Terminals</v>
      </c>
      <c r="AB102" s="6" t="str">
        <v>Applications Software(Business;Internet Services &amp; Software;Computer Consulting Services;Monitors/Terminals;Operating Systems;Other Peripherals</v>
      </c>
    </row>
    <row r="103">
      <c r="A103" s="6" t="str">
        <v>037833</v>
      </c>
      <c r="B103" s="6" t="str">
        <v>United States</v>
      </c>
      <c r="C103" s="6" t="str">
        <v>Apple Computer Inc</v>
      </c>
      <c r="D103" s="6" t="str">
        <v>Apple Computer Inc</v>
      </c>
      <c r="F103" s="6" t="str">
        <v>United Kingdom</v>
      </c>
      <c r="G103" s="6" t="str">
        <v>Xemplar Education Ltd(Acorn Computers Ltd,Apple Computer Inc)</v>
      </c>
      <c r="H103" s="6" t="str">
        <v>Prepackaged Software</v>
      </c>
      <c r="I103" s="6" t="str">
        <v>98397L</v>
      </c>
      <c r="J103" s="6" t="str">
        <v>Acorn Group PLC</v>
      </c>
      <c r="K103" s="6" t="str">
        <v>Acorn Computers Ltd(Acorn Group PLC)</v>
      </c>
      <c r="L103" s="7">
        <f>=DATE(1999,1,8)</f>
        <v>36167.99949074074</v>
      </c>
      <c r="M103" s="7">
        <f>=DATE(1999,1,8)</f>
        <v>36167.99949074074</v>
      </c>
      <c r="N103" s="8">
        <v>4.92538048564252</v>
      </c>
      <c r="O103" s="8">
        <v>4.92538048564252</v>
      </c>
      <c r="P103" s="8" t="str">
        <v>9.88</v>
      </c>
      <c r="W103" s="6" t="str">
        <v>Disk Drives;Portable Computers;Other Peripherals;Printers;Micro-Computers (PCs);Mainframes &amp; Super Computers;Other Software (inq. Games);Monitors/Terminals</v>
      </c>
      <c r="X103" s="6" t="str">
        <v>Other Software (inq. Games)</v>
      </c>
      <c r="Y103" s="6" t="str">
        <v>Micro-Computers (PCs)</v>
      </c>
      <c r="Z103" s="6" t="str">
        <v>Computer Consulting Services;Communication/Network Software;Internet Services &amp; Software</v>
      </c>
      <c r="AA103" s="6" t="str">
        <v>Monitors/Terminals;Other Peripherals;Micro-Computers (PCs);Portable Computers;Disk Drives;Printers;Mainframes &amp; Super Computers;Other Software (inq. Games)</v>
      </c>
      <c r="AB103" s="6" t="str">
        <v>Disk Drives;Portable Computers;Other Software (inq. Games);Mainframes &amp; Super Computers;Other Peripherals;Micro-Computers (PCs);Monitors/Terminals;Printers</v>
      </c>
      <c r="AC103" s="8">
        <v>4.92538048564252</v>
      </c>
      <c r="AD103" s="7">
        <f>=DATE(1999,1,8)</f>
        <v>36167.99949074074</v>
      </c>
      <c r="AF103" s="8" t="str">
        <v>9.85</v>
      </c>
      <c r="AG103" s="8" t="str">
        <v>9.85</v>
      </c>
      <c r="AH103" s="8" t="str">
        <v>9.85</v>
      </c>
      <c r="AI103" s="8" t="str">
        <v>9.85</v>
      </c>
      <c r="AL103" s="8">
        <v>4.92538048564252</v>
      </c>
    </row>
    <row r="104">
      <c r="A104" s="6" t="str">
        <v>594918</v>
      </c>
      <c r="B104" s="6" t="str">
        <v>United States</v>
      </c>
      <c r="C104" s="6" t="str">
        <v>Microsoft Corp</v>
      </c>
      <c r="D104" s="6" t="str">
        <v>Microsoft Corp</v>
      </c>
      <c r="F104" s="6" t="str">
        <v>United States</v>
      </c>
      <c r="G104" s="6" t="str">
        <v>Banyan Systems Inc</v>
      </c>
      <c r="H104" s="6" t="str">
        <v>Prepackaged Software</v>
      </c>
      <c r="I104" s="6" t="str">
        <v>066908</v>
      </c>
      <c r="J104" s="6" t="str">
        <v>Banyan Systems Inc</v>
      </c>
      <c r="K104" s="6" t="str">
        <v>Banyan Systems Inc</v>
      </c>
      <c r="L104" s="7">
        <f>=DATE(1999,1,11)</f>
        <v>36170.99949074074</v>
      </c>
      <c r="M104" s="7">
        <f>=DATE(1999,2,2)</f>
        <v>36192.99949074074</v>
      </c>
      <c r="N104" s="8">
        <v>10</v>
      </c>
      <c r="O104" s="8">
        <v>10</v>
      </c>
      <c r="P104" s="8" t="str">
        <v>117.28</v>
      </c>
      <c r="R104" s="8">
        <v>1.115</v>
      </c>
      <c r="S104" s="8">
        <v>75.222</v>
      </c>
      <c r="T104" s="8">
        <v>12.057</v>
      </c>
      <c r="U104" s="8">
        <v>-4.838</v>
      </c>
      <c r="V104" s="8">
        <v>1.205</v>
      </c>
      <c r="W104" s="6" t="str">
        <v>Monitors/Terminals;Operating Systems;Internet Services &amp; Software;Computer Consulting Services;Applications Software(Business;Other Peripherals</v>
      </c>
      <c r="X104" s="6" t="str">
        <v>Communication/Network Software</v>
      </c>
      <c r="Y104" s="6" t="str">
        <v>Communication/Network Software</v>
      </c>
      <c r="Z104" s="6" t="str">
        <v>Communication/Network Software</v>
      </c>
      <c r="AA104" s="6" t="str">
        <v>Operating Systems;Applications Software(Business;Computer Consulting Services;Monitors/Terminals;Other Peripherals;Internet Services &amp; Software</v>
      </c>
      <c r="AB104" s="6" t="str">
        <v>Internet Services &amp; Software;Applications Software(Business;Monitors/Terminals;Other Peripherals;Operating Systems;Computer Consulting Services</v>
      </c>
      <c r="AC104" s="8">
        <v>10</v>
      </c>
      <c r="AD104" s="7">
        <f>=DATE(1999,1,11)</f>
        <v>36170.99949074074</v>
      </c>
      <c r="AF104" s="8" t="str">
        <v>115.27</v>
      </c>
      <c r="AG104" s="8" t="str">
        <v>115.27</v>
      </c>
      <c r="AH104" s="8" t="str">
        <v>133.33</v>
      </c>
      <c r="AI104" s="8" t="str">
        <v>133.33</v>
      </c>
      <c r="AL104" s="8">
        <v>10</v>
      </c>
    </row>
    <row r="105">
      <c r="A105" s="6" t="str">
        <v>594918</v>
      </c>
      <c r="B105" s="6" t="str">
        <v>United States</v>
      </c>
      <c r="C105" s="6" t="str">
        <v>Microsoft Corp</v>
      </c>
      <c r="D105" s="6" t="str">
        <v>Microsoft Corp</v>
      </c>
      <c r="F105" s="6" t="str">
        <v>Netherlands</v>
      </c>
      <c r="G105" s="6" t="str">
        <v>United Pan-Europe Communications NV</v>
      </c>
      <c r="H105" s="6" t="str">
        <v>Radio and Television Broadcasting Stations</v>
      </c>
      <c r="I105" s="6" t="str">
        <v>911300</v>
      </c>
      <c r="J105" s="6" t="str">
        <v>United International Holdings Inc</v>
      </c>
      <c r="K105" s="6" t="str">
        <v>United International Holdings Inc</v>
      </c>
      <c r="L105" s="7">
        <f>=DATE(1999,1,26)</f>
        <v>36185.99949074074</v>
      </c>
      <c r="N105" s="8">
        <v>299.948539377998</v>
      </c>
      <c r="O105" s="8">
        <v>299.948539377998</v>
      </c>
      <c r="R105" s="8">
        <v>-299.486033519553</v>
      </c>
      <c r="S105" s="8">
        <v>217.595105081139</v>
      </c>
      <c r="T105" s="8">
        <v>249.7363596</v>
      </c>
      <c r="U105" s="8">
        <v>-324.5832324</v>
      </c>
      <c r="V105" s="8">
        <v>38.6316</v>
      </c>
      <c r="W105" s="6" t="str">
        <v>Applications Software(Business;Operating Systems;Internet Services &amp; Software;Monitors/Terminals;Computer Consulting Services;Other Peripherals</v>
      </c>
      <c r="X105" s="6" t="str">
        <v>Satellite Communications;Internet Services &amp; Software</v>
      </c>
      <c r="Y105" s="6" t="str">
        <v>Satellite Communications</v>
      </c>
      <c r="Z105" s="6" t="str">
        <v>Satellite Communications</v>
      </c>
      <c r="AA105" s="6" t="str">
        <v>Internet Services &amp; Software;Monitors/Terminals;Operating Systems;Other Peripherals;Applications Software(Business;Computer Consulting Services</v>
      </c>
      <c r="AB105" s="6" t="str">
        <v>Operating Systems;Computer Consulting Services;Internet Services &amp; Software;Monitors/Terminals;Other Peripherals;Applications Software(Business</v>
      </c>
      <c r="AC105" s="8">
        <v>299.948539377998</v>
      </c>
      <c r="AD105" s="7">
        <f>=DATE(1999,1,27)</f>
        <v>36186.99949074074</v>
      </c>
      <c r="AL105" s="8">
        <v>299.948539377998</v>
      </c>
    </row>
    <row r="106">
      <c r="A106" s="6" t="str">
        <v>594918</v>
      </c>
      <c r="B106" s="6" t="str">
        <v>United States</v>
      </c>
      <c r="C106" s="6" t="str">
        <v>Microsoft Corp</v>
      </c>
      <c r="D106" s="6" t="str">
        <v>Microsoft Corp</v>
      </c>
      <c r="F106" s="6" t="str">
        <v>Netherlands</v>
      </c>
      <c r="G106" s="6" t="str">
        <v>United Pan-Europe Communications NV</v>
      </c>
      <c r="H106" s="6" t="str">
        <v>Radio and Television Broadcasting Stations</v>
      </c>
      <c r="I106" s="6" t="str">
        <v>911300</v>
      </c>
      <c r="J106" s="6" t="str">
        <v>United International Holdings Inc</v>
      </c>
      <c r="K106" s="6" t="str">
        <v>United International Holdings Inc</v>
      </c>
      <c r="L106" s="7">
        <f>=DATE(1999,1,31)</f>
        <v>36190.99949074074</v>
      </c>
      <c r="M106" s="7">
        <f>=DATE(1999,1,31)</f>
        <v>36190.99949074074</v>
      </c>
      <c r="N106" s="8">
        <v>299.421207446676</v>
      </c>
      <c r="O106" s="8">
        <v>299.421207446676</v>
      </c>
      <c r="P106" s="8" t="str">
        <v>4,611.97</v>
      </c>
      <c r="R106" s="8">
        <v>-299.486033519553</v>
      </c>
      <c r="S106" s="8">
        <v>217.595105081139</v>
      </c>
      <c r="T106" s="8">
        <v>249.7363596</v>
      </c>
      <c r="U106" s="8">
        <v>-324.5832324</v>
      </c>
      <c r="V106" s="8">
        <v>38.6316</v>
      </c>
      <c r="W106" s="6" t="str">
        <v>Applications Software(Business;Monitors/Terminals;Computer Consulting Services;Internet Services &amp; Software;Operating Systems;Other Peripherals</v>
      </c>
      <c r="X106" s="6" t="str">
        <v>Internet Services &amp; Software;Satellite Communications</v>
      </c>
      <c r="Y106" s="6" t="str">
        <v>Satellite Communications</v>
      </c>
      <c r="Z106" s="6" t="str">
        <v>Satellite Communications</v>
      </c>
      <c r="AA106" s="6" t="str">
        <v>Computer Consulting Services;Applications Software(Business;Operating Systems;Monitors/Terminals;Other Peripherals;Internet Services &amp; Software</v>
      </c>
      <c r="AB106" s="6" t="str">
        <v>Other Peripherals;Operating Systems;Internet Services &amp; Software;Monitors/Terminals;Applications Software(Business;Computer Consulting Services</v>
      </c>
      <c r="AC106" s="8">
        <v>299.421207446676</v>
      </c>
      <c r="AD106" s="7">
        <f>=DATE(1999,9,8)</f>
        <v>36410.99949074074</v>
      </c>
      <c r="AF106" s="8" t="str">
        <v>4,456.21</v>
      </c>
      <c r="AG106" s="8" t="str">
        <v>4,456.21</v>
      </c>
      <c r="AH106" s="8" t="str">
        <v>3,790.14</v>
      </c>
      <c r="AI106" s="8" t="str">
        <v>3,790.14</v>
      </c>
      <c r="AL106" s="8">
        <v>299.421207446676</v>
      </c>
    </row>
    <row r="107">
      <c r="A107" s="6" t="str">
        <v>594918</v>
      </c>
      <c r="B107" s="6" t="str">
        <v>United States</v>
      </c>
      <c r="C107" s="6" t="str">
        <v>Microsoft Corp</v>
      </c>
      <c r="D107" s="6" t="str">
        <v>Microsoft Corp</v>
      </c>
      <c r="F107" s="6" t="str">
        <v>United States</v>
      </c>
      <c r="G107" s="6" t="str">
        <v>NTL Inc</v>
      </c>
      <c r="H107" s="6" t="str">
        <v>Radio and Television Broadcasting Stations</v>
      </c>
      <c r="I107" s="6" t="str">
        <v>629407</v>
      </c>
      <c r="J107" s="6" t="str">
        <v>NTL Inc</v>
      </c>
      <c r="K107" s="6" t="str">
        <v>NTL Inc</v>
      </c>
      <c r="L107" s="7">
        <f>=DATE(1999,2,1)</f>
        <v>36191.99949074074</v>
      </c>
      <c r="M107" s="7">
        <f>=DATE(1999,2,1)</f>
        <v>36191.99949074074</v>
      </c>
      <c r="N107" s="8">
        <v>500</v>
      </c>
      <c r="O107" s="8">
        <v>500</v>
      </c>
      <c r="P107" s="8" t="str">
        <v>13,848.17</v>
      </c>
      <c r="R107" s="8">
        <v>-503.927</v>
      </c>
      <c r="S107" s="8">
        <v>747.015</v>
      </c>
      <c r="T107" s="8">
        <v>2458.457</v>
      </c>
      <c r="U107" s="8">
        <v>-1802.607</v>
      </c>
      <c r="V107" s="8">
        <v>-18.943</v>
      </c>
      <c r="W107" s="6" t="str">
        <v>Computer Consulting Services;Other Peripherals;Monitors/Terminals;Operating Systems;Applications Software(Business;Internet Services &amp; Software</v>
      </c>
      <c r="X107" s="6" t="str">
        <v>Internet Services &amp; Software;Communication/Network Software</v>
      </c>
      <c r="Y107" s="6" t="str">
        <v>Communication/Network Software;Internet Services &amp; Software</v>
      </c>
      <c r="Z107" s="6" t="str">
        <v>Internet Services &amp; Software;Communication/Network Software</v>
      </c>
      <c r="AA107" s="6" t="str">
        <v>Operating Systems;Other Peripherals;Computer Consulting Services;Applications Software(Business;Internet Services &amp; Software;Monitors/Terminals</v>
      </c>
      <c r="AB107" s="6" t="str">
        <v>Applications Software(Business;Other Peripherals;Operating Systems;Internet Services &amp; Software;Monitors/Terminals;Computer Consulting Services</v>
      </c>
      <c r="AC107" s="8">
        <v>500</v>
      </c>
      <c r="AD107" s="7">
        <f>=DATE(1999,2,1)</f>
        <v>36191.99949074074</v>
      </c>
      <c r="AF107" s="8" t="str">
        <v>13,848.17</v>
      </c>
      <c r="AG107" s="8" t="str">
        <v>13,848.17</v>
      </c>
      <c r="AH107" s="8" t="str">
        <v>9,523.81</v>
      </c>
      <c r="AI107" s="8" t="str">
        <v>9,523.81</v>
      </c>
      <c r="AL107" s="8">
        <v>500</v>
      </c>
    </row>
    <row r="108">
      <c r="A108" s="6" t="str">
        <v>927914</v>
      </c>
      <c r="B108" s="6" t="str">
        <v>United States</v>
      </c>
      <c r="C108" s="6" t="str">
        <v>Visio Corp</v>
      </c>
      <c r="D108" s="6" t="str">
        <v>Visio Corp</v>
      </c>
      <c r="F108" s="6" t="str">
        <v>United States</v>
      </c>
      <c r="G108" s="6" t="str">
        <v>Visio Corp</v>
      </c>
      <c r="H108" s="6" t="str">
        <v>Prepackaged Software</v>
      </c>
      <c r="I108" s="6" t="str">
        <v>927914</v>
      </c>
      <c r="J108" s="6" t="str">
        <v>Visio Corp</v>
      </c>
      <c r="K108" s="6" t="str">
        <v>Visio Corp</v>
      </c>
      <c r="L108" s="7">
        <f>=DATE(1999,2,2)</f>
        <v>36192.99949074074</v>
      </c>
      <c r="N108" s="8">
        <v>49.5</v>
      </c>
      <c r="O108" s="8">
        <v>49.5</v>
      </c>
      <c r="P108" s="8" t="str">
        <v>638.21</v>
      </c>
      <c r="R108" s="8">
        <v>28.108</v>
      </c>
      <c r="S108" s="8">
        <v>165.995</v>
      </c>
      <c r="T108" s="8">
        <v>5.643</v>
      </c>
      <c r="U108" s="8">
        <v>-30.096</v>
      </c>
      <c r="V108" s="8">
        <v>30.856</v>
      </c>
      <c r="W108" s="6" t="str">
        <v>Applications Software(Business</v>
      </c>
      <c r="X108" s="6" t="str">
        <v>Applications Software(Business</v>
      </c>
      <c r="Y108" s="6" t="str">
        <v>Applications Software(Business</v>
      </c>
      <c r="Z108" s="6" t="str">
        <v>Applications Software(Business</v>
      </c>
      <c r="AA108" s="6" t="str">
        <v>Applications Software(Business</v>
      </c>
      <c r="AB108" s="6" t="str">
        <v>Applications Software(Business</v>
      </c>
      <c r="AC108" s="8">
        <v>49.5</v>
      </c>
      <c r="AD108" s="7">
        <f>=DATE(1999,2,2)</f>
        <v>36192.99949074074</v>
      </c>
      <c r="AE108" s="8">
        <v>740.443176</v>
      </c>
      <c r="AF108" s="8" t="str">
        <v>631.43</v>
      </c>
      <c r="AI108" s="8" t="str">
        <v>740.44</v>
      </c>
      <c r="AL108" s="8">
        <v>49.5</v>
      </c>
    </row>
    <row r="109">
      <c r="A109" s="6" t="str">
        <v>023135</v>
      </c>
      <c r="B109" s="6" t="str">
        <v>United States</v>
      </c>
      <c r="C109" s="6" t="str">
        <v>Amazon.com Inc</v>
      </c>
      <c r="D109" s="6" t="str">
        <v>Amazon.com Inc</v>
      </c>
      <c r="F109" s="6" t="str">
        <v>United States</v>
      </c>
      <c r="G109" s="6" t="str">
        <v>GeoWorks Inc</v>
      </c>
      <c r="H109" s="6" t="str">
        <v>Prepackaged Software</v>
      </c>
      <c r="I109" s="6" t="str">
        <v>373692</v>
      </c>
      <c r="J109" s="6" t="str">
        <v>GeoWorks Inc</v>
      </c>
      <c r="K109" s="6" t="str">
        <v>GeoWorks Inc</v>
      </c>
      <c r="L109" s="7">
        <f>=DATE(1999,2,16)</f>
        <v>36206.99949074074</v>
      </c>
      <c r="M109" s="7">
        <f>=DATE(2000,2,1)</f>
        <v>36556.99949074074</v>
      </c>
      <c r="N109" s="8">
        <v>5</v>
      </c>
      <c r="O109" s="8">
        <v>5</v>
      </c>
      <c r="P109" s="8" t="str">
        <v>52.18</v>
      </c>
      <c r="R109" s="8">
        <v>-14.869</v>
      </c>
      <c r="S109" s="8">
        <v>12.917</v>
      </c>
      <c r="T109" s="8">
        <v>1.328</v>
      </c>
      <c r="U109" s="8">
        <v>17.989</v>
      </c>
      <c r="V109" s="8">
        <v>-16.906</v>
      </c>
      <c r="W109" s="6" t="str">
        <v>Primary Business not Hi-Tech</v>
      </c>
      <c r="X109" s="6" t="str">
        <v>Applications Software(Business;Applications Software(Home)</v>
      </c>
      <c r="Y109" s="6" t="str">
        <v>Applications Software(Home);Applications Software(Business</v>
      </c>
      <c r="Z109" s="6" t="str">
        <v>Applications Software(Business;Applications Software(Home)</v>
      </c>
      <c r="AA109" s="6" t="str">
        <v>Primary Business not Hi-Tech</v>
      </c>
      <c r="AB109" s="6" t="str">
        <v>Primary Business not Hi-Tech</v>
      </c>
      <c r="AC109" s="8">
        <v>5</v>
      </c>
      <c r="AD109" s="7">
        <f>=DATE(1999,2,16)</f>
        <v>36206.99949074074</v>
      </c>
      <c r="AF109" s="8" t="str">
        <v>52.18</v>
      </c>
      <c r="AG109" s="8" t="str">
        <v>52.18</v>
      </c>
      <c r="AH109" s="8" t="str">
        <v>71.43</v>
      </c>
      <c r="AI109" s="8" t="str">
        <v>71.43</v>
      </c>
      <c r="AL109" s="8">
        <v>5</v>
      </c>
    </row>
    <row r="110">
      <c r="A110" s="6" t="str">
        <v>023135</v>
      </c>
      <c r="B110" s="6" t="str">
        <v>United States</v>
      </c>
      <c r="C110" s="6" t="str">
        <v>Amazon.com Inc</v>
      </c>
      <c r="D110" s="6" t="str">
        <v>Amazon.com Inc</v>
      </c>
      <c r="F110" s="6" t="str">
        <v>United States</v>
      </c>
      <c r="G110" s="6" t="str">
        <v>Drugstore.com Inc</v>
      </c>
      <c r="H110" s="6" t="str">
        <v>Health Services</v>
      </c>
      <c r="I110" s="6" t="str">
        <v>262241</v>
      </c>
      <c r="J110" s="6" t="str">
        <v>Drugstore.com Inc</v>
      </c>
      <c r="K110" s="6" t="str">
        <v>Drugstore.com Inc</v>
      </c>
      <c r="L110" s="7">
        <f>=DATE(1999,2,24)</f>
        <v>36214.99949074074</v>
      </c>
      <c r="M110" s="7">
        <f>=DATE(1999,2,24)</f>
        <v>36214.99949074074</v>
      </c>
      <c r="S110" s="8">
        <v>0.5</v>
      </c>
      <c r="W110" s="6" t="str">
        <v>Primary Business not Hi-Tech</v>
      </c>
      <c r="X110" s="6" t="str">
        <v>Internet Services &amp; Software</v>
      </c>
      <c r="Y110" s="6" t="str">
        <v>Internet Services &amp; Software</v>
      </c>
      <c r="Z110" s="6" t="str">
        <v>Internet Services &amp; Software</v>
      </c>
      <c r="AA110" s="6" t="str">
        <v>Primary Business not Hi-Tech</v>
      </c>
      <c r="AB110" s="6" t="str">
        <v>Primary Business not Hi-Tech</v>
      </c>
    </row>
    <row r="111">
      <c r="A111" s="6" t="str">
        <v>594918</v>
      </c>
      <c r="B111" s="6" t="str">
        <v>United States</v>
      </c>
      <c r="C111" s="6" t="str">
        <v>Microsoft Corp</v>
      </c>
      <c r="D111" s="6" t="str">
        <v>Microsoft Corp</v>
      </c>
      <c r="F111" s="6" t="str">
        <v>United States</v>
      </c>
      <c r="G111" s="6" t="str">
        <v>Dialogic Corp</v>
      </c>
      <c r="H111" s="6" t="str">
        <v>Computer and Office Equipment</v>
      </c>
      <c r="I111" s="6" t="str">
        <v>252499</v>
      </c>
      <c r="J111" s="6" t="str">
        <v>Dialogic Corp</v>
      </c>
      <c r="K111" s="6" t="str">
        <v>Dialogic Corp</v>
      </c>
      <c r="L111" s="7">
        <f>=DATE(1999,3,2)</f>
        <v>36220.99949074074</v>
      </c>
      <c r="M111" s="7">
        <f>=DATE(1999,3,2)</f>
        <v>36220.99949074074</v>
      </c>
      <c r="N111" s="8">
        <v>24.2</v>
      </c>
      <c r="O111" s="8">
        <v>24.2</v>
      </c>
      <c r="P111" s="8" t="str">
        <v>399.79</v>
      </c>
      <c r="R111" s="8">
        <v>36.608</v>
      </c>
      <c r="S111" s="8">
        <v>293.525</v>
      </c>
      <c r="T111" s="8">
        <v>-7.845</v>
      </c>
      <c r="U111" s="8">
        <v>1.589</v>
      </c>
      <c r="V111" s="8">
        <v>27.819</v>
      </c>
      <c r="W111" s="6" t="str">
        <v>Operating Systems;Monitors/Terminals;Other Peripherals;Applications Software(Business;Internet Services &amp; Software;Computer Consulting Services</v>
      </c>
      <c r="X111" s="6" t="str">
        <v>Other Peripherals</v>
      </c>
      <c r="Y111" s="6" t="str">
        <v>Other Peripherals</v>
      </c>
      <c r="Z111" s="6" t="str">
        <v>Other Peripherals</v>
      </c>
      <c r="AA111" s="6" t="str">
        <v>Internet Services &amp; Software;Operating Systems;Applications Software(Business;Monitors/Terminals;Other Peripherals;Computer Consulting Services</v>
      </c>
      <c r="AB111" s="6" t="str">
        <v>Computer Consulting Services;Monitors/Terminals;Internet Services &amp; Software;Applications Software(Business;Other Peripherals;Operating Systems</v>
      </c>
      <c r="AC111" s="8">
        <v>24.2</v>
      </c>
      <c r="AD111" s="7">
        <f>=DATE(1999,3,5)</f>
        <v>36223.99949074074</v>
      </c>
      <c r="AF111" s="8" t="str">
        <v>399.79</v>
      </c>
      <c r="AG111" s="8" t="str">
        <v>399.79</v>
      </c>
      <c r="AH111" s="8" t="str">
        <v>484.00</v>
      </c>
      <c r="AI111" s="8" t="str">
        <v>484.00</v>
      </c>
      <c r="AL111" s="8">
        <v>24.2</v>
      </c>
    </row>
    <row r="112">
      <c r="A112" s="6" t="str">
        <v>594918</v>
      </c>
      <c r="B112" s="6" t="str">
        <v>United States</v>
      </c>
      <c r="C112" s="6" t="str">
        <v>Microsoft Corp</v>
      </c>
      <c r="D112" s="6" t="str">
        <v>Microsoft Corp</v>
      </c>
      <c r="F112" s="6" t="str">
        <v>United States</v>
      </c>
      <c r="G112" s="6" t="str">
        <v>CompareNet Inc</v>
      </c>
      <c r="H112" s="6" t="str">
        <v>Business Services</v>
      </c>
      <c r="I112" s="6" t="str">
        <v>20391C</v>
      </c>
      <c r="J112" s="6" t="str">
        <v>CompareNet Inc</v>
      </c>
      <c r="K112" s="6" t="str">
        <v>CompareNet Inc</v>
      </c>
      <c r="L112" s="7">
        <f>=DATE(1999,3,4)</f>
        <v>36222.99949074074</v>
      </c>
      <c r="M112" s="7">
        <f>=DATE(1999,3,4)</f>
        <v>36222.99949074074</v>
      </c>
      <c r="W112" s="6" t="str">
        <v>Operating Systems;Computer Consulting Services;Applications Software(Business;Other Peripherals;Monitors/Terminals;Internet Services &amp; Software</v>
      </c>
      <c r="X112" s="6" t="str">
        <v>Internet Services &amp; Software</v>
      </c>
      <c r="Y112" s="6" t="str">
        <v>Internet Services &amp; Software</v>
      </c>
      <c r="Z112" s="6" t="str">
        <v>Internet Services &amp; Software</v>
      </c>
      <c r="AA112" s="6" t="str">
        <v>Monitors/Terminals;Other Peripherals;Computer Consulting Services;Internet Services &amp; Software;Applications Software(Business;Operating Systems</v>
      </c>
      <c r="AB112" s="6" t="str">
        <v>Operating Systems;Applications Software(Business;Monitors/Terminals;Computer Consulting Services;Other Peripherals;Internet Services &amp; Software</v>
      </c>
    </row>
    <row r="113">
      <c r="A113" s="6" t="str">
        <v>594918</v>
      </c>
      <c r="B113" s="6" t="str">
        <v>United States</v>
      </c>
      <c r="C113" s="6" t="str">
        <v>Microsoft Corp</v>
      </c>
      <c r="D113" s="6" t="str">
        <v>Microsoft Corp</v>
      </c>
      <c r="F113" s="6" t="str">
        <v>United States</v>
      </c>
      <c r="G113" s="6" t="str">
        <v>Rhythms NetConnections</v>
      </c>
      <c r="H113" s="6" t="str">
        <v>Telecommunications</v>
      </c>
      <c r="I113" s="6" t="str">
        <v>762430</v>
      </c>
      <c r="J113" s="6" t="str">
        <v>Rhythms NetConnections</v>
      </c>
      <c r="K113" s="6" t="str">
        <v>Rhythms NetConnections</v>
      </c>
      <c r="L113" s="7">
        <f>=DATE(1999,3,19)</f>
        <v>36237.99949074074</v>
      </c>
      <c r="N113" s="8">
        <v>30</v>
      </c>
      <c r="O113" s="8">
        <v>30</v>
      </c>
      <c r="R113" s="8">
        <v>-36.334</v>
      </c>
      <c r="S113" s="8">
        <v>0.528</v>
      </c>
      <c r="T113" s="8">
        <v>169.205</v>
      </c>
      <c r="U113" s="8">
        <v>-139.032</v>
      </c>
      <c r="V113" s="8">
        <v>-19.024</v>
      </c>
      <c r="W113" s="6" t="str">
        <v>Internet Services &amp; Software;Other Peripherals;Operating Systems;Applications Software(Business;Computer Consulting Services;Monitors/Terminals</v>
      </c>
      <c r="X113" s="6" t="str">
        <v>Internet Services &amp; Software</v>
      </c>
      <c r="Y113" s="6" t="str">
        <v>Internet Services &amp; Software</v>
      </c>
      <c r="Z113" s="6" t="str">
        <v>Internet Services &amp; Software</v>
      </c>
      <c r="AA113" s="6" t="str">
        <v>Monitors/Terminals;Other Peripherals;Internet Services &amp; Software;Computer Consulting Services;Operating Systems;Applications Software(Business</v>
      </c>
      <c r="AB113" s="6" t="str">
        <v>Operating Systems;Internet Services &amp; Software;Computer Consulting Services;Other Peripherals;Applications Software(Business;Monitors/Terminals</v>
      </c>
      <c r="AC113" s="8">
        <v>30</v>
      </c>
      <c r="AD113" s="7">
        <f>=DATE(1999,3,19)</f>
        <v>36237.99949074074</v>
      </c>
      <c r="AL113" s="8">
        <v>30</v>
      </c>
    </row>
    <row r="114">
      <c r="A114" s="6" t="str">
        <v>594918</v>
      </c>
      <c r="B114" s="6" t="str">
        <v>United States</v>
      </c>
      <c r="C114" s="6" t="str">
        <v>Microsoft Corp</v>
      </c>
      <c r="D114" s="6" t="str">
        <v>Microsoft Corp</v>
      </c>
      <c r="F114" s="6" t="str">
        <v>Belgium</v>
      </c>
      <c r="G114" s="6" t="str">
        <v>Lernout &amp; Hauspie Speech Products NV</v>
      </c>
      <c r="H114" s="6" t="str">
        <v>Prepackaged Software</v>
      </c>
      <c r="I114" s="6" t="str">
        <v>B5628B</v>
      </c>
      <c r="J114" s="6" t="str">
        <v>Lernout &amp; Hauspie Speech Products NV</v>
      </c>
      <c r="K114" s="6" t="str">
        <v>Lernout &amp; Hauspie Speech Products NV</v>
      </c>
      <c r="L114" s="7">
        <f>=DATE(1999,3,22)</f>
        <v>36240.99949074074</v>
      </c>
      <c r="M114" s="7">
        <f>=DATE(1999,4,10)</f>
        <v>36259.99949074074</v>
      </c>
      <c r="N114" s="8">
        <v>15.0388359903162</v>
      </c>
      <c r="O114" s="8">
        <v>15.0388359903162</v>
      </c>
      <c r="P114" s="8" t="str">
        <v>1,057.93</v>
      </c>
      <c r="R114" s="8">
        <v>-55.5153902049121</v>
      </c>
      <c r="S114" s="8">
        <v>222.988984159279</v>
      </c>
      <c r="T114" s="8">
        <v>157.2241787</v>
      </c>
      <c r="U114" s="8">
        <v>-107.7462805</v>
      </c>
      <c r="V114" s="8">
        <v>13.5928549</v>
      </c>
      <c r="W114" s="6" t="str">
        <v>Computer Consulting Services;Operating Systems;Applications Software(Business;Internet Services &amp; Software;Other Peripherals;Monitors/Terminals</v>
      </c>
      <c r="X114" s="6" t="str">
        <v>Applications Software(Business;Communication/Network Software;Applications Software(Home);Other Software (inq. Games)</v>
      </c>
      <c r="Y114" s="6" t="str">
        <v>Applications Software(Home);Other Software (inq. Games);Applications Software(Business;Communication/Network Software</v>
      </c>
      <c r="Z114" s="6" t="str">
        <v>Applications Software(Home);Applications Software(Business;Communication/Network Software;Other Software (inq. Games)</v>
      </c>
      <c r="AA114" s="6" t="str">
        <v>Applications Software(Business;Monitors/Terminals;Other Peripherals;Operating Systems;Internet Services &amp; Software;Computer Consulting Services</v>
      </c>
      <c r="AB114" s="6" t="str">
        <v>Monitors/Terminals;Computer Consulting Services;Operating Systems;Internet Services &amp; Software;Applications Software(Business;Other Peripherals</v>
      </c>
      <c r="AC114" s="8">
        <v>15.0388359903162</v>
      </c>
      <c r="AD114" s="7">
        <f>=DATE(1999,3,22)</f>
        <v>36240.99949074074</v>
      </c>
      <c r="AE114" s="8">
        <v>980.098990157404</v>
      </c>
      <c r="AF114" s="8" t="str">
        <v>983.93</v>
      </c>
      <c r="AG114" s="8" t="str">
        <v>974.82</v>
      </c>
      <c r="AH114" s="8" t="str">
        <v>971.02</v>
      </c>
      <c r="AI114" s="8" t="str">
        <v>980.10</v>
      </c>
      <c r="AL114" s="8">
        <v>15.0388359903162</v>
      </c>
    </row>
    <row r="115">
      <c r="A115" s="6" t="str">
        <v>594918</v>
      </c>
      <c r="B115" s="6" t="str">
        <v>United States</v>
      </c>
      <c r="C115" s="6" t="str">
        <v>Microsoft Corp</v>
      </c>
      <c r="D115" s="6" t="str">
        <v>Microsoft Corp</v>
      </c>
      <c r="F115" s="6" t="str">
        <v>United States</v>
      </c>
      <c r="G115" s="6" t="str">
        <v>Numinous Technologies Inc</v>
      </c>
      <c r="H115" s="6" t="str">
        <v>Prepackaged Software</v>
      </c>
      <c r="I115" s="6" t="str">
        <v>67114Z</v>
      </c>
      <c r="J115" s="6" t="str">
        <v>Numinous Technologies Inc</v>
      </c>
      <c r="K115" s="6" t="str">
        <v>Numinous Technologies Inc</v>
      </c>
      <c r="L115" s="7">
        <f>=DATE(1999,3,26)</f>
        <v>36244.99949074074</v>
      </c>
      <c r="M115" s="7">
        <f>=DATE(1999,3,26)</f>
        <v>36244.99949074074</v>
      </c>
      <c r="W115" s="6" t="str">
        <v>Computer Consulting Services;Other Peripherals;Applications Software(Business;Monitors/Terminals;Internet Services &amp; Software;Operating Systems</v>
      </c>
      <c r="X115" s="6" t="str">
        <v>Other Software (inq. Games)</v>
      </c>
      <c r="Y115" s="6" t="str">
        <v>Other Software (inq. Games)</v>
      </c>
      <c r="Z115" s="6" t="str">
        <v>Other Software (inq. Games)</v>
      </c>
      <c r="AA115" s="6" t="str">
        <v>Operating Systems;Applications Software(Business;Other Peripherals;Computer Consulting Services;Internet Services &amp; Software;Monitors/Terminals</v>
      </c>
      <c r="AB115" s="6" t="str">
        <v>Other Peripherals;Computer Consulting Services;Monitors/Terminals;Internet Services &amp; Software;Applications Software(Business;Operating Systems</v>
      </c>
    </row>
    <row r="116">
      <c r="A116" s="6" t="str">
        <v>023135</v>
      </c>
      <c r="B116" s="6" t="str">
        <v>United States</v>
      </c>
      <c r="C116" s="6" t="str">
        <v>Amazon.com Inc</v>
      </c>
      <c r="D116" s="6" t="str">
        <v>Amazon.com Inc</v>
      </c>
      <c r="F116" s="6" t="str">
        <v>United States</v>
      </c>
      <c r="G116" s="6" t="str">
        <v>Pets.com Inc</v>
      </c>
      <c r="H116" s="6" t="str">
        <v>Miscellaneous Retail Trade</v>
      </c>
      <c r="I116" s="6" t="str">
        <v>71676K</v>
      </c>
      <c r="J116" s="6" t="str">
        <v>Pets.com Inc</v>
      </c>
      <c r="K116" s="6" t="str">
        <v>Pets.com Inc</v>
      </c>
      <c r="L116" s="7">
        <f>=DATE(1999,3,29)</f>
        <v>36247.99949074074</v>
      </c>
      <c r="W116" s="6" t="str">
        <v>Primary Business not Hi-Tech</v>
      </c>
      <c r="X116" s="6" t="str">
        <v>Internet Services &amp; Software</v>
      </c>
      <c r="Y116" s="6" t="str">
        <v>Internet Services &amp; Software</v>
      </c>
      <c r="Z116" s="6" t="str">
        <v>Internet Services &amp; Software</v>
      </c>
      <c r="AA116" s="6" t="str">
        <v>Primary Business not Hi-Tech</v>
      </c>
      <c r="AB116" s="6" t="str">
        <v>Primary Business not Hi-Tech</v>
      </c>
    </row>
    <row r="117">
      <c r="A117" s="6" t="str">
        <v>594918</v>
      </c>
      <c r="B117" s="6" t="str">
        <v>United States</v>
      </c>
      <c r="C117" s="6" t="str">
        <v>Microsoft Corp</v>
      </c>
      <c r="D117" s="6" t="str">
        <v>Microsoft Corp</v>
      </c>
      <c r="F117" s="6" t="str">
        <v>Portugal</v>
      </c>
      <c r="G117" s="6" t="str">
        <v>TV Cabo Portugal SA</v>
      </c>
      <c r="H117" s="6" t="str">
        <v>Radio and Television Broadcasting Stations</v>
      </c>
      <c r="I117" s="6" t="str">
        <v>87306Q</v>
      </c>
      <c r="J117" s="6" t="str">
        <v>Portugal Telecom SA</v>
      </c>
      <c r="K117" s="6" t="str">
        <v>PT Multimedia</v>
      </c>
      <c r="L117" s="7">
        <f>=DATE(1999,3,31)</f>
        <v>36249.99949074074</v>
      </c>
      <c r="M117" s="7">
        <f>=DATE(1999,4,1)</f>
        <v>36250.99949074074</v>
      </c>
      <c r="N117" s="8">
        <v>38.7120251381116</v>
      </c>
      <c r="O117" s="8">
        <v>38.7120251381116</v>
      </c>
      <c r="W117" s="6" t="str">
        <v>Monitors/Terminals;Other Peripherals;Operating Systems;Applications Software(Business;Computer Consulting Services;Internet Services &amp; Software</v>
      </c>
      <c r="X117" s="6" t="str">
        <v>Satellite Communications</v>
      </c>
      <c r="Y117" s="6" t="str">
        <v>Communication/Network Software;Satellite Communications;Internet Services &amp; Software</v>
      </c>
      <c r="Z117" s="6" t="str">
        <v>Internet Services &amp; Software;Cellular Communications</v>
      </c>
      <c r="AA117" s="6" t="str">
        <v>Computer Consulting Services;Operating Systems;Monitors/Terminals;Other Peripherals;Applications Software(Business;Internet Services &amp; Software</v>
      </c>
      <c r="AB117" s="6" t="str">
        <v>Other Peripherals;Computer Consulting Services;Monitors/Terminals;Applications Software(Business;Internet Services &amp; Software;Operating Systems</v>
      </c>
      <c r="AC117" s="8">
        <v>38.7120251381116</v>
      </c>
      <c r="AD117" s="7">
        <f>=DATE(1999,3,31)</f>
        <v>36249.99949074074</v>
      </c>
      <c r="AF117" s="8" t="str">
        <v>1,548.48</v>
      </c>
      <c r="AG117" s="8" t="str">
        <v>1,552.51</v>
      </c>
      <c r="AH117" s="8" t="str">
        <v>1,552.51</v>
      </c>
      <c r="AI117" s="8" t="str">
        <v>1,548.48</v>
      </c>
      <c r="AL117" s="8">
        <v>38.7120251381116</v>
      </c>
    </row>
    <row r="118">
      <c r="A118" s="6" t="str">
        <v>594918</v>
      </c>
      <c r="B118" s="6" t="str">
        <v>United States</v>
      </c>
      <c r="C118" s="6" t="str">
        <v>Microsoft Corp</v>
      </c>
      <c r="D118" s="6" t="str">
        <v>Microsoft Corp</v>
      </c>
      <c r="F118" s="6" t="str">
        <v>Japan</v>
      </c>
      <c r="G118" s="6" t="str">
        <v>CIS Corp</v>
      </c>
      <c r="H118" s="6" t="str">
        <v>Business Services</v>
      </c>
      <c r="I118" s="6" t="str">
        <v>12577C</v>
      </c>
      <c r="J118" s="6" t="str">
        <v>CIS Corp</v>
      </c>
      <c r="K118" s="6" t="str">
        <v>CIS Corp</v>
      </c>
      <c r="L118" s="7">
        <f>=DATE(1999,4,1)</f>
        <v>36250.99949074074</v>
      </c>
      <c r="R118" s="8">
        <v>0.402455830388693</v>
      </c>
      <c r="S118" s="8">
        <v>29.9636749116608</v>
      </c>
      <c r="W118" s="6" t="str">
        <v>Monitors/Terminals;Other Peripherals;Internet Services &amp; Software;Computer Consulting Services;Applications Software(Business;Operating Systems</v>
      </c>
      <c r="X118" s="6" t="str">
        <v>Computer Consulting Services</v>
      </c>
      <c r="Y118" s="6" t="str">
        <v>Computer Consulting Services</v>
      </c>
      <c r="Z118" s="6" t="str">
        <v>Computer Consulting Services</v>
      </c>
      <c r="AA118" s="6" t="str">
        <v>Other Peripherals;Internet Services &amp; Software;Computer Consulting Services;Applications Software(Business;Operating Systems;Monitors/Terminals</v>
      </c>
      <c r="AB118" s="6" t="str">
        <v>Other Peripherals;Operating Systems;Monitors/Terminals;Computer Consulting Services;Internet Services &amp; Software;Applications Software(Business</v>
      </c>
    </row>
    <row r="119">
      <c r="A119" s="6" t="str">
        <v>594918</v>
      </c>
      <c r="B119" s="6" t="str">
        <v>United States</v>
      </c>
      <c r="C119" s="6" t="str">
        <v>Microsoft Corp</v>
      </c>
      <c r="D119" s="6" t="str">
        <v>Microsoft Corp</v>
      </c>
      <c r="F119" s="6" t="str">
        <v>United States</v>
      </c>
      <c r="G119" s="6" t="str">
        <v>Access Software Inc</v>
      </c>
      <c r="H119" s="6" t="str">
        <v>Prepackaged Software</v>
      </c>
      <c r="I119" s="6" t="str">
        <v>00458C</v>
      </c>
      <c r="J119" s="6" t="str">
        <v>Access Software Inc</v>
      </c>
      <c r="K119" s="6" t="str">
        <v>Access Software Inc</v>
      </c>
      <c r="L119" s="7">
        <f>=DATE(1999,4,20)</f>
        <v>36269.99949074074</v>
      </c>
      <c r="W119" s="6" t="str">
        <v>Monitors/Terminals;Applications Software(Business;Other Peripherals;Operating Systems;Internet Services &amp; Software;Computer Consulting Services</v>
      </c>
      <c r="X119" s="6" t="str">
        <v>Other Software (inq. Games)</v>
      </c>
      <c r="Y119" s="6" t="str">
        <v>Other Software (inq. Games)</v>
      </c>
      <c r="Z119" s="6" t="str">
        <v>Other Software (inq. Games)</v>
      </c>
      <c r="AA119" s="6" t="str">
        <v>Other Peripherals;Applications Software(Business;Monitors/Terminals;Computer Consulting Services;Operating Systems;Internet Services &amp; Software</v>
      </c>
      <c r="AB119" s="6" t="str">
        <v>Other Peripherals;Internet Services &amp; Software;Computer Consulting Services;Applications Software(Business;Monitors/Terminals;Operating Systems</v>
      </c>
    </row>
    <row r="120">
      <c r="A120" s="6" t="str">
        <v>023135</v>
      </c>
      <c r="B120" s="6" t="str">
        <v>United States</v>
      </c>
      <c r="C120" s="6" t="str">
        <v>Amazon.com Inc</v>
      </c>
      <c r="D120" s="6" t="str">
        <v>Amazon.com Inc</v>
      </c>
      <c r="F120" s="6" t="str">
        <v>United States</v>
      </c>
      <c r="G120" s="6" t="str">
        <v>Accept.com Financial Services Corp</v>
      </c>
      <c r="H120" s="6" t="str">
        <v>Business Services</v>
      </c>
      <c r="I120" s="6" t="str">
        <v>00425L</v>
      </c>
      <c r="J120" s="6" t="str">
        <v>Accept.com Financial Services Corp</v>
      </c>
      <c r="K120" s="6" t="str">
        <v>Accept.com Financial Services Corp</v>
      </c>
      <c r="L120" s="7">
        <f>=DATE(1999,4,26)</f>
        <v>36275.99949074074</v>
      </c>
      <c r="M120" s="7">
        <f>=DATE(1999,6,9)</f>
        <v>36319.99949074074</v>
      </c>
      <c r="N120" s="8">
        <v>97.914</v>
      </c>
      <c r="O120" s="8">
        <v>183.54</v>
      </c>
      <c r="P120" s="8" t="str">
        <v>183.54</v>
      </c>
      <c r="R120" s="8">
        <v>-1.939</v>
      </c>
      <c r="W120" s="6" t="str">
        <v>Primary Business not Hi-Tech</v>
      </c>
      <c r="X120" s="6" t="str">
        <v>Internet Services &amp; Software</v>
      </c>
      <c r="Y120" s="6" t="str">
        <v>Internet Services &amp; Software</v>
      </c>
      <c r="Z120" s="6" t="str">
        <v>Internet Services &amp; Software</v>
      </c>
      <c r="AA120" s="6" t="str">
        <v>Primary Business not Hi-Tech</v>
      </c>
      <c r="AB120" s="6" t="str">
        <v>Primary Business not Hi-Tech</v>
      </c>
      <c r="AC120" s="8">
        <v>183.54</v>
      </c>
      <c r="AD120" s="7">
        <f>=DATE(1999,4,26)</f>
        <v>36275.99949074074</v>
      </c>
      <c r="AF120" s="8" t="str">
        <v>183.54</v>
      </c>
      <c r="AG120" s="8" t="str">
        <v>97.91</v>
      </c>
      <c r="AH120" s="8" t="str">
        <v>183.54</v>
      </c>
      <c r="AI120" s="8" t="str">
        <v>183.54</v>
      </c>
      <c r="AL120" s="8">
        <v>183.54</v>
      </c>
    </row>
    <row r="121">
      <c r="A121" s="6" t="str">
        <v>023135</v>
      </c>
      <c r="B121" s="6" t="str">
        <v>United States</v>
      </c>
      <c r="C121" s="6" t="str">
        <v>Amazon.com Inc</v>
      </c>
      <c r="D121" s="6" t="str">
        <v>Amazon.com Inc</v>
      </c>
      <c r="F121" s="6" t="str">
        <v>United States</v>
      </c>
      <c r="G121" s="6" t="str">
        <v>Alexa Internet</v>
      </c>
      <c r="H121" s="6" t="str">
        <v>Business Services</v>
      </c>
      <c r="I121" s="6" t="str">
        <v>01483R</v>
      </c>
      <c r="J121" s="6" t="str">
        <v>Alexa Internet</v>
      </c>
      <c r="K121" s="6" t="str">
        <v>Alexa Internet</v>
      </c>
      <c r="L121" s="7">
        <f>=DATE(1999,4,26)</f>
        <v>36275.99949074074</v>
      </c>
      <c r="M121" s="7">
        <f>=DATE(1999,6,10)</f>
        <v>36320.99949074074</v>
      </c>
      <c r="N121" s="8">
        <v>249.083</v>
      </c>
      <c r="O121" s="8">
        <v>249.083</v>
      </c>
      <c r="P121" s="8" t="str">
        <v>249.08</v>
      </c>
      <c r="R121" s="8">
        <v>-4.992</v>
      </c>
      <c r="S121" s="8">
        <v>0.752</v>
      </c>
      <c r="W121" s="6" t="str">
        <v>Primary Business not Hi-Tech</v>
      </c>
      <c r="X121" s="6" t="str">
        <v>Internet Services &amp; Software</v>
      </c>
      <c r="Y121" s="6" t="str">
        <v>Internet Services &amp; Software</v>
      </c>
      <c r="Z121" s="6" t="str">
        <v>Internet Services &amp; Software</v>
      </c>
      <c r="AA121" s="6" t="str">
        <v>Primary Business not Hi-Tech</v>
      </c>
      <c r="AB121" s="6" t="str">
        <v>Primary Business not Hi-Tech</v>
      </c>
      <c r="AC121" s="8">
        <v>249.083</v>
      </c>
      <c r="AD121" s="7">
        <f>=DATE(1999,6,9)</f>
        <v>36319.99949074074</v>
      </c>
      <c r="AF121" s="8" t="str">
        <v>249.08</v>
      </c>
      <c r="AG121" s="8" t="str">
        <v>249.08</v>
      </c>
      <c r="AH121" s="8" t="str">
        <v>249.08</v>
      </c>
      <c r="AI121" s="8" t="str">
        <v>249.08</v>
      </c>
      <c r="AL121" s="8">
        <v>249.083</v>
      </c>
    </row>
    <row r="122">
      <c r="A122" s="6" t="str">
        <v>023135</v>
      </c>
      <c r="B122" s="6" t="str">
        <v>United States</v>
      </c>
      <c r="C122" s="6" t="str">
        <v>Amazon.com Inc</v>
      </c>
      <c r="D122" s="6" t="str">
        <v>Amazon.com Inc</v>
      </c>
      <c r="F122" s="6" t="str">
        <v>United States</v>
      </c>
      <c r="G122" s="6" t="str">
        <v>Exchange.com</v>
      </c>
      <c r="H122" s="6" t="str">
        <v>Business Services</v>
      </c>
      <c r="I122" s="6" t="str">
        <v>30086Y</v>
      </c>
      <c r="J122" s="6" t="str">
        <v>Exchange.com</v>
      </c>
      <c r="K122" s="6" t="str">
        <v>Exchange.com</v>
      </c>
      <c r="L122" s="7">
        <f>=DATE(1999,4,26)</f>
        <v>36275.99949074074</v>
      </c>
      <c r="M122" s="7">
        <f>=DATE(1999,5,14)</f>
        <v>36293.99949074074</v>
      </c>
      <c r="N122" s="8">
        <v>182.788</v>
      </c>
      <c r="O122" s="8">
        <v>252.036</v>
      </c>
      <c r="P122" s="8" t="str">
        <v>252.04</v>
      </c>
      <c r="R122" s="8">
        <v>-0.429</v>
      </c>
      <c r="W122" s="6" t="str">
        <v>Primary Business not Hi-Tech</v>
      </c>
      <c r="X122" s="6" t="str">
        <v>Internet Services &amp; Software</v>
      </c>
      <c r="Y122" s="6" t="str">
        <v>Internet Services &amp; Software</v>
      </c>
      <c r="Z122" s="6" t="str">
        <v>Internet Services &amp; Software</v>
      </c>
      <c r="AA122" s="6" t="str">
        <v>Primary Business not Hi-Tech</v>
      </c>
      <c r="AB122" s="6" t="str">
        <v>Primary Business not Hi-Tech</v>
      </c>
      <c r="AC122" s="8">
        <v>252.036</v>
      </c>
      <c r="AD122" s="7">
        <f>=DATE(1999,4,26)</f>
        <v>36275.99949074074</v>
      </c>
      <c r="AF122" s="8" t="str">
        <v>252.04</v>
      </c>
      <c r="AG122" s="8" t="str">
        <v>182.79</v>
      </c>
      <c r="AH122" s="8" t="str">
        <v>252.04</v>
      </c>
      <c r="AI122" s="8" t="str">
        <v>252.04</v>
      </c>
      <c r="AL122" s="8">
        <v>252.036</v>
      </c>
    </row>
    <row r="123">
      <c r="A123" s="6" t="str">
        <v>594918</v>
      </c>
      <c r="B123" s="6" t="str">
        <v>United States</v>
      </c>
      <c r="C123" s="6" t="str">
        <v>Microsoft Corp</v>
      </c>
      <c r="D123" s="6" t="str">
        <v>Microsoft Corp</v>
      </c>
      <c r="F123" s="6" t="str">
        <v>United States</v>
      </c>
      <c r="G123" s="6" t="str">
        <v>Jump Networks Inc</v>
      </c>
      <c r="H123" s="6" t="str">
        <v>Business Services</v>
      </c>
      <c r="I123" s="6" t="str">
        <v>48139R</v>
      </c>
      <c r="J123" s="6" t="str">
        <v>Jump Networks Inc</v>
      </c>
      <c r="K123" s="6" t="str">
        <v>Jump Networks Inc</v>
      </c>
      <c r="L123" s="7">
        <f>=DATE(1999,4,26)</f>
        <v>36275.99949074074</v>
      </c>
      <c r="M123" s="7">
        <f>=DATE(1999,4,30)</f>
        <v>36279.99949074074</v>
      </c>
      <c r="W123" s="6" t="str">
        <v>Other Peripherals;Monitors/Terminals;Computer Consulting Services;Operating Systems;Internet Services &amp; Software;Applications Software(Business</v>
      </c>
      <c r="X123" s="6" t="str">
        <v>Internet Services &amp; Software;Communication/Network Software</v>
      </c>
      <c r="Y123" s="6" t="str">
        <v>Communication/Network Software;Internet Services &amp; Software</v>
      </c>
      <c r="Z123" s="6" t="str">
        <v>Communication/Network Software;Internet Services &amp; Software</v>
      </c>
      <c r="AA123" s="6" t="str">
        <v>Other Peripherals;Operating Systems;Monitors/Terminals;Internet Services &amp; Software;Computer Consulting Services;Applications Software(Business</v>
      </c>
      <c r="AB123" s="6" t="str">
        <v>Computer Consulting Services;Other Peripherals;Operating Systems;Internet Services &amp; Software;Monitors/Terminals;Applications Software(Business</v>
      </c>
    </row>
    <row r="124">
      <c r="A124" s="6" t="str">
        <v>594918</v>
      </c>
      <c r="B124" s="6" t="str">
        <v>United States</v>
      </c>
      <c r="C124" s="6" t="str">
        <v>Microsoft Corp</v>
      </c>
      <c r="D124" s="6" t="str">
        <v>Microsoft Corp</v>
      </c>
      <c r="F124" s="6" t="str">
        <v>United States</v>
      </c>
      <c r="G124" s="6" t="str">
        <v>Interactive Objects Inc-Digital Audio Player Technology</v>
      </c>
      <c r="H124" s="6" t="str">
        <v>Prepackaged Software</v>
      </c>
      <c r="I124" s="6" t="str">
        <v>45899F</v>
      </c>
      <c r="J124" s="6" t="str">
        <v>Asia Pacific Chemical Engineering Corp</v>
      </c>
      <c r="K124" s="6" t="str">
        <v>Interactive Objects Inc (Asia Pacific Chemical Engineering)</v>
      </c>
      <c r="L124" s="7">
        <f>=DATE(1999,4,27)</f>
        <v>36276.99949074074</v>
      </c>
      <c r="M124" s="7">
        <f>=DATE(1999,4,27)</f>
        <v>36276.99949074074</v>
      </c>
      <c r="W124" s="6" t="str">
        <v>Computer Consulting Services;Applications Software(Business;Operating Systems;Internet Services &amp; Software;Other Peripherals;Monitors/Terminals</v>
      </c>
      <c r="X124" s="6" t="str">
        <v>Other Software (inq. Games)</v>
      </c>
      <c r="Y124" s="6" t="str">
        <v>Communication/Network Software;Other Telecommunications Equip;Data Commun(Exclude networking;Other Software (inq. Games)</v>
      </c>
      <c r="Z124" s="6" t="str">
        <v>Primary Business not Hi-Tech</v>
      </c>
      <c r="AA124" s="6" t="str">
        <v>Other Peripherals;Monitors/Terminals;Operating Systems;Applications Software(Business;Internet Services &amp; Software;Computer Consulting Services</v>
      </c>
      <c r="AB124" s="6" t="str">
        <v>Computer Consulting Services;Internet Services &amp; Software;Monitors/Terminals;Operating Systems;Other Peripherals;Applications Software(Business</v>
      </c>
    </row>
    <row r="125">
      <c r="A125" s="6" t="str">
        <v>594918</v>
      </c>
      <c r="B125" s="6" t="str">
        <v>United States</v>
      </c>
      <c r="C125" s="6" t="str">
        <v>Microsoft Corp</v>
      </c>
      <c r="D125" s="6" t="str">
        <v>Microsoft Corp</v>
      </c>
      <c r="E125" s="6" t="str">
        <v>AT&amp;T Corp;Microsoft Corp</v>
      </c>
      <c r="F125" s="6" t="str">
        <v>United States</v>
      </c>
      <c r="G125" s="6" t="str">
        <v>AT&amp;T Corp</v>
      </c>
      <c r="H125" s="6" t="str">
        <v>Telecommunications</v>
      </c>
      <c r="I125" s="6" t="str">
        <v>001957</v>
      </c>
      <c r="J125" s="6" t="str">
        <v>AT&amp;T Corp</v>
      </c>
      <c r="K125" s="6" t="str">
        <v>AT&amp;T Corp</v>
      </c>
      <c r="L125" s="7">
        <f>=DATE(1999,5,5)</f>
        <v>36284.99949074074</v>
      </c>
      <c r="M125" s="7">
        <f>=DATE(1999,6,16)</f>
        <v>36326.99949074074</v>
      </c>
      <c r="N125" s="8">
        <v>5000</v>
      </c>
      <c r="O125" s="8">
        <v>5000</v>
      </c>
      <c r="P125" s="8" t="str">
        <v>214,294.92</v>
      </c>
      <c r="Q125" s="8" t="str">
        <v>49,278.87;2,272.42</v>
      </c>
      <c r="R125" s="8">
        <v>4937</v>
      </c>
      <c r="S125" s="8">
        <v>54688</v>
      </c>
      <c r="T125" s="8">
        <v>-4164</v>
      </c>
      <c r="U125" s="8">
        <v>-3913</v>
      </c>
      <c r="V125" s="8">
        <v>9136</v>
      </c>
      <c r="W125" s="6" t="str">
        <v>Other Peripherals;Internet Services &amp; Software;Applications Software(Business;Computer Consulting Services;Monitors/Terminals;Operating Systems</v>
      </c>
      <c r="X125" s="6" t="str">
        <v>Messaging Systems;Satellite Communications;Telephone Interconnect Equip</v>
      </c>
      <c r="Y125" s="6" t="str">
        <v>Telephone Interconnect Equip;Messaging Systems;Satellite Communications</v>
      </c>
      <c r="Z125" s="6" t="str">
        <v>Telephone Interconnect Equip;Messaging Systems;Satellite Communications</v>
      </c>
      <c r="AA125" s="6" t="str">
        <v>Internet Services &amp; Software;Applications Software(Business;Computer Consulting Services;Monitors/Terminals;Other Peripherals;Operating Systems</v>
      </c>
      <c r="AB125" s="6" t="str">
        <v>Monitors/Terminals;Other Peripherals;Internet Services &amp; Software;Applications Software(Business;Computer Consulting Services;Operating Systems</v>
      </c>
      <c r="AC125" s="8">
        <v>5000</v>
      </c>
      <c r="AD125" s="7">
        <f>=DATE(1999,5,6)</f>
        <v>36285.99949074074</v>
      </c>
      <c r="AF125" s="8" t="str">
        <v>211,395.92</v>
      </c>
      <c r="AG125" s="8" t="str">
        <v>211,395.92</v>
      </c>
      <c r="AH125" s="8" t="str">
        <v>178,811.92</v>
      </c>
      <c r="AI125" s="8" t="str">
        <v>178,811.92</v>
      </c>
      <c r="AL125" s="8">
        <v>5000</v>
      </c>
    </row>
    <row r="126">
      <c r="A126" s="6" t="str">
        <v>594918</v>
      </c>
      <c r="B126" s="6" t="str">
        <v>United States</v>
      </c>
      <c r="C126" s="6" t="str">
        <v>Microsoft Corp</v>
      </c>
      <c r="D126" s="6" t="str">
        <v>Microsoft Corp</v>
      </c>
      <c r="F126" s="6" t="str">
        <v>United States</v>
      </c>
      <c r="G126" s="6" t="str">
        <v>Nextel Communications Inc</v>
      </c>
      <c r="H126" s="6" t="str">
        <v>Telecommunications</v>
      </c>
      <c r="I126" s="6" t="str">
        <v>65332V</v>
      </c>
      <c r="J126" s="6" t="str">
        <v>Sprint Nextel Corp</v>
      </c>
      <c r="K126" s="6" t="str">
        <v>Sprint Nextel Corp</v>
      </c>
      <c r="L126" s="7">
        <f>=DATE(1999,5,10)</f>
        <v>36289.99949074074</v>
      </c>
      <c r="M126" s="7">
        <f>=DATE(1999,5,28)</f>
        <v>36307.99949074074</v>
      </c>
      <c r="N126" s="8">
        <v>600</v>
      </c>
      <c r="O126" s="8">
        <v>600</v>
      </c>
      <c r="P126" s="8" t="str">
        <v>23,820.22</v>
      </c>
      <c r="R126" s="8">
        <v>-1571.441</v>
      </c>
      <c r="S126" s="8">
        <v>2183.429</v>
      </c>
      <c r="T126" s="8">
        <v>1179.992</v>
      </c>
      <c r="U126" s="8">
        <v>-2311.017</v>
      </c>
      <c r="V126" s="8">
        <v>-128.506</v>
      </c>
      <c r="W126" s="6" t="str">
        <v>Internet Services &amp; Software;Operating Systems;Applications Software(Business;Computer Consulting Services;Other Peripherals;Monitors/Terminals</v>
      </c>
      <c r="X126" s="6" t="str">
        <v>Cellular Communications;Satellite Communications</v>
      </c>
      <c r="Y126" s="6" t="str">
        <v>Satellite Communications;Cellular Communications;Internet Services &amp; Software;Networking Systems (LAN,WAN)</v>
      </c>
      <c r="Z126" s="6" t="str">
        <v>Networking Systems (LAN,WAN);Internet Services &amp; Software;Satellite Communications;Cellular Communications</v>
      </c>
      <c r="AA126" s="6" t="str">
        <v>Operating Systems;Applications Software(Business;Internet Services &amp; Software;Other Peripherals;Monitors/Terminals;Computer Consulting Services</v>
      </c>
      <c r="AB126" s="6" t="str">
        <v>Other Peripherals;Applications Software(Business;Internet Services &amp; Software;Monitors/Terminals;Computer Consulting Services;Operating Systems</v>
      </c>
      <c r="AC126" s="8">
        <v>600</v>
      </c>
      <c r="AD126" s="7">
        <f>=DATE(1999,5,10)</f>
        <v>36289.99949074074</v>
      </c>
      <c r="AF126" s="8" t="str">
        <v>23,799.14</v>
      </c>
      <c r="AG126" s="8" t="str">
        <v>23,799.14</v>
      </c>
      <c r="AH126" s="8" t="str">
        <v>14,117.65</v>
      </c>
      <c r="AI126" s="8" t="str">
        <v>14,117.65</v>
      </c>
      <c r="AL126" s="8">
        <v>600</v>
      </c>
    </row>
    <row r="127">
      <c r="A127" s="6" t="str">
        <v>594918</v>
      </c>
      <c r="B127" s="6" t="str">
        <v>United States</v>
      </c>
      <c r="C127" s="6" t="str">
        <v>Microsoft Corp</v>
      </c>
      <c r="D127" s="6" t="str">
        <v>Microsoft Corp</v>
      </c>
      <c r="E127" s="6" t="str">
        <v>Foersaekrings AB Skandia</v>
      </c>
      <c r="F127" s="6" t="str">
        <v>Sweden</v>
      </c>
      <c r="G127" s="6" t="str">
        <v>Sendit AB</v>
      </c>
      <c r="H127" s="6" t="str">
        <v>Prepackaged Software</v>
      </c>
      <c r="I127" s="6" t="str">
        <v>81689N</v>
      </c>
      <c r="J127" s="6" t="str">
        <v>Sendit AB</v>
      </c>
      <c r="K127" s="6" t="str">
        <v>Sendit AB</v>
      </c>
      <c r="L127" s="7">
        <f>=DATE(1999,5,12)</f>
        <v>36291.99949074074</v>
      </c>
      <c r="M127" s="7">
        <f>=DATE(1999,7,1)</f>
        <v>36341.99949074074</v>
      </c>
      <c r="N127" s="8">
        <v>124.680207998667</v>
      </c>
      <c r="O127" s="8">
        <v>124.680207998667</v>
      </c>
      <c r="W127" s="6" t="str">
        <v>Other Peripherals;Operating Systems;Applications Software(Business;Monitors/Terminals;Internet Services &amp; Software;Computer Consulting Services</v>
      </c>
      <c r="X127" s="6" t="str">
        <v>Applications Software(Business</v>
      </c>
      <c r="Y127" s="6" t="str">
        <v>Applications Software(Business</v>
      </c>
      <c r="Z127" s="6" t="str">
        <v>Applications Software(Business</v>
      </c>
      <c r="AA127" s="6" t="str">
        <v>Other Peripherals;Operating Systems;Computer Consulting Services;Monitors/Terminals;Internet Services &amp; Software;Applications Software(Business</v>
      </c>
      <c r="AB127" s="6" t="str">
        <v>Computer Consulting Services;Operating Systems;Internet Services &amp; Software;Monitors/Terminals;Applications Software(Business;Other Peripherals</v>
      </c>
      <c r="AC127" s="8">
        <v>124.680207998667</v>
      </c>
      <c r="AD127" s="7">
        <f>=DATE(1999,5,12)</f>
        <v>36291.99949074074</v>
      </c>
      <c r="AE127" s="8">
        <v>124.680207998667</v>
      </c>
      <c r="AH127" s="8" t="str">
        <v>123.21</v>
      </c>
      <c r="AI127" s="8" t="str">
        <v>124.68</v>
      </c>
      <c r="AL127" s="8">
        <v>124.680207998667</v>
      </c>
    </row>
    <row r="128">
      <c r="A128" s="6" t="str">
        <v>98870Q</v>
      </c>
      <c r="B128" s="6" t="str">
        <v>United States</v>
      </c>
      <c r="C128" s="6" t="str">
        <v>Yupi Internet Inc</v>
      </c>
      <c r="D128" s="6" t="str">
        <v>Yupi Internet Inc</v>
      </c>
      <c r="F128" s="6" t="str">
        <v>Spain</v>
      </c>
      <c r="G128" s="6" t="str">
        <v>Ciudadfutura.Com</v>
      </c>
      <c r="H128" s="6" t="str">
        <v>Business Services</v>
      </c>
      <c r="I128" s="6" t="str">
        <v>17284J</v>
      </c>
      <c r="J128" s="6" t="str">
        <v>Ciudadfutura.Com</v>
      </c>
      <c r="K128" s="6" t="str">
        <v>Ciudadfutura.Com</v>
      </c>
      <c r="L128" s="7">
        <f>=DATE(1999,5,13)</f>
        <v>36292.99949074074</v>
      </c>
      <c r="M128" s="7">
        <f>=DATE(1999,5,13)</f>
        <v>36292.99949074074</v>
      </c>
      <c r="W128" s="6" t="str">
        <v>Internet Services &amp; Software</v>
      </c>
      <c r="X128" s="6" t="str">
        <v>Internet Services &amp; Software</v>
      </c>
      <c r="Y128" s="6" t="str">
        <v>Internet Services &amp; Software</v>
      </c>
      <c r="Z128" s="6" t="str">
        <v>Internet Services &amp; Software</v>
      </c>
      <c r="AA128" s="6" t="str">
        <v>Internet Services &amp; Software</v>
      </c>
      <c r="AB128" s="6" t="str">
        <v>Internet Services &amp; Software</v>
      </c>
    </row>
    <row r="129">
      <c r="A129" s="6" t="str">
        <v>023135</v>
      </c>
      <c r="B129" s="6" t="str">
        <v>United States</v>
      </c>
      <c r="C129" s="6" t="str">
        <v>Amazon.com Inc</v>
      </c>
      <c r="D129" s="6" t="str">
        <v>Amazon.com Inc</v>
      </c>
      <c r="F129" s="6" t="str">
        <v>United States</v>
      </c>
      <c r="G129" s="6" t="str">
        <v>HomeGrocer.com</v>
      </c>
      <c r="H129" s="6" t="str">
        <v>Business Services</v>
      </c>
      <c r="I129" s="6" t="str">
        <v>43740K</v>
      </c>
      <c r="J129" s="6" t="str">
        <v>HomeGrocer.com</v>
      </c>
      <c r="K129" s="6" t="str">
        <v>HomeGrocer.com</v>
      </c>
      <c r="L129" s="7">
        <f>=DATE(1999,5,18)</f>
        <v>36297.99949074074</v>
      </c>
      <c r="M129" s="7">
        <f>=DATE(1999,5,18)</f>
        <v>36297.99949074074</v>
      </c>
      <c r="N129" s="8">
        <v>42.5</v>
      </c>
      <c r="O129" s="8">
        <v>42.5</v>
      </c>
      <c r="P129" s="8" t="str">
        <v>171.28</v>
      </c>
      <c r="R129" s="8">
        <v>-12.004</v>
      </c>
      <c r="W129" s="6" t="str">
        <v>Primary Business not Hi-Tech</v>
      </c>
      <c r="X129" s="6" t="str">
        <v>Internet Services &amp; Software</v>
      </c>
      <c r="Y129" s="6" t="str">
        <v>Internet Services &amp; Software</v>
      </c>
      <c r="Z129" s="6" t="str">
        <v>Internet Services &amp; Software</v>
      </c>
      <c r="AA129" s="6" t="str">
        <v>Primary Business not Hi-Tech</v>
      </c>
      <c r="AB129" s="6" t="str">
        <v>Primary Business not Hi-Tech</v>
      </c>
      <c r="AC129" s="8">
        <v>42.5</v>
      </c>
      <c r="AD129" s="7">
        <f>=DATE(1999,5,18)</f>
        <v>36297.99949074074</v>
      </c>
      <c r="AF129" s="8" t="str">
        <v>171.28</v>
      </c>
      <c r="AG129" s="8" t="str">
        <v>171.28</v>
      </c>
      <c r="AH129" s="8" t="str">
        <v>121.43</v>
      </c>
      <c r="AI129" s="8" t="str">
        <v>121.43</v>
      </c>
      <c r="AL129" s="8">
        <v>42.5</v>
      </c>
    </row>
    <row r="130">
      <c r="A130" s="6" t="str">
        <v>594918</v>
      </c>
      <c r="B130" s="6" t="str">
        <v>United States</v>
      </c>
      <c r="C130" s="6" t="str">
        <v>Microsoft Corp</v>
      </c>
      <c r="D130" s="6" t="str">
        <v>Microsoft Corp</v>
      </c>
      <c r="F130" s="6" t="str">
        <v>United States</v>
      </c>
      <c r="G130" s="6" t="str">
        <v>WebMD Inc</v>
      </c>
      <c r="H130" s="6" t="str">
        <v>Business Services</v>
      </c>
      <c r="I130" s="6" t="str">
        <v>94734Q</v>
      </c>
      <c r="J130" s="6" t="str">
        <v>Healtheon Corp</v>
      </c>
      <c r="K130" s="6" t="str">
        <v>Healtheon Corp</v>
      </c>
      <c r="L130" s="7">
        <f>=DATE(1999,5,26)</f>
        <v>36305.99949074074</v>
      </c>
      <c r="M130" s="7">
        <f>=DATE(1999,7,5)</f>
        <v>36345.99949074074</v>
      </c>
      <c r="N130" s="8">
        <v>250</v>
      </c>
      <c r="O130" s="8">
        <v>250</v>
      </c>
      <c r="R130" s="8">
        <v>-39.555</v>
      </c>
      <c r="S130" s="8">
        <v>2.458</v>
      </c>
      <c r="W130" s="6" t="str">
        <v>Computer Consulting Services;Other Peripherals;Internet Services &amp; Software;Applications Software(Business;Monitors/Terminals;Operating Systems</v>
      </c>
      <c r="X130" s="6" t="str">
        <v>Internet Services &amp; Software</v>
      </c>
      <c r="Y130" s="6" t="str">
        <v>Internet Services &amp; Software;Data Processing Services</v>
      </c>
      <c r="Z130" s="6" t="str">
        <v>Data Processing Services;Internet Services &amp; Software</v>
      </c>
      <c r="AA130" s="6" t="str">
        <v>Other Peripherals;Computer Consulting Services;Monitors/Terminals;Operating Systems;Internet Services &amp; Software;Applications Software(Business</v>
      </c>
      <c r="AB130" s="6" t="str">
        <v>Internet Services &amp; Software;Operating Systems;Monitors/Terminals;Applications Software(Business;Other Peripherals;Computer Consulting Services</v>
      </c>
      <c r="AC130" s="8">
        <v>250</v>
      </c>
      <c r="AD130" s="7">
        <f>=DATE(1999,5,26)</f>
        <v>36305.99949074074</v>
      </c>
      <c r="AL130" s="8">
        <v>250</v>
      </c>
    </row>
    <row r="131">
      <c r="A131" s="6" t="str">
        <v>037833</v>
      </c>
      <c r="B131" s="6" t="str">
        <v>United States</v>
      </c>
      <c r="C131" s="6" t="str">
        <v>Apple Computer Inc</v>
      </c>
      <c r="D131" s="6" t="str">
        <v>Apple Computer Inc</v>
      </c>
      <c r="F131" s="6" t="str">
        <v>United States</v>
      </c>
      <c r="G131" s="6" t="str">
        <v>Akamai Technologies Inc</v>
      </c>
      <c r="H131" s="6" t="str">
        <v>Business Services</v>
      </c>
      <c r="I131" s="6" t="str">
        <v>00971T</v>
      </c>
      <c r="J131" s="6" t="str">
        <v>Akamai Technologies Inc</v>
      </c>
      <c r="K131" s="6" t="str">
        <v>Akamai Technologies Inc</v>
      </c>
      <c r="L131" s="7">
        <f>=DATE(1999,6,1)</f>
        <v>36311.99949074074</v>
      </c>
      <c r="M131" s="7">
        <f>=DATE(1999,6,1)</f>
        <v>36311.99949074074</v>
      </c>
      <c r="N131" s="8">
        <v>12.5</v>
      </c>
      <c r="O131" s="8">
        <v>12.5</v>
      </c>
      <c r="P131" s="8" t="str">
        <v>0.88</v>
      </c>
      <c r="R131" s="8">
        <v>-0.89</v>
      </c>
      <c r="T131" s="8">
        <v>8.326</v>
      </c>
      <c r="U131" s="8">
        <v>-1.748</v>
      </c>
      <c r="V131" s="8">
        <v>0.002</v>
      </c>
      <c r="W131" s="6" t="str">
        <v>Mainframes &amp; Super Computers;Monitors/Terminals;Printers;Disk Drives;Micro-Computers (PCs);Other Peripherals;Portable Computers;Other Software (inq. Games)</v>
      </c>
      <c r="X131" s="6" t="str">
        <v>Internet Services &amp; Software</v>
      </c>
      <c r="Y131" s="6" t="str">
        <v>Internet Services &amp; Software</v>
      </c>
      <c r="Z131" s="6" t="str">
        <v>Internet Services &amp; Software</v>
      </c>
      <c r="AA131" s="6" t="str">
        <v>Other Peripherals;Mainframes &amp; Super Computers;Portable Computers;Other Software (inq. Games);Printers;Disk Drives;Monitors/Terminals;Micro-Computers (PCs)</v>
      </c>
      <c r="AB131" s="6" t="str">
        <v>Other Software (inq. Games);Portable Computers;Micro-Computers (PCs);Disk Drives;Other Peripherals;Monitors/Terminals;Mainframes &amp; Super Computers;Printers</v>
      </c>
      <c r="AC131" s="8">
        <v>12.5</v>
      </c>
      <c r="AF131" s="8" t="str">
        <v>0.88</v>
      </c>
      <c r="AG131" s="8" t="str">
        <v>0.88</v>
      </c>
      <c r="AH131" s="8" t="str">
        <v>250.00</v>
      </c>
      <c r="AI131" s="8" t="str">
        <v>250.00</v>
      </c>
      <c r="AL131" s="8">
        <v>12.5</v>
      </c>
    </row>
    <row r="132">
      <c r="A132" s="6" t="str">
        <v>594918</v>
      </c>
      <c r="B132" s="6" t="str">
        <v>United States</v>
      </c>
      <c r="C132" s="6" t="str">
        <v>Microsoft Corp</v>
      </c>
      <c r="D132" s="6" t="str">
        <v>Microsoft Corp</v>
      </c>
      <c r="F132" s="6" t="str">
        <v>Canada</v>
      </c>
      <c r="G132" s="6" t="str">
        <v>ShadowFactor Software Inc</v>
      </c>
      <c r="H132" s="6" t="str">
        <v>Business Services</v>
      </c>
      <c r="I132" s="6" t="str">
        <v>82088Q</v>
      </c>
      <c r="J132" s="6" t="str">
        <v>ShadowFactor Software Inc</v>
      </c>
      <c r="K132" s="6" t="str">
        <v>ShadowFactor Software Inc</v>
      </c>
      <c r="L132" s="7">
        <f>=DATE(1999,6,7)</f>
        <v>36317.99949074074</v>
      </c>
      <c r="M132" s="7">
        <f>=DATE(1999,6,7)</f>
        <v>36317.99949074074</v>
      </c>
      <c r="W132" s="6" t="str">
        <v>Operating Systems;Other Peripherals;Internet Services &amp; Software;Computer Consulting Services;Applications Software(Business;Monitors/Terminals</v>
      </c>
      <c r="X132" s="6" t="str">
        <v>Applications Software(Business</v>
      </c>
      <c r="Y132" s="6" t="str">
        <v>Applications Software(Business</v>
      </c>
      <c r="Z132" s="6" t="str">
        <v>Applications Software(Business</v>
      </c>
      <c r="AA132" s="6" t="str">
        <v>Other Peripherals;Internet Services &amp; Software;Applications Software(Business;Monitors/Terminals;Operating Systems;Computer Consulting Services</v>
      </c>
      <c r="AB132" s="6" t="str">
        <v>Other Peripherals;Internet Services &amp; Software;Applications Software(Business;Monitors/Terminals;Computer Consulting Services;Operating Systems</v>
      </c>
    </row>
    <row r="133">
      <c r="A133" s="6" t="str">
        <v>594918</v>
      </c>
      <c r="B133" s="6" t="str">
        <v>United States</v>
      </c>
      <c r="C133" s="6" t="str">
        <v>Microsoft Corp</v>
      </c>
      <c r="D133" s="6" t="str">
        <v>Microsoft Corp</v>
      </c>
      <c r="F133" s="6" t="str">
        <v>United States</v>
      </c>
      <c r="G133" s="6" t="str">
        <v>Inprise Corp</v>
      </c>
      <c r="H133" s="6" t="str">
        <v>Prepackaged Software</v>
      </c>
      <c r="I133" s="6" t="str">
        <v>45766C</v>
      </c>
      <c r="J133" s="6" t="str">
        <v>Inprise Corp</v>
      </c>
      <c r="K133" s="6" t="str">
        <v>Inprise Corp</v>
      </c>
      <c r="L133" s="7">
        <f>=DATE(1999,6,8)</f>
        <v>36318.99949074074</v>
      </c>
      <c r="M133" s="7">
        <f>=DATE(1999,6,8)</f>
        <v>36318.99949074074</v>
      </c>
      <c r="N133" s="8">
        <v>125</v>
      </c>
      <c r="O133" s="8">
        <v>125</v>
      </c>
      <c r="R133" s="8">
        <v>-4.206</v>
      </c>
      <c r="S133" s="8">
        <v>186.041</v>
      </c>
      <c r="T133" s="8">
        <v>-12.658</v>
      </c>
      <c r="U133" s="8">
        <v>6.459</v>
      </c>
      <c r="V133" s="8">
        <v>-24.358</v>
      </c>
      <c r="W133" s="6" t="str">
        <v>Monitors/Terminals;Internet Services &amp; Software;Operating Systems;Computer Consulting Services;Applications Software(Business;Other Peripherals</v>
      </c>
      <c r="X133" s="6" t="str">
        <v>Applications Software(Home);Applications Software(Business;Other Software (inq. Games)</v>
      </c>
      <c r="Y133" s="6" t="str">
        <v>Applications Software(Home);Applications Software(Business;Other Software (inq. Games)</v>
      </c>
      <c r="Z133" s="6" t="str">
        <v>Other Software (inq. Games);Applications Software(Business;Applications Software(Home)</v>
      </c>
      <c r="AA133" s="6" t="str">
        <v>Internet Services &amp; Software;Other Peripherals;Computer Consulting Services;Operating Systems;Applications Software(Business;Monitors/Terminals</v>
      </c>
      <c r="AB133" s="6" t="str">
        <v>Other Peripherals;Operating Systems;Monitors/Terminals;Applications Software(Business;Internet Services &amp; Software;Computer Consulting Services</v>
      </c>
      <c r="AC133" s="8">
        <v>125</v>
      </c>
      <c r="AD133" s="7">
        <f>=DATE(1999,6,8)</f>
        <v>36318.99949074074</v>
      </c>
      <c r="AL133" s="8">
        <v>125</v>
      </c>
    </row>
    <row r="134">
      <c r="A134" s="6" t="str">
        <v>594918</v>
      </c>
      <c r="B134" s="6" t="str">
        <v>United States</v>
      </c>
      <c r="C134" s="6" t="str">
        <v>Microsoft Corp</v>
      </c>
      <c r="D134" s="6" t="str">
        <v>Microsoft Corp</v>
      </c>
      <c r="F134" s="6" t="str">
        <v>United States</v>
      </c>
      <c r="G134" s="6" t="str">
        <v>NaviSite Inc</v>
      </c>
      <c r="H134" s="6" t="str">
        <v>Business Services</v>
      </c>
      <c r="I134" s="6" t="str">
        <v>63935M</v>
      </c>
      <c r="J134" s="6" t="str">
        <v>CMGI Inc</v>
      </c>
      <c r="K134" s="6" t="str">
        <v>CMGI Inc</v>
      </c>
      <c r="L134" s="7">
        <f>=DATE(1999,6,8)</f>
        <v>36318.99949074074</v>
      </c>
      <c r="M134" s="7">
        <f>=DATE(1999,6,8)</f>
        <v>36318.99949074074</v>
      </c>
      <c r="R134" s="8">
        <v>-9.172</v>
      </c>
      <c r="S134" s="8">
        <v>4.029</v>
      </c>
      <c r="T134" s="8">
        <v>9.083</v>
      </c>
      <c r="U134" s="8">
        <v>-1.226</v>
      </c>
      <c r="V134" s="8">
        <v>-7.857</v>
      </c>
      <c r="W134" s="6" t="str">
        <v>Other Peripherals;Monitors/Terminals;Applications Software(Business;Internet Services &amp; Software;Computer Consulting Services;Operating Systems</v>
      </c>
      <c r="X134" s="6" t="str">
        <v>Communication/Network Software;Internet Services &amp; Software</v>
      </c>
      <c r="Y134" s="6" t="str">
        <v>Internet Services &amp; Software;Communication/Network Software</v>
      </c>
      <c r="Z134" s="6" t="str">
        <v>Communication/Network Software;Internet Services &amp; Software</v>
      </c>
      <c r="AA134" s="6" t="str">
        <v>Computer Consulting Services;Monitors/Terminals;Internet Services &amp; Software;Operating Systems;Applications Software(Business;Other Peripherals</v>
      </c>
      <c r="AB134" s="6" t="str">
        <v>Computer Consulting Services;Operating Systems;Applications Software(Business;Internet Services &amp; Software;Other Peripherals;Monitors/Terminals</v>
      </c>
    </row>
    <row r="135">
      <c r="A135" s="6" t="str">
        <v>594918</v>
      </c>
      <c r="B135" s="6" t="str">
        <v>United States</v>
      </c>
      <c r="C135" s="6" t="str">
        <v>Microsoft Corp</v>
      </c>
      <c r="D135" s="6" t="str">
        <v>Microsoft Corp</v>
      </c>
      <c r="F135" s="6" t="str">
        <v>United States</v>
      </c>
      <c r="G135" s="6" t="str">
        <v>Omnibrowse Inc</v>
      </c>
      <c r="H135" s="6" t="str">
        <v>Prepackaged Software</v>
      </c>
      <c r="I135" s="6" t="str">
        <v>68196W</v>
      </c>
      <c r="J135" s="6" t="str">
        <v>Omnibrowse Inc</v>
      </c>
      <c r="K135" s="6" t="str">
        <v>Omnibrowse Inc</v>
      </c>
      <c r="L135" s="7">
        <f>=DATE(1999,6,15)</f>
        <v>36325.99949074074</v>
      </c>
      <c r="M135" s="7">
        <f>=DATE(1999,6,15)</f>
        <v>36325.99949074074</v>
      </c>
      <c r="W135" s="6" t="str">
        <v>Monitors/Terminals;Other Peripherals;Applications Software(Business;Computer Consulting Services;Internet Services &amp; Software;Operating Systems</v>
      </c>
      <c r="X135" s="6" t="str">
        <v>Internet Services &amp; Software;Communication/Network Software</v>
      </c>
      <c r="Y135" s="6" t="str">
        <v>Internet Services &amp; Software;Communication/Network Software</v>
      </c>
      <c r="Z135" s="6" t="str">
        <v>Communication/Network Software;Internet Services &amp; Software</v>
      </c>
      <c r="AA135" s="6" t="str">
        <v>Operating Systems;Monitors/Terminals;Other Peripherals;Applications Software(Business;Computer Consulting Services;Internet Services &amp; Software</v>
      </c>
      <c r="AB135" s="6" t="str">
        <v>Monitors/Terminals;Applications Software(Business;Internet Services &amp; Software;Computer Consulting Services;Other Peripherals;Operating Systems</v>
      </c>
    </row>
    <row r="136">
      <c r="A136" s="6" t="str">
        <v>594918</v>
      </c>
      <c r="B136" s="6" t="str">
        <v>United States</v>
      </c>
      <c r="C136" s="6" t="str">
        <v>Microsoft Corp</v>
      </c>
      <c r="D136" s="6" t="str">
        <v>Microsoft Corp</v>
      </c>
      <c r="F136" s="6" t="str">
        <v>United States</v>
      </c>
      <c r="G136" s="6" t="str">
        <v>Concentric Network Corp</v>
      </c>
      <c r="H136" s="6" t="str">
        <v>Telecommunications</v>
      </c>
      <c r="I136" s="6" t="str">
        <v>20589R</v>
      </c>
      <c r="J136" s="6" t="str">
        <v>Concentric Network Corp</v>
      </c>
      <c r="K136" s="6" t="str">
        <v>Concentric Network Corp</v>
      </c>
      <c r="L136" s="7">
        <f>=DATE(1999,6,22)</f>
        <v>36332.99949074074</v>
      </c>
      <c r="M136" s="7">
        <f>=DATE(1999,6,22)</f>
        <v>36332.99949074074</v>
      </c>
      <c r="N136" s="8">
        <v>50</v>
      </c>
      <c r="O136" s="8">
        <v>50</v>
      </c>
      <c r="R136" s="8">
        <v>-81.826</v>
      </c>
      <c r="S136" s="8">
        <v>96.389</v>
      </c>
      <c r="T136" s="8">
        <v>309.018</v>
      </c>
      <c r="U136" s="8">
        <v>-101.232</v>
      </c>
      <c r="V136" s="8">
        <v>-45.832</v>
      </c>
      <c r="W136" s="6" t="str">
        <v>Internet Services &amp; Software;Monitors/Terminals;Operating Systems;Applications Software(Business;Other Peripherals;Computer Consulting Services</v>
      </c>
      <c r="X136" s="6" t="str">
        <v>Internet Services &amp; Software;Other Computer Related Svcs</v>
      </c>
      <c r="Y136" s="6" t="str">
        <v>Internet Services &amp; Software;Other Computer Related Svcs</v>
      </c>
      <c r="Z136" s="6" t="str">
        <v>Other Computer Related Svcs;Internet Services &amp; Software</v>
      </c>
      <c r="AA136" s="6" t="str">
        <v>Applications Software(Business;Computer Consulting Services;Monitors/Terminals;Internet Services &amp; Software;Operating Systems;Other Peripherals</v>
      </c>
      <c r="AB136" s="6" t="str">
        <v>Applications Software(Business;Operating Systems;Other Peripherals;Monitors/Terminals;Computer Consulting Services;Internet Services &amp; Software</v>
      </c>
      <c r="AC136" s="8">
        <v>50</v>
      </c>
      <c r="AD136" s="7">
        <f>=DATE(1999,6,22)</f>
        <v>36332.99949074074</v>
      </c>
      <c r="AL136" s="8">
        <v>50</v>
      </c>
    </row>
    <row r="137">
      <c r="A137" s="6" t="str">
        <v>023135</v>
      </c>
      <c r="B137" s="6" t="str">
        <v>United States</v>
      </c>
      <c r="C137" s="6" t="str">
        <v>Amazon.com Inc</v>
      </c>
      <c r="D137" s="6" t="str">
        <v>Amazon.com Inc</v>
      </c>
      <c r="F137" s="6" t="str">
        <v>United States</v>
      </c>
      <c r="G137" s="6" t="str">
        <v>Beyond.com Corp</v>
      </c>
      <c r="H137" s="6" t="str">
        <v>Business Services</v>
      </c>
      <c r="I137" s="6" t="str">
        <v>08860E</v>
      </c>
      <c r="J137" s="6" t="str">
        <v>Beyond.com Corp</v>
      </c>
      <c r="K137" s="6" t="str">
        <v>Beyond.com Corp</v>
      </c>
      <c r="L137" s="7">
        <f>=DATE(1999,6,23)</f>
        <v>36333.99949074074</v>
      </c>
      <c r="R137" s="8">
        <v>-47.642</v>
      </c>
      <c r="S137" s="8">
        <v>49.56</v>
      </c>
      <c r="T137" s="8">
        <v>109.443</v>
      </c>
      <c r="U137" s="8">
        <v>-10.325</v>
      </c>
      <c r="V137" s="8">
        <v>-50.9</v>
      </c>
      <c r="W137" s="6" t="str">
        <v>Primary Business not Hi-Tech</v>
      </c>
      <c r="X137" s="6" t="str">
        <v>Internet Services &amp; Software;Communication/Network Software</v>
      </c>
      <c r="Y137" s="6" t="str">
        <v>Internet Services &amp; Software;Communication/Network Software</v>
      </c>
      <c r="Z137" s="6" t="str">
        <v>Communication/Network Software;Internet Services &amp; Software</v>
      </c>
      <c r="AA137" s="6" t="str">
        <v>Primary Business not Hi-Tech</v>
      </c>
      <c r="AB137" s="6" t="str">
        <v>Primary Business not Hi-Tech</v>
      </c>
    </row>
    <row r="138">
      <c r="A138" s="6" t="str">
        <v>80609W</v>
      </c>
      <c r="B138" s="6" t="str">
        <v>United States</v>
      </c>
      <c r="C138" s="6" t="str">
        <v>ScanSoft Inc</v>
      </c>
      <c r="D138" s="6" t="str">
        <v>ScanSoft Inc</v>
      </c>
      <c r="F138" s="6" t="str">
        <v>United States</v>
      </c>
      <c r="G138" s="6" t="str">
        <v>MetaCreations Corp-Certain Photo Imaging Software Products</v>
      </c>
      <c r="H138" s="6" t="str">
        <v>Prepackaged Software</v>
      </c>
      <c r="I138" s="6" t="str">
        <v>59102W</v>
      </c>
      <c r="J138" s="6" t="str">
        <v>MetaCreations Corp</v>
      </c>
      <c r="K138" s="6" t="str">
        <v>MetaCreations Corp</v>
      </c>
      <c r="L138" s="7">
        <f>=DATE(1999,7,1)</f>
        <v>36341.99949074074</v>
      </c>
      <c r="M138" s="7">
        <f>=DATE(1999,7,1)</f>
        <v>36341.99949074074</v>
      </c>
      <c r="N138" s="8">
        <v>4.55</v>
      </c>
      <c r="O138" s="8">
        <v>4.55</v>
      </c>
      <c r="W138" s="6" t="str">
        <v>Other Software (inq. Games)</v>
      </c>
      <c r="X138" s="6" t="str">
        <v>Applications Software(Business;Other Software (inq. Games);Applications Software(Home)</v>
      </c>
      <c r="Y138" s="6" t="str">
        <v>Applications Software(Home);Applications Software(Business;Other Software (inq. Games)</v>
      </c>
      <c r="Z138" s="6" t="str">
        <v>Applications Software(Home);Other Software (inq. Games);Applications Software(Business</v>
      </c>
      <c r="AA138" s="6" t="str">
        <v>Other Software (inq. Games)</v>
      </c>
      <c r="AB138" s="6" t="str">
        <v>Other Software (inq. Games)</v>
      </c>
      <c r="AC138" s="8">
        <v>4.55</v>
      </c>
      <c r="AD138" s="7">
        <f>=DATE(1999,7,1)</f>
        <v>36341.99949074074</v>
      </c>
      <c r="AL138" s="8">
        <v>4.55</v>
      </c>
    </row>
    <row r="139">
      <c r="A139" s="6" t="str">
        <v>594918</v>
      </c>
      <c r="B139" s="6" t="str">
        <v>United States</v>
      </c>
      <c r="C139" s="6" t="str">
        <v>Microsoft Corp</v>
      </c>
      <c r="D139" s="6" t="str">
        <v>Microsoft Corp</v>
      </c>
      <c r="F139" s="6" t="str">
        <v>Canada</v>
      </c>
      <c r="G139" s="6" t="str">
        <v>Zoomit Corp(Pretty Good Privacy Inc)</v>
      </c>
      <c r="H139" s="6" t="str">
        <v>Prepackaged Software</v>
      </c>
      <c r="I139" s="6" t="str">
        <v>98988E</v>
      </c>
      <c r="J139" s="6" t="str">
        <v>Network Associates Inc</v>
      </c>
      <c r="K139" s="6" t="str">
        <v>Pretty Good Privacy Inc (Network Associates Inc)</v>
      </c>
      <c r="L139" s="7">
        <f>=DATE(1999,7,7)</f>
        <v>36347.99949074074</v>
      </c>
      <c r="M139" s="7">
        <f>=DATE(1999,7,7)</f>
        <v>36347.99949074074</v>
      </c>
      <c r="W139" s="6" t="str">
        <v>Computer Consulting Services;Monitors/Terminals;Operating Systems;Applications Software(Business;Other Peripherals;Internet Services &amp; Software</v>
      </c>
      <c r="X139" s="6" t="str">
        <v>Applications Software(Business</v>
      </c>
      <c r="Y139" s="6" t="str">
        <v>Applications Software(Business</v>
      </c>
      <c r="Z139" s="6" t="str">
        <v>Communication/Network Software</v>
      </c>
      <c r="AA139" s="6" t="str">
        <v>Computer Consulting Services;Monitors/Terminals;Applications Software(Business;Other Peripherals;Internet Services &amp; Software;Operating Systems</v>
      </c>
      <c r="AB139" s="6" t="str">
        <v>Other Peripherals;Monitors/Terminals;Operating Systems;Applications Software(Business;Computer Consulting Services;Internet Services &amp; Software</v>
      </c>
    </row>
    <row r="140">
      <c r="A140" s="6" t="str">
        <v>594918</v>
      </c>
      <c r="B140" s="6" t="str">
        <v>United States</v>
      </c>
      <c r="C140" s="6" t="str">
        <v>Microsoft Corp</v>
      </c>
      <c r="D140" s="6" t="str">
        <v>Microsoft Corp</v>
      </c>
      <c r="F140" s="6" t="str">
        <v>Canada</v>
      </c>
      <c r="G140" s="6" t="str">
        <v>Rogers Communications Inc</v>
      </c>
      <c r="H140" s="6" t="str">
        <v>Telecommunications</v>
      </c>
      <c r="I140" s="6" t="str">
        <v>775109</v>
      </c>
      <c r="J140" s="6" t="str">
        <v>Rogers Communications Inc</v>
      </c>
      <c r="K140" s="6" t="str">
        <v>Rogers Communications Inc</v>
      </c>
      <c r="L140" s="7">
        <f>=DATE(1999,7,12)</f>
        <v>36352.99949074074</v>
      </c>
      <c r="M140" s="7">
        <f>=DATE(1999,8,25)</f>
        <v>36396.99949074074</v>
      </c>
      <c r="N140" s="8">
        <v>405.487598837602</v>
      </c>
      <c r="O140" s="8">
        <v>405.487598837602</v>
      </c>
      <c r="R140" s="8">
        <v>415.017325923504</v>
      </c>
      <c r="S140" s="8">
        <v>1856.31186662308</v>
      </c>
      <c r="T140" s="8">
        <v>-443.608218</v>
      </c>
      <c r="U140" s="8">
        <v>228.187476</v>
      </c>
      <c r="V140" s="8">
        <v>215.420742</v>
      </c>
      <c r="W140" s="6" t="str">
        <v>Monitors/Terminals;Internet Services &amp; Software;Operating Systems;Other Peripherals;Computer Consulting Services;Applications Software(Business</v>
      </c>
      <c r="X140" s="6" t="str">
        <v>Satellite Communications;Cellular Communications</v>
      </c>
      <c r="Y140" s="6" t="str">
        <v>Cellular Communications;Satellite Communications</v>
      </c>
      <c r="Z140" s="6" t="str">
        <v>Satellite Communications;Cellular Communications</v>
      </c>
      <c r="AA140" s="6" t="str">
        <v>Applications Software(Business;Internet Services &amp; Software;Monitors/Terminals;Operating Systems;Other Peripherals;Computer Consulting Services</v>
      </c>
      <c r="AB140" s="6" t="str">
        <v>Other Peripherals;Internet Services &amp; Software;Computer Consulting Services;Monitors/Terminals;Applications Software(Business;Operating Systems</v>
      </c>
      <c r="AC140" s="8">
        <v>405.487598837602</v>
      </c>
      <c r="AD140" s="7">
        <f>=DATE(1999,7,12)</f>
        <v>36352.99949074074</v>
      </c>
      <c r="AL140" s="8">
        <v>405.487598837602</v>
      </c>
    </row>
    <row r="141">
      <c r="A141" s="6" t="str">
        <v>037833</v>
      </c>
      <c r="B141" s="6" t="str">
        <v>United States</v>
      </c>
      <c r="C141" s="6" t="str">
        <v>Apple Computer Inc</v>
      </c>
      <c r="D141" s="6" t="str">
        <v>Apple Computer Inc</v>
      </c>
      <c r="F141" s="6" t="str">
        <v>United States</v>
      </c>
      <c r="G141" s="6" t="str">
        <v>Apple Computer Inc</v>
      </c>
      <c r="H141" s="6" t="str">
        <v>Computer and Office Equipment</v>
      </c>
      <c r="I141" s="6" t="str">
        <v>037833</v>
      </c>
      <c r="J141" s="6" t="str">
        <v>Apple Computer Inc</v>
      </c>
      <c r="K141" s="6" t="str">
        <v>Apple Computer Inc</v>
      </c>
      <c r="L141" s="7">
        <f>=DATE(1999,7,14)</f>
        <v>36354.99949074074</v>
      </c>
      <c r="N141" s="8">
        <v>500</v>
      </c>
      <c r="O141" s="8">
        <v>500</v>
      </c>
      <c r="R141" s="8">
        <v>596</v>
      </c>
      <c r="S141" s="8">
        <v>6354</v>
      </c>
      <c r="T141" s="8">
        <v>69</v>
      </c>
      <c r="U141" s="8">
        <v>-402</v>
      </c>
      <c r="V141" s="8">
        <v>903</v>
      </c>
      <c r="W141" s="6" t="str">
        <v>Micro-Computers (PCs);Mainframes &amp; Super Computers;Disk Drives;Other Software (inq. Games);Printers;Portable Computers;Monitors/Terminals;Other Peripherals</v>
      </c>
      <c r="X141" s="6" t="str">
        <v>Micro-Computers (PCs);Portable Computers;Disk Drives;Other Software (inq. Games);Other Peripherals;Printers;Monitors/Terminals;Mainframes &amp; Super Computers</v>
      </c>
      <c r="Y141" s="6" t="str">
        <v>Disk Drives;Printers;Other Software (inq. Games);Other Peripherals;Mainframes &amp; Super Computers;Portable Computers;Monitors/Terminals;Micro-Computers (PCs)</v>
      </c>
      <c r="Z141" s="6" t="str">
        <v>Mainframes &amp; Super Computers;Printers;Other Peripherals;Portable Computers;Monitors/Terminals;Disk Drives;Other Software (inq. Games);Micro-Computers (PCs)</v>
      </c>
      <c r="AA141" s="6" t="str">
        <v>Micro-Computers (PCs);Other Software (inq. Games);Portable Computers;Other Peripherals;Printers;Monitors/Terminals;Disk Drives;Mainframes &amp; Super Computers</v>
      </c>
      <c r="AB141" s="6" t="str">
        <v>Disk Drives;Other Software (inq. Games);Other Peripherals;Mainframes &amp; Super Computers;Portable Computers;Printers;Micro-Computers (PCs);Monitors/Terminals</v>
      </c>
      <c r="AC141" s="8">
        <v>500</v>
      </c>
      <c r="AD141" s="7">
        <f>=DATE(1999,7,14)</f>
        <v>36354.99949074074</v>
      </c>
      <c r="AL141" s="8">
        <v>500</v>
      </c>
    </row>
    <row r="142">
      <c r="A142" s="6" t="str">
        <v>023135</v>
      </c>
      <c r="B142" s="6" t="str">
        <v>United States</v>
      </c>
      <c r="C142" s="6" t="str">
        <v>Amazon.com Inc</v>
      </c>
      <c r="D142" s="6" t="str">
        <v>Amazon.com Inc</v>
      </c>
      <c r="F142" s="6" t="str">
        <v>United States</v>
      </c>
      <c r="G142" s="6" t="str">
        <v>Gear.Com</v>
      </c>
      <c r="H142" s="6" t="str">
        <v>Miscellaneous Retail Trade</v>
      </c>
      <c r="I142" s="6" t="str">
        <v>36182X</v>
      </c>
      <c r="J142" s="6" t="str">
        <v>Gear.Com</v>
      </c>
      <c r="K142" s="6" t="str">
        <v>Gear.Com</v>
      </c>
      <c r="L142" s="7">
        <f>=DATE(1999,7,14)</f>
        <v>36354.99949074074</v>
      </c>
      <c r="M142" s="7">
        <f>=DATE(1999,7,14)</f>
        <v>36354.99949074074</v>
      </c>
      <c r="W142" s="6" t="str">
        <v>Primary Business not Hi-Tech</v>
      </c>
      <c r="X142" s="6" t="str">
        <v>Primary Business not Hi-Tech;Internet Services &amp; Software</v>
      </c>
      <c r="Y142" s="6" t="str">
        <v>Internet Services &amp; Software;Primary Business not Hi-Tech</v>
      </c>
      <c r="Z142" s="6" t="str">
        <v>Internet Services &amp; Software;Primary Business not Hi-Tech</v>
      </c>
      <c r="AA142" s="6" t="str">
        <v>Primary Business not Hi-Tech</v>
      </c>
      <c r="AB142" s="6" t="str">
        <v>Primary Business not Hi-Tech</v>
      </c>
    </row>
    <row r="143">
      <c r="A143" s="6" t="str">
        <v>594918</v>
      </c>
      <c r="B143" s="6" t="str">
        <v>United States</v>
      </c>
      <c r="C143" s="6" t="str">
        <v>Microsoft Corp</v>
      </c>
      <c r="D143" s="6" t="str">
        <v>Microsoft Corp</v>
      </c>
      <c r="F143" s="6" t="str">
        <v>United Kingdom</v>
      </c>
      <c r="G143" s="6" t="str">
        <v>STNC Ltd</v>
      </c>
      <c r="H143" s="6" t="str">
        <v>Communications Equipment</v>
      </c>
      <c r="I143" s="6" t="str">
        <v>78541H</v>
      </c>
      <c r="J143" s="6" t="str">
        <v>STNC Ltd</v>
      </c>
      <c r="K143" s="6" t="str">
        <v>STNC Ltd</v>
      </c>
      <c r="L143" s="7">
        <f>=DATE(1999,7,21)</f>
        <v>36361.99949074074</v>
      </c>
      <c r="M143" s="7">
        <f>=DATE(1999,7,21)</f>
        <v>36361.99949074074</v>
      </c>
      <c r="W143" s="6" t="str">
        <v>Applications Software(Business;Internet Services &amp; Software;Monitors/Terminals;Operating Systems;Computer Consulting Services;Other Peripherals</v>
      </c>
      <c r="X143" s="6" t="str">
        <v>Other Software (inq. Games)</v>
      </c>
      <c r="Y143" s="6" t="str">
        <v>Other Software (inq. Games)</v>
      </c>
      <c r="Z143" s="6" t="str">
        <v>Other Software (inq. Games)</v>
      </c>
      <c r="AA143" s="6" t="str">
        <v>Operating Systems;Other Peripherals;Monitors/Terminals;Computer Consulting Services;Applications Software(Business;Internet Services &amp; Software</v>
      </c>
      <c r="AB143" s="6" t="str">
        <v>Monitors/Terminals;Computer Consulting Services;Operating Systems;Applications Software(Business;Internet Services &amp; Software;Other Peripherals</v>
      </c>
    </row>
    <row r="144">
      <c r="A144" s="6" t="str">
        <v>594918</v>
      </c>
      <c r="B144" s="6" t="str">
        <v>United States</v>
      </c>
      <c r="C144" s="6" t="str">
        <v>Microsoft Corp</v>
      </c>
      <c r="D144" s="6" t="str">
        <v>Microsoft Corp</v>
      </c>
      <c r="F144" s="6" t="str">
        <v>United States</v>
      </c>
      <c r="G144" s="6" t="str">
        <v>Tuttle Decision Systems Inc</v>
      </c>
      <c r="H144" s="6" t="str">
        <v>Business Services</v>
      </c>
      <c r="I144" s="6" t="str">
        <v>90110T</v>
      </c>
      <c r="J144" s="6" t="str">
        <v>Tuttle Decision Systems Inc</v>
      </c>
      <c r="K144" s="6" t="str">
        <v>Tuttle Decision Systems Inc</v>
      </c>
      <c r="L144" s="7">
        <f>=DATE(1999,8,20)</f>
        <v>36391.99949074074</v>
      </c>
      <c r="M144" s="7">
        <f>=DATE(1999,8,20)</f>
        <v>36391.99949074074</v>
      </c>
      <c r="W144" s="6" t="str">
        <v>Operating Systems;Internet Services &amp; Software;Monitors/Terminals;Applications Software(Business;Other Peripherals;Computer Consulting Services</v>
      </c>
      <c r="X144" s="6" t="str">
        <v>Internet Services &amp; Software</v>
      </c>
      <c r="Y144" s="6" t="str">
        <v>Internet Services &amp; Software</v>
      </c>
      <c r="Z144" s="6" t="str">
        <v>Internet Services &amp; Software</v>
      </c>
      <c r="AA144" s="6" t="str">
        <v>Operating Systems;Applications Software(Business;Computer Consulting Services;Internet Services &amp; Software;Other Peripherals;Monitors/Terminals</v>
      </c>
      <c r="AB144" s="6" t="str">
        <v>Applications Software(Business;Monitors/Terminals;Internet Services &amp; Software;Other Peripherals;Computer Consulting Services;Operating Systems</v>
      </c>
    </row>
    <row r="145">
      <c r="A145" s="6" t="str">
        <v>594918</v>
      </c>
      <c r="B145" s="6" t="str">
        <v>United States</v>
      </c>
      <c r="C145" s="6" t="str">
        <v>Microsoft Corp</v>
      </c>
      <c r="D145" s="6" t="str">
        <v>Microsoft Corp</v>
      </c>
      <c r="F145" s="6" t="str">
        <v>United States</v>
      </c>
      <c r="G145" s="6" t="str">
        <v>Visio Corp</v>
      </c>
      <c r="H145" s="6" t="str">
        <v>Prepackaged Software</v>
      </c>
      <c r="I145" s="6" t="str">
        <v>927914</v>
      </c>
      <c r="J145" s="6" t="str">
        <v>Visio Corp</v>
      </c>
      <c r="K145" s="6" t="str">
        <v>Visio Corp</v>
      </c>
      <c r="L145" s="7">
        <f>=DATE(1999,9,15)</f>
        <v>36417.99949074074</v>
      </c>
      <c r="M145" s="7">
        <f>=DATE(2000,1,7)</f>
        <v>36531.99949074074</v>
      </c>
      <c r="N145" s="8">
        <v>1577.674</v>
      </c>
      <c r="O145" s="8">
        <v>1374.91</v>
      </c>
      <c r="P145" s="8" t="str">
        <v>1,266.96</v>
      </c>
      <c r="R145" s="8">
        <v>28.108</v>
      </c>
      <c r="S145" s="8">
        <v>165.995</v>
      </c>
      <c r="T145" s="8">
        <v>5.643</v>
      </c>
      <c r="U145" s="8">
        <v>-30.096</v>
      </c>
      <c r="V145" s="8">
        <v>30.856</v>
      </c>
      <c r="W145" s="6" t="str">
        <v>Applications Software(Business;Operating Systems;Other Peripherals;Monitors/Terminals;Computer Consulting Services;Internet Services &amp; Software</v>
      </c>
      <c r="X145" s="6" t="str">
        <v>Applications Software(Business</v>
      </c>
      <c r="Y145" s="6" t="str">
        <v>Applications Software(Business</v>
      </c>
      <c r="Z145" s="6" t="str">
        <v>Applications Software(Business</v>
      </c>
      <c r="AA145" s="6" t="str">
        <v>Operating Systems;Applications Software(Business;Computer Consulting Services;Monitors/Terminals;Other Peripherals;Internet Services &amp; Software</v>
      </c>
      <c r="AB145" s="6" t="str">
        <v>Applications Software(Business;Other Peripherals;Computer Consulting Services;Internet Services &amp; Software;Monitors/Terminals;Operating Systems</v>
      </c>
      <c r="AC145" s="8">
        <v>1374.91</v>
      </c>
      <c r="AD145" s="7">
        <f>=DATE(1999,9,15)</f>
        <v>36417.99949074074</v>
      </c>
      <c r="AE145" s="8">
        <v>1453.932974526</v>
      </c>
      <c r="AF145" s="8" t="str">
        <v>1,265.88</v>
      </c>
      <c r="AG145" s="8" t="str">
        <v>1,385.26</v>
      </c>
      <c r="AH145" s="8" t="str">
        <v>1,494.27</v>
      </c>
      <c r="AI145" s="8" t="str">
        <v>1,374.90</v>
      </c>
      <c r="AL145" s="8">
        <v>1374.91</v>
      </c>
    </row>
    <row r="146">
      <c r="A146" s="6" t="str">
        <v>594918</v>
      </c>
      <c r="B146" s="6" t="str">
        <v>United States</v>
      </c>
      <c r="C146" s="6" t="str">
        <v>Microsoft Corp</v>
      </c>
      <c r="D146" s="6" t="str">
        <v>Microsoft Corp</v>
      </c>
      <c r="F146" s="6" t="str">
        <v>United States</v>
      </c>
      <c r="G146" s="6" t="str">
        <v>Softway Systems Inc</v>
      </c>
      <c r="H146" s="6" t="str">
        <v>Prepackaged Software</v>
      </c>
      <c r="I146" s="6" t="str">
        <v>83331M</v>
      </c>
      <c r="J146" s="6" t="str">
        <v>Softway Systems Inc</v>
      </c>
      <c r="K146" s="6" t="str">
        <v>Softway Systems Inc</v>
      </c>
      <c r="L146" s="7">
        <f>=DATE(1999,9,19)</f>
        <v>36421.99949074074</v>
      </c>
      <c r="M146" s="7">
        <f>=DATE(1999,9,19)</f>
        <v>36421.99949074074</v>
      </c>
      <c r="W146" s="6" t="str">
        <v>Applications Software(Business;Operating Systems;Other Peripherals;Internet Services &amp; Software;Monitors/Terminals;Computer Consulting Services</v>
      </c>
      <c r="X146" s="6" t="str">
        <v>Communication/Network Software</v>
      </c>
      <c r="Y146" s="6" t="str">
        <v>Communication/Network Software</v>
      </c>
      <c r="Z146" s="6" t="str">
        <v>Communication/Network Software</v>
      </c>
      <c r="AA146" s="6" t="str">
        <v>Operating Systems;Applications Software(Business;Monitors/Terminals;Internet Services &amp; Software;Other Peripherals;Computer Consulting Services</v>
      </c>
      <c r="AB146" s="6" t="str">
        <v>Computer Consulting Services;Internet Services &amp; Software;Operating Systems;Applications Software(Business;Monitors/Terminals;Other Peripherals</v>
      </c>
    </row>
    <row r="147">
      <c r="A147" s="6" t="str">
        <v>023135</v>
      </c>
      <c r="B147" s="6" t="str">
        <v>United States</v>
      </c>
      <c r="C147" s="6" t="str">
        <v>Amazon.com Inc</v>
      </c>
      <c r="D147" s="6" t="str">
        <v>Amazon.com Inc</v>
      </c>
      <c r="F147" s="6" t="str">
        <v>United States</v>
      </c>
      <c r="G147" s="6" t="str">
        <v>Convergence Corp</v>
      </c>
      <c r="H147" s="6" t="str">
        <v>Prepackaged Software</v>
      </c>
      <c r="I147" s="6" t="str">
        <v>21249E</v>
      </c>
      <c r="J147" s="6" t="str">
        <v>Convergence Corp</v>
      </c>
      <c r="K147" s="6" t="str">
        <v>Convergence Corp</v>
      </c>
      <c r="L147" s="7">
        <f>=DATE(1999,10,4)</f>
        <v>36436.99949074074</v>
      </c>
      <c r="M147" s="7">
        <f>=DATE(1999,10,4)</f>
        <v>36436.99949074074</v>
      </c>
      <c r="N147" s="8">
        <v>20</v>
      </c>
      <c r="O147" s="8">
        <v>20</v>
      </c>
      <c r="W147" s="6" t="str">
        <v>Primary Business not Hi-Tech</v>
      </c>
      <c r="X147" s="6" t="str">
        <v>Communication/Network Software;Internet Services &amp; Software</v>
      </c>
      <c r="Y147" s="6" t="str">
        <v>Communication/Network Software;Internet Services &amp; Software</v>
      </c>
      <c r="Z147" s="6" t="str">
        <v>Internet Services &amp; Software;Communication/Network Software</v>
      </c>
      <c r="AA147" s="6" t="str">
        <v>Primary Business not Hi-Tech</v>
      </c>
      <c r="AB147" s="6" t="str">
        <v>Primary Business not Hi-Tech</v>
      </c>
      <c r="AC147" s="8">
        <v>20</v>
      </c>
      <c r="AD147" s="7">
        <f>=DATE(1999,10,4)</f>
        <v>36436.99949074074</v>
      </c>
      <c r="AL147" s="8">
        <v>20</v>
      </c>
    </row>
    <row r="148">
      <c r="A148" s="6" t="str">
        <v>594918</v>
      </c>
      <c r="B148" s="6" t="str">
        <v>United States</v>
      </c>
      <c r="C148" s="6" t="str">
        <v>Microsoft Corp</v>
      </c>
      <c r="D148" s="6" t="str">
        <v>Microsoft Corp</v>
      </c>
      <c r="F148" s="6" t="str">
        <v>South Korea</v>
      </c>
      <c r="G148" s="6" t="str">
        <v>Thrunet Co Ltd</v>
      </c>
      <c r="H148" s="6" t="str">
        <v>Telecommunications</v>
      </c>
      <c r="I148" s="6" t="str">
        <v>88602V</v>
      </c>
      <c r="J148" s="6" t="str">
        <v>Thrunet Co Ltd</v>
      </c>
      <c r="K148" s="6" t="str">
        <v>Thrunet Co Ltd</v>
      </c>
      <c r="L148" s="7">
        <f>=DATE(1999,10,7)</f>
        <v>36439.99949074074</v>
      </c>
      <c r="N148" s="8">
        <v>10.0113926788686</v>
      </c>
      <c r="O148" s="8">
        <v>10.0113926788686</v>
      </c>
      <c r="W148" s="6" t="str">
        <v>Applications Software(Business;Operating Systems;Internet Services &amp; Software;Other Peripherals;Monitors/Terminals;Computer Consulting Services</v>
      </c>
      <c r="X148" s="6" t="str">
        <v>Internet Services &amp; Software</v>
      </c>
      <c r="Y148" s="6" t="str">
        <v>Internet Services &amp; Software</v>
      </c>
      <c r="Z148" s="6" t="str">
        <v>Internet Services &amp; Software</v>
      </c>
      <c r="AA148" s="6" t="str">
        <v>Computer Consulting Services;Operating Systems;Monitors/Terminals;Internet Services &amp; Software;Applications Software(Business;Other Peripherals</v>
      </c>
      <c r="AB148" s="6" t="str">
        <v>Applications Software(Business;Other Peripherals;Operating Systems;Monitors/Terminals;Internet Services &amp; Software;Computer Consulting Services</v>
      </c>
      <c r="AC148" s="8">
        <v>10.0113926788686</v>
      </c>
      <c r="AD148" s="7">
        <f>=DATE(1999,10,7)</f>
        <v>36439.99949074074</v>
      </c>
      <c r="AF148" s="8" t="str">
        <v>185.40</v>
      </c>
      <c r="AI148" s="8" t="str">
        <v>185.40</v>
      </c>
      <c r="AL148" s="8">
        <v>10.0113926788686</v>
      </c>
    </row>
    <row r="149">
      <c r="A149" s="6" t="str">
        <v>594918</v>
      </c>
      <c r="B149" s="6" t="str">
        <v>United States</v>
      </c>
      <c r="C149" s="6" t="str">
        <v>Microsoft Corp</v>
      </c>
      <c r="D149" s="6" t="str">
        <v>Microsoft Corp</v>
      </c>
      <c r="E149" s="6" t="str">
        <v>AT&amp;T Corp;Microsoft Corp</v>
      </c>
      <c r="F149" s="6" t="str">
        <v>United Kingdom</v>
      </c>
      <c r="G149" s="6" t="str">
        <v>Telewest Communications PLC</v>
      </c>
      <c r="H149" s="6" t="str">
        <v>Radio and Television Broadcasting Stations</v>
      </c>
      <c r="I149" s="6" t="str">
        <v>87956P</v>
      </c>
      <c r="J149" s="6" t="str">
        <v>NTL Inc</v>
      </c>
      <c r="K149" s="6" t="str">
        <v>Telewest Global Inc</v>
      </c>
      <c r="L149" s="7">
        <f>=DATE(1999,10,21)</f>
        <v>36453.99949074074</v>
      </c>
      <c r="M149" s="7">
        <f>=DATE(2000,7,7)</f>
        <v>36713.99949074074</v>
      </c>
      <c r="N149" s="8">
        <v>2156.25460513095</v>
      </c>
      <c r="O149" s="8">
        <v>2272.42280125929</v>
      </c>
      <c r="P149" s="8" t="str">
        <v>4,437.55</v>
      </c>
      <c r="Q149" s="8" t="str">
        <v>49,278.87;5,000.00</v>
      </c>
      <c r="R149" s="8">
        <v>-516.816896283678</v>
      </c>
      <c r="S149" s="8">
        <v>891.742057125846</v>
      </c>
      <c r="T149" s="8">
        <v>1036.3358556</v>
      </c>
      <c r="U149" s="8">
        <v>-1051.3885581</v>
      </c>
      <c r="V149" s="8">
        <v>33.83748</v>
      </c>
      <c r="W149" s="6" t="str">
        <v>Other Peripherals;Applications Software(Business;Computer Consulting Services;Operating Systems;Internet Services &amp; Software;Monitors/Terminals</v>
      </c>
      <c r="X149" s="6" t="str">
        <v>Satellite Communications;Internet Services &amp; Software</v>
      </c>
      <c r="Y149" s="6" t="str">
        <v>Telecommunications Equipment</v>
      </c>
      <c r="Z149" s="6" t="str">
        <v>Internet Services &amp; Software;Communication/Network Software</v>
      </c>
      <c r="AA149" s="6" t="str">
        <v>Other Peripherals;Operating Systems;Monitors/Terminals;Computer Consulting Services;Internet Services &amp; Software;Applications Software(Business</v>
      </c>
      <c r="AB149" s="6" t="str">
        <v>Monitors/Terminals;Operating Systems;Internet Services &amp; Software;Applications Software(Business;Other Peripherals;Computer Consulting Services</v>
      </c>
      <c r="AC149" s="8">
        <v>2272.42280125929</v>
      </c>
      <c r="AD149" s="7">
        <f>=DATE(1999,10,21)</f>
        <v>36453.99949074074</v>
      </c>
      <c r="AE149" s="8">
        <v>988.888174167727</v>
      </c>
      <c r="AF149" s="8" t="str">
        <v>4,978.72</v>
      </c>
      <c r="AG149" s="8" t="str">
        <v>3,954.98</v>
      </c>
      <c r="AH149" s="8" t="str">
        <v>349.18</v>
      </c>
      <c r="AI149" s="8" t="str">
        <v>988.89</v>
      </c>
      <c r="AL149" s="8">
        <v>2272.42280125929</v>
      </c>
    </row>
    <row r="150">
      <c r="A150" s="6" t="str">
        <v>98870Q</v>
      </c>
      <c r="B150" s="6" t="str">
        <v>United States</v>
      </c>
      <c r="C150" s="6" t="str">
        <v>Yupi Internet Inc</v>
      </c>
      <c r="D150" s="6" t="str">
        <v>Yupi Internet Inc</v>
      </c>
      <c r="F150" s="6" t="str">
        <v>Colombia</v>
      </c>
      <c r="G150" s="6" t="str">
        <v>Bogota.Com</v>
      </c>
      <c r="H150" s="6" t="str">
        <v>Business Services</v>
      </c>
      <c r="I150" s="6" t="str">
        <v>09722T</v>
      </c>
      <c r="J150" s="6" t="str">
        <v>Bogota.Com</v>
      </c>
      <c r="K150" s="6" t="str">
        <v>Bogota.Com</v>
      </c>
      <c r="L150" s="7">
        <f>=DATE(1999,10,25)</f>
        <v>36457.99949074074</v>
      </c>
      <c r="M150" s="7">
        <f>=DATE(1999,10,25)</f>
        <v>36457.99949074074</v>
      </c>
      <c r="W150" s="6" t="str">
        <v>Internet Services &amp; Software</v>
      </c>
      <c r="X150" s="6" t="str">
        <v>Communication/Network Software;Internet Services &amp; Software</v>
      </c>
      <c r="Y150" s="6" t="str">
        <v>Communication/Network Software;Internet Services &amp; Software</v>
      </c>
      <c r="Z150" s="6" t="str">
        <v>Internet Services &amp; Software;Communication/Network Software</v>
      </c>
      <c r="AA150" s="6" t="str">
        <v>Internet Services &amp; Software</v>
      </c>
      <c r="AB150" s="6" t="str">
        <v>Internet Services &amp; Software</v>
      </c>
    </row>
    <row r="151">
      <c r="A151" s="6" t="str">
        <v>594918</v>
      </c>
      <c r="B151" s="6" t="str">
        <v>United States</v>
      </c>
      <c r="C151" s="6" t="str">
        <v>Microsoft Corp</v>
      </c>
      <c r="D151" s="6" t="str">
        <v>Microsoft Corp</v>
      </c>
      <c r="F151" s="6" t="str">
        <v>Taiwan</v>
      </c>
      <c r="G151" s="6" t="str">
        <v>Hoshin Giga-Media Center</v>
      </c>
      <c r="H151" s="6" t="str">
        <v>Business Services</v>
      </c>
      <c r="I151" s="6" t="str">
        <v>44102T</v>
      </c>
      <c r="J151" s="6" t="str">
        <v>Hoshin Giga-Media Center</v>
      </c>
      <c r="K151" s="6" t="str">
        <v>Hoshin Giga-Media Center</v>
      </c>
      <c r="L151" s="7">
        <f>=DATE(1999,10,28)</f>
        <v>36460.99949074074</v>
      </c>
      <c r="W151" s="6" t="str">
        <v>Computer Consulting Services;Monitors/Terminals;Operating Systems;Internet Services &amp; Software;Other Peripherals;Applications Software(Business</v>
      </c>
      <c r="X151" s="6" t="str">
        <v>Internet Services &amp; Software</v>
      </c>
      <c r="Y151" s="6" t="str">
        <v>Internet Services &amp; Software</v>
      </c>
      <c r="Z151" s="6" t="str">
        <v>Internet Services &amp; Software</v>
      </c>
      <c r="AA151" s="6" t="str">
        <v>Computer Consulting Services;Internet Services &amp; Software;Monitors/Terminals;Applications Software(Business;Operating Systems;Other Peripherals</v>
      </c>
      <c r="AB151" s="6" t="str">
        <v>Other Peripherals;Operating Systems;Applications Software(Business;Internet Services &amp; Software;Monitors/Terminals;Computer Consulting Services</v>
      </c>
    </row>
    <row r="152">
      <c r="A152" s="6" t="str">
        <v>594918</v>
      </c>
      <c r="B152" s="6" t="str">
        <v>United States</v>
      </c>
      <c r="C152" s="6" t="str">
        <v>Microsoft Corp</v>
      </c>
      <c r="D152" s="6" t="str">
        <v>Microsoft Corp</v>
      </c>
      <c r="F152" s="6" t="str">
        <v>United States</v>
      </c>
      <c r="G152" s="6" t="str">
        <v>Entropic Inc</v>
      </c>
      <c r="H152" s="6" t="str">
        <v>Prepackaged Software</v>
      </c>
      <c r="I152" s="6" t="str">
        <v>29351T</v>
      </c>
      <c r="J152" s="6" t="str">
        <v>Entropic Inc</v>
      </c>
      <c r="K152" s="6" t="str">
        <v>Entropic Inc</v>
      </c>
      <c r="L152" s="7">
        <f>=DATE(1999,10,29)</f>
        <v>36461.99949074074</v>
      </c>
      <c r="M152" s="7">
        <f>=DATE(1999,10,29)</f>
        <v>36461.99949074074</v>
      </c>
      <c r="W152" s="6" t="str">
        <v>Operating Systems;Monitors/Terminals;Other Peripherals;Internet Services &amp; Software;Applications Software(Business;Computer Consulting Services</v>
      </c>
      <c r="X152" s="6" t="str">
        <v>Communication/Network Software</v>
      </c>
      <c r="Y152" s="6" t="str">
        <v>Communication/Network Software</v>
      </c>
      <c r="Z152" s="6" t="str">
        <v>Communication/Network Software</v>
      </c>
      <c r="AA152" s="6" t="str">
        <v>Other Peripherals;Internet Services &amp; Software;Computer Consulting Services;Monitors/Terminals;Operating Systems;Applications Software(Business</v>
      </c>
      <c r="AB152" s="6" t="str">
        <v>Other Peripherals;Applications Software(Business;Monitors/Terminals;Computer Consulting Services;Operating Systems;Internet Services &amp; Software</v>
      </c>
    </row>
    <row r="153">
      <c r="A153" s="6" t="str">
        <v>594918</v>
      </c>
      <c r="B153" s="6" t="str">
        <v>United States</v>
      </c>
      <c r="C153" s="6" t="str">
        <v>Microsoft Corp</v>
      </c>
      <c r="D153" s="6" t="str">
        <v>Microsoft Corp</v>
      </c>
      <c r="F153" s="6" t="str">
        <v>Israel</v>
      </c>
      <c r="G153" s="6" t="str">
        <v>CommTouch Software Ltd</v>
      </c>
      <c r="H153" s="6" t="str">
        <v>Prepackaged Software</v>
      </c>
      <c r="I153" s="6" t="str">
        <v>M25596</v>
      </c>
      <c r="J153" s="6" t="str">
        <v>CommTouch Software Ltd</v>
      </c>
      <c r="K153" s="6" t="str">
        <v>CommTouch Software Ltd</v>
      </c>
      <c r="L153" s="7">
        <f>=DATE(1999,11,1)</f>
        <v>36464.99949074074</v>
      </c>
      <c r="M153" s="7">
        <f>=DATE(1999,12,30)</f>
        <v>36523.99949074074</v>
      </c>
      <c r="N153" s="8">
        <v>20.4765809657035</v>
      </c>
      <c r="O153" s="8">
        <v>20.4765809657035</v>
      </c>
      <c r="S153" s="8">
        <v>0.300717484470554</v>
      </c>
      <c r="W153" s="6" t="str">
        <v>Computer Consulting Services;Operating Systems;Applications Software(Business;Internet Services &amp; Software;Other Peripherals;Monitors/Terminals</v>
      </c>
      <c r="X153" s="6" t="str">
        <v>Communication/Network Software;Internet Services &amp; Software</v>
      </c>
      <c r="Y153" s="6" t="str">
        <v>Communication/Network Software;Internet Services &amp; Software</v>
      </c>
      <c r="Z153" s="6" t="str">
        <v>Communication/Network Software;Internet Services &amp; Software</v>
      </c>
      <c r="AA153" s="6" t="str">
        <v>Other Peripherals;Applications Software(Business;Operating Systems;Monitors/Terminals;Internet Services &amp; Software;Computer Consulting Services</v>
      </c>
      <c r="AB153" s="6" t="str">
        <v>Operating Systems;Computer Consulting Services;Internet Services &amp; Software;Applications Software(Business;Other Peripherals;Monitors/Terminals</v>
      </c>
      <c r="AC153" s="8">
        <v>20.4765809657035</v>
      </c>
      <c r="AD153" s="7">
        <f>=DATE(1999,12,30)</f>
        <v>36523.99949074074</v>
      </c>
      <c r="AE153" s="8">
        <v>365.764967201775</v>
      </c>
      <c r="AH153" s="8" t="str">
        <v>365.76</v>
      </c>
      <c r="AI153" s="8" t="str">
        <v>358.26</v>
      </c>
      <c r="AL153" s="8">
        <v>20.4765809657035</v>
      </c>
    </row>
    <row r="154">
      <c r="A154" s="6" t="str">
        <v>037833</v>
      </c>
      <c r="B154" s="6" t="str">
        <v>United States</v>
      </c>
      <c r="C154" s="6" t="str">
        <v>Apple Computer Inc</v>
      </c>
      <c r="D154" s="6" t="str">
        <v>Apple Computer Inc</v>
      </c>
      <c r="F154" s="6" t="str">
        <v>United States</v>
      </c>
      <c r="G154" s="6" t="str">
        <v>Raycer Graphics</v>
      </c>
      <c r="H154" s="6" t="str">
        <v>Wholesale Trade-Durable Goods</v>
      </c>
      <c r="I154" s="6" t="str">
        <v>75458V</v>
      </c>
      <c r="J154" s="6" t="str">
        <v>Raycer Graphics</v>
      </c>
      <c r="K154" s="6" t="str">
        <v>Raycer Graphics</v>
      </c>
      <c r="L154" s="7">
        <f>=DATE(1999,11,3)</f>
        <v>36466.99949074074</v>
      </c>
      <c r="M154" s="7">
        <f>=DATE(1999,11,3)</f>
        <v>36466.99949074074</v>
      </c>
      <c r="N154" s="8">
        <v>15</v>
      </c>
      <c r="O154" s="8">
        <v>15</v>
      </c>
      <c r="W154" s="6" t="str">
        <v>Mainframes &amp; Super Computers;Disk Drives;Printers;Micro-Computers (PCs);Monitors/Terminals;Portable Computers;Other Peripherals;Other Software (inq. Games)</v>
      </c>
      <c r="X154" s="6" t="str">
        <v>Other Peripherals;Primary Business not Hi-Tech</v>
      </c>
      <c r="Y154" s="6" t="str">
        <v>Primary Business not Hi-Tech;Other Peripherals</v>
      </c>
      <c r="Z154" s="6" t="str">
        <v>Primary Business not Hi-Tech;Other Peripherals</v>
      </c>
      <c r="AA154" s="6" t="str">
        <v>Disk Drives;Monitors/Terminals;Other Software (inq. Games);Printers;Portable Computers;Other Peripherals;Mainframes &amp; Super Computers;Micro-Computers (PCs)</v>
      </c>
      <c r="AB154" s="6" t="str">
        <v>Micro-Computers (PCs);Other Peripherals;Other Software (inq. Games);Portable Computers;Disk Drives;Monitors/Terminals;Printers;Mainframes &amp; Super Computers</v>
      </c>
      <c r="AC154" s="8">
        <v>15</v>
      </c>
      <c r="AD154" s="7">
        <f>=DATE(1999,11,3)</f>
        <v>36466.99949074074</v>
      </c>
      <c r="AL154" s="8">
        <v>15</v>
      </c>
    </row>
    <row r="155">
      <c r="A155" s="6" t="str">
        <v>594918</v>
      </c>
      <c r="B155" s="6" t="str">
        <v>United States</v>
      </c>
      <c r="C155" s="6" t="str">
        <v>Microsoft Corp</v>
      </c>
      <c r="D155" s="6" t="str">
        <v>Microsoft Corp</v>
      </c>
      <c r="F155" s="6" t="str">
        <v>Taiwan</v>
      </c>
      <c r="G155" s="6" t="str">
        <v>Gigamedia Ltd</v>
      </c>
      <c r="H155" s="6" t="str">
        <v>Business Services</v>
      </c>
      <c r="I155" s="6" t="str">
        <v>Y2711Y</v>
      </c>
      <c r="J155" s="6" t="str">
        <v>Gigamedia Ltd</v>
      </c>
      <c r="K155" s="6" t="str">
        <v>Gigamedia Ltd</v>
      </c>
      <c r="L155" s="7">
        <f>=DATE(1999,11,11)</f>
        <v>36474.99949074074</v>
      </c>
      <c r="M155" s="7">
        <f>=DATE(1999,12,31)</f>
        <v>36524.99949074074</v>
      </c>
      <c r="N155" s="8">
        <v>31.5059861373661</v>
      </c>
      <c r="O155" s="8">
        <v>31.5059861373661</v>
      </c>
      <c r="P155" s="8" t="str">
        <v>304.45</v>
      </c>
      <c r="R155" s="8">
        <v>-22.9790488032328</v>
      </c>
      <c r="S155" s="8">
        <v>0.106589990674541</v>
      </c>
      <c r="W155" s="6" t="str">
        <v>Applications Software(Business;Other Peripherals;Monitors/Terminals;Computer Consulting Services;Internet Services &amp; Software;Operating Systems</v>
      </c>
      <c r="X155" s="6" t="str">
        <v>Communication/Network Software;Internet Services &amp; Software</v>
      </c>
      <c r="Y155" s="6" t="str">
        <v>Communication/Network Software;Internet Services &amp; Software</v>
      </c>
      <c r="Z155" s="6" t="str">
        <v>Internet Services &amp; Software;Communication/Network Software</v>
      </c>
      <c r="AA155" s="6" t="str">
        <v>Monitors/Terminals;Computer Consulting Services;Operating Systems;Other Peripherals;Internet Services &amp; Software;Applications Software(Business</v>
      </c>
      <c r="AB155" s="6" t="str">
        <v>Monitors/Terminals;Operating Systems;Computer Consulting Services;Applications Software(Business;Other Peripherals;Internet Services &amp; Software</v>
      </c>
      <c r="AC155" s="8">
        <v>31.5059861373661</v>
      </c>
      <c r="AD155" s="7">
        <f>=DATE(1999,11,11)</f>
        <v>36474.99949074074</v>
      </c>
      <c r="AF155" s="8" t="str">
        <v>308.57</v>
      </c>
      <c r="AG155" s="8" t="str">
        <v>312.11</v>
      </c>
      <c r="AH155" s="8" t="str">
        <v>318.67</v>
      </c>
      <c r="AI155" s="8" t="str">
        <v>315.06</v>
      </c>
      <c r="AL155" s="8">
        <v>31.5059861373661</v>
      </c>
    </row>
    <row r="156">
      <c r="A156" s="6" t="str">
        <v>594918</v>
      </c>
      <c r="B156" s="6" t="str">
        <v>United States</v>
      </c>
      <c r="C156" s="6" t="str">
        <v>Microsoft Corp</v>
      </c>
      <c r="D156" s="6" t="str">
        <v>Microsoft Corp</v>
      </c>
      <c r="F156" s="6" t="str">
        <v>South Korea</v>
      </c>
      <c r="G156" s="6" t="str">
        <v>Korea Thrunet Co</v>
      </c>
      <c r="H156" s="6" t="str">
        <v>Business Services</v>
      </c>
      <c r="I156" s="6" t="str">
        <v>Y49975</v>
      </c>
      <c r="J156" s="6" t="str">
        <v>Korea Thrunet Co</v>
      </c>
      <c r="K156" s="6" t="str">
        <v>Korea Thrunet Co</v>
      </c>
      <c r="L156" s="7">
        <f>=DATE(1999,11,24)</f>
        <v>36487.99949074074</v>
      </c>
      <c r="M156" s="7">
        <f>=DATE(1999,12,3)</f>
        <v>36496.99949074074</v>
      </c>
      <c r="N156" s="8">
        <v>36.2318843478261</v>
      </c>
      <c r="O156" s="8">
        <v>36.2318843478261</v>
      </c>
      <c r="W156" s="6" t="str">
        <v>Monitors/Terminals;Operating Systems;Computer Consulting Services;Applications Software(Business;Other Peripherals;Internet Services &amp; Software</v>
      </c>
      <c r="X156" s="6" t="str">
        <v>Communication/Network Software;Internet Services &amp; Software</v>
      </c>
      <c r="Y156" s="6" t="str">
        <v>Communication/Network Software;Internet Services &amp; Software</v>
      </c>
      <c r="Z156" s="6" t="str">
        <v>Communication/Network Software;Internet Services &amp; Software</v>
      </c>
      <c r="AA156" s="6" t="str">
        <v>Operating Systems;Computer Consulting Services;Applications Software(Business;Other Peripherals;Monitors/Terminals;Internet Services &amp; Software</v>
      </c>
      <c r="AB156" s="6" t="str">
        <v>Other Peripherals;Monitors/Terminals;Computer Consulting Services;Internet Services &amp; Software;Applications Software(Business;Operating Systems</v>
      </c>
      <c r="AC156" s="8">
        <v>36.2318843478261</v>
      </c>
      <c r="AD156" s="7">
        <f>=DATE(1999,12,3)</f>
        <v>36496.99949074074</v>
      </c>
      <c r="AF156" s="8" t="str">
        <v>597.63</v>
      </c>
      <c r="AG156" s="8" t="str">
        <v>603.86</v>
      </c>
      <c r="AH156" s="8" t="str">
        <v>345.07</v>
      </c>
      <c r="AI156" s="8" t="str">
        <v>341.50</v>
      </c>
      <c r="AL156" s="8">
        <v>36.2318843478261</v>
      </c>
    </row>
    <row r="157">
      <c r="A157" s="6" t="str">
        <v>023135</v>
      </c>
      <c r="B157" s="6" t="str">
        <v>United States</v>
      </c>
      <c r="C157" s="6" t="str">
        <v>Amazon.com Inc</v>
      </c>
      <c r="D157" s="6" t="str">
        <v>Amazon.com Inc</v>
      </c>
      <c r="F157" s="6" t="str">
        <v>United States</v>
      </c>
      <c r="G157" s="6" t="str">
        <v>Ashford.Com Inc</v>
      </c>
      <c r="H157" s="6" t="str">
        <v>Miscellaneous Retail Trade</v>
      </c>
      <c r="I157" s="6" t="str">
        <v>044093</v>
      </c>
      <c r="J157" s="6" t="str">
        <v>Ashford.Com Inc</v>
      </c>
      <c r="K157" s="6" t="str">
        <v>Ashford.Com Inc</v>
      </c>
      <c r="L157" s="7">
        <f>=DATE(1999,12,1)</f>
        <v>36494.99949074074</v>
      </c>
      <c r="M157" s="7">
        <f>=DATE(2000,1,14)</f>
        <v>36538.99949074074</v>
      </c>
      <c r="N157" s="8">
        <v>10</v>
      </c>
      <c r="O157" s="8">
        <v>10</v>
      </c>
      <c r="P157" s="8" t="str">
        <v>60.34</v>
      </c>
      <c r="R157" s="8">
        <v>-1.3</v>
      </c>
      <c r="S157" s="8">
        <v>5.9</v>
      </c>
      <c r="T157" s="8">
        <v>5</v>
      </c>
      <c r="U157" s="8">
        <v>-0.4</v>
      </c>
      <c r="V157" s="8">
        <v>-3.7</v>
      </c>
      <c r="W157" s="6" t="str">
        <v>Primary Business not Hi-Tech</v>
      </c>
      <c r="X157" s="6" t="str">
        <v>Internet Services &amp; Software</v>
      </c>
      <c r="Y157" s="6" t="str">
        <v>Internet Services &amp; Software</v>
      </c>
      <c r="Z157" s="6" t="str">
        <v>Internet Services &amp; Software</v>
      </c>
      <c r="AA157" s="6" t="str">
        <v>Primary Business not Hi-Tech</v>
      </c>
      <c r="AB157" s="6" t="str">
        <v>Primary Business not Hi-Tech</v>
      </c>
      <c r="AC157" s="8">
        <v>10</v>
      </c>
      <c r="AD157" s="7">
        <f>=DATE(1999,12,1)</f>
        <v>36494.99949074074</v>
      </c>
      <c r="AF157" s="8" t="str">
        <v>60.34</v>
      </c>
      <c r="AG157" s="8" t="str">
        <v>60.34</v>
      </c>
      <c r="AH157" s="8" t="str">
        <v>60.24</v>
      </c>
      <c r="AI157" s="8" t="str">
        <v>60.24</v>
      </c>
      <c r="AL157" s="8">
        <v>10</v>
      </c>
    </row>
    <row r="158">
      <c r="A158" s="6" t="str">
        <v>98870Q</v>
      </c>
      <c r="B158" s="6" t="str">
        <v>United States</v>
      </c>
      <c r="C158" s="6" t="str">
        <v>Yupi Internet Inc</v>
      </c>
      <c r="D158" s="6" t="str">
        <v>Yupi Internet Inc</v>
      </c>
      <c r="F158" s="6" t="str">
        <v>Argentina</v>
      </c>
      <c r="G158" s="6" t="str">
        <v>LaCosa.Com</v>
      </c>
      <c r="H158" s="6" t="str">
        <v>Business Services</v>
      </c>
      <c r="I158" s="6" t="str">
        <v>50561V</v>
      </c>
      <c r="J158" s="6" t="str">
        <v>LaCosa.Com</v>
      </c>
      <c r="K158" s="6" t="str">
        <v>LaCosa.Com</v>
      </c>
      <c r="L158" s="7">
        <f>=DATE(1999,12,1)</f>
        <v>36494.99949074074</v>
      </c>
      <c r="M158" s="7">
        <f>=DATE(1999,12,1)</f>
        <v>36494.99949074074</v>
      </c>
      <c r="W158" s="6" t="str">
        <v>Internet Services &amp; Software</v>
      </c>
      <c r="X158" s="6" t="str">
        <v>Internet Services &amp; Software</v>
      </c>
      <c r="Y158" s="6" t="str">
        <v>Internet Services &amp; Software</v>
      </c>
      <c r="Z158" s="6" t="str">
        <v>Internet Services &amp; Software</v>
      </c>
      <c r="AA158" s="6" t="str">
        <v>Internet Services &amp; Software</v>
      </c>
      <c r="AB158" s="6" t="str">
        <v>Internet Services &amp; Software</v>
      </c>
    </row>
    <row r="159">
      <c r="A159" s="6" t="str">
        <v>594918</v>
      </c>
      <c r="B159" s="6" t="str">
        <v>United States</v>
      </c>
      <c r="C159" s="6" t="str">
        <v>Microsoft Corp</v>
      </c>
      <c r="D159" s="6" t="str">
        <v>Microsoft Corp</v>
      </c>
      <c r="F159" s="6" t="str">
        <v>Brazil</v>
      </c>
      <c r="G159" s="6" t="str">
        <v>Globocabo.com(Globo Cabo SA)</v>
      </c>
      <c r="H159" s="6" t="str">
        <v>Business Services</v>
      </c>
      <c r="I159" s="6" t="str">
        <v>37992C</v>
      </c>
      <c r="J159" s="6" t="str">
        <v>Globo Cabo SA</v>
      </c>
      <c r="K159" s="6" t="str">
        <v>Globo Cabo SA</v>
      </c>
      <c r="L159" s="7">
        <f>=DATE(1999,12,17)</f>
        <v>36510.99949074074</v>
      </c>
      <c r="W159" s="6" t="str">
        <v>Applications Software(Business;Internet Services &amp; Software;Operating Systems;Other Peripherals;Monitors/Terminals;Computer Consulting Services</v>
      </c>
      <c r="X159" s="6" t="str">
        <v>Internet Services &amp; Software;Communication/Network Software</v>
      </c>
      <c r="Y159" s="6" t="str">
        <v>Primary Business not Hi-Tech</v>
      </c>
      <c r="Z159" s="6" t="str">
        <v>Primary Business not Hi-Tech</v>
      </c>
      <c r="AA159" s="6" t="str">
        <v>Internet Services &amp; Software;Operating Systems;Applications Software(Business;Computer Consulting Services;Monitors/Terminals;Other Peripherals</v>
      </c>
      <c r="AB159" s="6" t="str">
        <v>Applications Software(Business;Internet Services &amp; Software;Monitors/Terminals;Other Peripherals;Computer Consulting Services;Operating Systems</v>
      </c>
    </row>
    <row r="160">
      <c r="A160" s="6" t="str">
        <v>594918</v>
      </c>
      <c r="B160" s="6" t="str">
        <v>United States</v>
      </c>
      <c r="C160" s="6" t="str">
        <v>Microsoft Corp</v>
      </c>
      <c r="D160" s="6" t="str">
        <v>Microsoft Corp</v>
      </c>
      <c r="F160" s="6" t="str">
        <v>United States</v>
      </c>
      <c r="G160" s="6" t="str">
        <v>InterVU Inc</v>
      </c>
      <c r="H160" s="6" t="str">
        <v>Business Services</v>
      </c>
      <c r="I160" s="6" t="str">
        <v>46114R</v>
      </c>
      <c r="J160" s="6" t="str">
        <v>InterVU Inc</v>
      </c>
      <c r="K160" s="6" t="str">
        <v>InterVU Inc</v>
      </c>
      <c r="L160" s="7">
        <f>=DATE(1999,12,20)</f>
        <v>36513.99949074074</v>
      </c>
      <c r="N160" s="8">
        <v>30</v>
      </c>
      <c r="O160" s="8">
        <v>30</v>
      </c>
      <c r="R160" s="8">
        <v>-19.797</v>
      </c>
      <c r="S160" s="8">
        <v>7.419</v>
      </c>
      <c r="T160" s="8">
        <v>99.46</v>
      </c>
      <c r="U160" s="8">
        <v>-63.974</v>
      </c>
      <c r="V160" s="8">
        <v>-20.203</v>
      </c>
      <c r="W160" s="6" t="str">
        <v>Other Peripherals;Internet Services &amp; Software;Applications Software(Business;Monitors/Terminals;Operating Systems;Computer Consulting Services</v>
      </c>
      <c r="X160" s="6" t="str">
        <v>Internet Services &amp; Software</v>
      </c>
      <c r="Y160" s="6" t="str">
        <v>Internet Services &amp; Software</v>
      </c>
      <c r="Z160" s="6" t="str">
        <v>Internet Services &amp; Software</v>
      </c>
      <c r="AA160" s="6" t="str">
        <v>Monitors/Terminals;Other Peripherals;Computer Consulting Services;Internet Services &amp; Software;Operating Systems;Applications Software(Business</v>
      </c>
      <c r="AB160" s="6" t="str">
        <v>Other Peripherals;Computer Consulting Services;Monitors/Terminals;Internet Services &amp; Software;Applications Software(Business;Operating Systems</v>
      </c>
      <c r="AC160" s="8">
        <v>30</v>
      </c>
      <c r="AD160" s="7">
        <f>=DATE(1999,12,20)</f>
        <v>36513.99949074074</v>
      </c>
      <c r="AL160" s="8">
        <v>30</v>
      </c>
    </row>
    <row r="161">
      <c r="A161" s="6" t="str">
        <v>037833</v>
      </c>
      <c r="B161" s="6" t="str">
        <v>United States</v>
      </c>
      <c r="C161" s="6" t="str">
        <v>Apple Computer Inc</v>
      </c>
      <c r="D161" s="6" t="str">
        <v>Apple Computer Inc</v>
      </c>
      <c r="F161" s="6" t="str">
        <v>United States</v>
      </c>
      <c r="G161" s="6" t="str">
        <v>NetSelector</v>
      </c>
      <c r="H161" s="6" t="str">
        <v>Prepackaged Software</v>
      </c>
      <c r="I161" s="6" t="str">
        <v>64146L</v>
      </c>
      <c r="J161" s="6" t="str">
        <v>NetSelector</v>
      </c>
      <c r="K161" s="6" t="str">
        <v>NetSelector</v>
      </c>
      <c r="L161" s="7">
        <f>=DATE(2000,1,7)</f>
        <v>36531.99949074074</v>
      </c>
      <c r="M161" s="7">
        <f>=DATE(2000,1,7)</f>
        <v>36531.99949074074</v>
      </c>
      <c r="W161" s="6" t="str">
        <v>Other Software (inq. Games);Mainframes &amp; Super Computers;Micro-Computers (PCs);Printers;Disk Drives;Monitors/Terminals;Other Peripherals;Portable Computers</v>
      </c>
      <c r="X161" s="6" t="str">
        <v>Internet Services &amp; Software;Communication/Network Software</v>
      </c>
      <c r="Y161" s="6" t="str">
        <v>Communication/Network Software;Internet Services &amp; Software</v>
      </c>
      <c r="Z161" s="6" t="str">
        <v>Internet Services &amp; Software;Communication/Network Software</v>
      </c>
      <c r="AA161" s="6" t="str">
        <v>Mainframes &amp; Super Computers;Portable Computers;Other Software (inq. Games);Disk Drives;Micro-Computers (PCs);Printers;Monitors/Terminals;Other Peripherals</v>
      </c>
      <c r="AB161" s="6" t="str">
        <v>Other Peripherals;Printers;Disk Drives;Micro-Computers (PCs);Other Software (inq. Games);Portable Computers;Monitors/Terminals;Mainframes &amp; Super Computers</v>
      </c>
    </row>
    <row r="162">
      <c r="A162" s="6" t="str">
        <v>80609W</v>
      </c>
      <c r="B162" s="6" t="str">
        <v>United States</v>
      </c>
      <c r="C162" s="6" t="str">
        <v>ScanSoft Inc</v>
      </c>
      <c r="D162" s="6" t="str">
        <v>ScanSoft Inc</v>
      </c>
      <c r="F162" s="6" t="str">
        <v>United States</v>
      </c>
      <c r="G162" s="6" t="str">
        <v>Caere Corp</v>
      </c>
      <c r="H162" s="6" t="str">
        <v>Prepackaged Software</v>
      </c>
      <c r="I162" s="6" t="str">
        <v>127646</v>
      </c>
      <c r="J162" s="6" t="str">
        <v>Caere Corp</v>
      </c>
      <c r="K162" s="6" t="str">
        <v>Caere Corp</v>
      </c>
      <c r="L162" s="7">
        <f>=DATE(2000,1,17)</f>
        <v>36541.99949074074</v>
      </c>
      <c r="M162" s="7">
        <f>=DATE(2000,3,13)</f>
        <v>36597.99949074074</v>
      </c>
      <c r="N162" s="8">
        <v>147.456</v>
      </c>
      <c r="O162" s="8">
        <v>147.456</v>
      </c>
      <c r="P162" s="8" t="str">
        <v>97.85</v>
      </c>
      <c r="R162" s="8">
        <v>9.086</v>
      </c>
      <c r="S162" s="8">
        <v>65.29</v>
      </c>
      <c r="T162" s="8">
        <v>-6.409</v>
      </c>
      <c r="U162" s="8">
        <v>14.554</v>
      </c>
      <c r="V162" s="8">
        <v>11.147</v>
      </c>
      <c r="W162" s="6" t="str">
        <v>Other Software (inq. Games)</v>
      </c>
      <c r="X162" s="6" t="str">
        <v>Data Processing Services;Applications Software(Business</v>
      </c>
      <c r="Y162" s="6" t="str">
        <v>Applications Software(Business;Data Processing Services</v>
      </c>
      <c r="Z162" s="6" t="str">
        <v>Applications Software(Business;Data Processing Services</v>
      </c>
      <c r="AA162" s="6" t="str">
        <v>Other Software (inq. Games)</v>
      </c>
      <c r="AB162" s="6" t="str">
        <v>Other Software (inq. Games)</v>
      </c>
      <c r="AC162" s="8">
        <v>147.456</v>
      </c>
      <c r="AD162" s="7">
        <f>=DATE(2000,1,17)</f>
        <v>36541.99949074074</v>
      </c>
      <c r="AE162" s="8">
        <v>160.4825105</v>
      </c>
      <c r="AF162" s="8" t="str">
        <v>97.85</v>
      </c>
      <c r="AG162" s="8" t="str">
        <v>97.85</v>
      </c>
      <c r="AH162" s="8" t="str">
        <v>147.46</v>
      </c>
      <c r="AI162" s="8" t="str">
        <v>147.46</v>
      </c>
      <c r="AL162" s="8">
        <v>147.456</v>
      </c>
    </row>
    <row r="163">
      <c r="A163" s="6" t="str">
        <v>023135</v>
      </c>
      <c r="B163" s="6" t="str">
        <v>United States</v>
      </c>
      <c r="C163" s="6" t="str">
        <v>Amazon.com Inc</v>
      </c>
      <c r="D163" s="6" t="str">
        <v>Amazon.com Inc</v>
      </c>
      <c r="F163" s="6" t="str">
        <v>United States</v>
      </c>
      <c r="G163" s="6" t="str">
        <v>Greenlight.com</v>
      </c>
      <c r="H163" s="6" t="str">
        <v>Miscellaneous Retail Trade</v>
      </c>
      <c r="I163" s="6" t="str">
        <v>39536Y</v>
      </c>
      <c r="J163" s="6" t="str">
        <v>Greenlight.com</v>
      </c>
      <c r="K163" s="6" t="str">
        <v>Greenlight.com</v>
      </c>
      <c r="L163" s="7">
        <f>=DATE(2000,1,21)</f>
        <v>36545.99949074074</v>
      </c>
      <c r="W163" s="6" t="str">
        <v>Primary Business not Hi-Tech</v>
      </c>
      <c r="X163" s="6" t="str">
        <v>Internet Services &amp; Software</v>
      </c>
      <c r="Y163" s="6" t="str">
        <v>Internet Services &amp; Software</v>
      </c>
      <c r="Z163" s="6" t="str">
        <v>Internet Services &amp; Software</v>
      </c>
      <c r="AA163" s="6" t="str">
        <v>Primary Business not Hi-Tech</v>
      </c>
      <c r="AB163" s="6" t="str">
        <v>Primary Business not Hi-Tech</v>
      </c>
    </row>
    <row r="164">
      <c r="A164" s="6" t="str">
        <v>594918</v>
      </c>
      <c r="B164" s="6" t="str">
        <v>United States</v>
      </c>
      <c r="C164" s="6" t="str">
        <v>Microsoft Corp</v>
      </c>
      <c r="D164" s="6" t="str">
        <v>Microsoft Corp</v>
      </c>
      <c r="F164" s="6" t="str">
        <v>United States</v>
      </c>
      <c r="G164" s="6" t="str">
        <v>Intertainer Inc</v>
      </c>
      <c r="H164" s="6" t="str">
        <v>Business Services</v>
      </c>
      <c r="I164" s="6" t="str">
        <v>45831N</v>
      </c>
      <c r="J164" s="6" t="str">
        <v>Intertainer Inc</v>
      </c>
      <c r="K164" s="6" t="str">
        <v>Intertainer Inc</v>
      </c>
      <c r="L164" s="7">
        <f>=DATE(2000,1,23)</f>
        <v>36547.99949074074</v>
      </c>
      <c r="M164" s="7">
        <f>=DATE(2000,1,24)</f>
        <v>36548.99949074074</v>
      </c>
      <c r="N164" s="8">
        <v>56</v>
      </c>
      <c r="O164" s="8">
        <v>56</v>
      </c>
      <c r="W164" s="6" t="str">
        <v>Computer Consulting Services;Internet Services &amp; Software;Other Peripherals;Operating Systems;Applications Software(Business;Monitors/Terminals</v>
      </c>
      <c r="X164" s="6" t="str">
        <v>Internet Services &amp; Software</v>
      </c>
      <c r="Y164" s="6" t="str">
        <v>Internet Services &amp; Software</v>
      </c>
      <c r="Z164" s="6" t="str">
        <v>Internet Services &amp; Software</v>
      </c>
      <c r="AA164" s="6" t="str">
        <v>Applications Software(Business;Operating Systems;Computer Consulting Services;Monitors/Terminals;Internet Services &amp; Software;Other Peripherals</v>
      </c>
      <c r="AB164" s="6" t="str">
        <v>Applications Software(Business;Other Peripherals;Computer Consulting Services;Monitors/Terminals;Internet Services &amp; Software;Operating Systems</v>
      </c>
      <c r="AC164" s="8">
        <v>56</v>
      </c>
      <c r="AD164" s="7">
        <f>=DATE(2000,1,23)</f>
        <v>36547.99949074074</v>
      </c>
      <c r="AL164" s="8">
        <v>56</v>
      </c>
    </row>
    <row r="165">
      <c r="A165" s="6" t="str">
        <v>594918</v>
      </c>
      <c r="B165" s="6" t="str">
        <v>United States</v>
      </c>
      <c r="C165" s="6" t="str">
        <v>Microsoft Corp</v>
      </c>
      <c r="D165" s="6" t="str">
        <v>Microsoft Corp</v>
      </c>
      <c r="F165" s="6" t="str">
        <v>United States</v>
      </c>
      <c r="G165" s="6" t="str">
        <v>VerticalNet Inc</v>
      </c>
      <c r="H165" s="6" t="str">
        <v>Prepackaged Software</v>
      </c>
      <c r="I165" s="6" t="str">
        <v>92532L</v>
      </c>
      <c r="J165" s="6" t="str">
        <v>VerticalNet Inc</v>
      </c>
      <c r="K165" s="6" t="str">
        <v>VerticalNet Inc</v>
      </c>
      <c r="L165" s="7">
        <f>=DATE(2000,1,24)</f>
        <v>36548.99949074074</v>
      </c>
      <c r="R165" s="8">
        <v>-53.48</v>
      </c>
      <c r="S165" s="8">
        <v>34.929</v>
      </c>
      <c r="T165" s="8">
        <v>167.776</v>
      </c>
      <c r="U165" s="8">
        <v>-142.382</v>
      </c>
      <c r="V165" s="8">
        <v>-16.803</v>
      </c>
      <c r="W165" s="6" t="str">
        <v>Computer Consulting Services;Applications Software(Business;Monitors/Terminals;Operating Systems;Internet Services &amp; Software;Other Peripherals</v>
      </c>
      <c r="X165" s="6" t="str">
        <v>Other Software (inq. Games)</v>
      </c>
      <c r="Y165" s="6" t="str">
        <v>Other Software (inq. Games)</v>
      </c>
      <c r="Z165" s="6" t="str">
        <v>Other Software (inq. Games)</v>
      </c>
      <c r="AA165" s="6" t="str">
        <v>Monitors/Terminals;Operating Systems;Computer Consulting Services;Internet Services &amp; Software;Applications Software(Business;Other Peripherals</v>
      </c>
      <c r="AB165" s="6" t="str">
        <v>Internet Services &amp; Software;Operating Systems;Computer Consulting Services;Other Peripherals;Applications Software(Business;Monitors/Terminals</v>
      </c>
    </row>
    <row r="166">
      <c r="A166" s="6" t="str">
        <v>023135</v>
      </c>
      <c r="B166" s="6" t="str">
        <v>United States</v>
      </c>
      <c r="C166" s="6" t="str">
        <v>Amazon.com Inc</v>
      </c>
      <c r="D166" s="6" t="str">
        <v>Amazon.com Inc</v>
      </c>
      <c r="F166" s="6" t="str">
        <v>Australia</v>
      </c>
      <c r="G166" s="6" t="str">
        <v>f2 Ltd(John Fairfax Holdings)</v>
      </c>
      <c r="H166" s="6" t="str">
        <v>Business Services</v>
      </c>
      <c r="I166" s="6" t="str">
        <v>23263E</v>
      </c>
      <c r="J166" s="6" t="str">
        <v>John Fairfax Holdings Ltd</v>
      </c>
      <c r="K166" s="6" t="str">
        <v>John Fairfax Holdings Ltd</v>
      </c>
      <c r="L166" s="7">
        <f>=DATE(2000,1,27)</f>
        <v>36551.99949074074</v>
      </c>
      <c r="M166" s="7">
        <f>=DATE(2000,1,27)</f>
        <v>36551.99949074074</v>
      </c>
      <c r="W166" s="6" t="str">
        <v>Primary Business not Hi-Tech</v>
      </c>
      <c r="X166" s="6" t="str">
        <v>Internet Services &amp; Software</v>
      </c>
      <c r="Y166" s="6" t="str">
        <v>Primary Business not Hi-Tech</v>
      </c>
      <c r="Z166" s="6" t="str">
        <v>Primary Business not Hi-Tech</v>
      </c>
      <c r="AA166" s="6" t="str">
        <v>Primary Business not Hi-Tech</v>
      </c>
      <c r="AB166" s="6" t="str">
        <v>Primary Business not Hi-Tech</v>
      </c>
    </row>
    <row r="167">
      <c r="A167" s="6" t="str">
        <v>594918</v>
      </c>
      <c r="B167" s="6" t="str">
        <v>United States</v>
      </c>
      <c r="C167" s="6" t="str">
        <v>Microsoft Corp</v>
      </c>
      <c r="D167" s="6" t="str">
        <v>Microsoft Corp</v>
      </c>
      <c r="F167" s="6" t="str">
        <v>Japan</v>
      </c>
      <c r="G167" s="6" t="str">
        <v>Uchida Spectrum Inc(Uchida Yoko Ltd,Software Spectrum)</v>
      </c>
      <c r="H167" s="6" t="str">
        <v>Wholesale Trade-Durable Goods</v>
      </c>
      <c r="I167" s="6" t="str">
        <v>90361H</v>
      </c>
      <c r="J167" s="6" t="str">
        <v>UCHIDA YOKO CO LTD</v>
      </c>
      <c r="K167" s="6" t="str">
        <v>UCHIDA YOKO CO LTD</v>
      </c>
      <c r="L167" s="7">
        <f>=DATE(2000,1,27)</f>
        <v>36551.99949074074</v>
      </c>
      <c r="W167" s="6" t="str">
        <v>Other Peripherals;Computer Consulting Services;Monitors/Terminals;Internet Services &amp; Software;Operating Systems;Applications Software(Business</v>
      </c>
      <c r="X167" s="6" t="str">
        <v>Primary Business not Hi-Tech;Other Computer Related Svcs;Internet Services &amp; Software;Computer Consulting Services</v>
      </c>
      <c r="Y167" s="6" t="str">
        <v>Primary Business not Hi-Tech</v>
      </c>
      <c r="Z167" s="6" t="str">
        <v>Primary Business not Hi-Tech</v>
      </c>
      <c r="AA167" s="6" t="str">
        <v>Operating Systems;Other Peripherals;Internet Services &amp; Software;Monitors/Terminals;Applications Software(Business;Computer Consulting Services</v>
      </c>
      <c r="AB167" s="6" t="str">
        <v>Computer Consulting Services;Internet Services &amp; Software;Applications Software(Business;Other Peripherals;Monitors/Terminals;Operating Systems</v>
      </c>
    </row>
    <row r="168">
      <c r="A168" s="6" t="str">
        <v>023135</v>
      </c>
      <c r="B168" s="6" t="str">
        <v>United States</v>
      </c>
      <c r="C168" s="6" t="str">
        <v>Amazon.com Inc</v>
      </c>
      <c r="D168" s="6" t="str">
        <v>Amazon.com Inc</v>
      </c>
      <c r="F168" s="6" t="str">
        <v>United States</v>
      </c>
      <c r="G168" s="6" t="str">
        <v>Audible Inc</v>
      </c>
      <c r="H168" s="6" t="str">
        <v>Business Services</v>
      </c>
      <c r="I168" s="6" t="str">
        <v>05069A</v>
      </c>
      <c r="J168" s="6" t="str">
        <v>Audible Inc</v>
      </c>
      <c r="K168" s="6" t="str">
        <v>Audible Inc</v>
      </c>
      <c r="L168" s="7">
        <f>=DATE(2000,1,31)</f>
        <v>36555.99949074074</v>
      </c>
      <c r="M168" s="7">
        <f>=DATE(2000,4,1)</f>
        <v>36616.99949074074</v>
      </c>
      <c r="R168" s="8">
        <v>-13.5</v>
      </c>
      <c r="S168" s="8">
        <v>1.7</v>
      </c>
      <c r="T168" s="8">
        <v>37.9</v>
      </c>
      <c r="U168" s="8">
        <v>-26</v>
      </c>
      <c r="V168" s="8">
        <v>-10.4</v>
      </c>
      <c r="W168" s="6" t="str">
        <v>Primary Business not Hi-Tech</v>
      </c>
      <c r="X168" s="6" t="str">
        <v>Internet Services &amp; Software</v>
      </c>
      <c r="Y168" s="6" t="str">
        <v>Internet Services &amp; Software</v>
      </c>
      <c r="Z168" s="6" t="str">
        <v>Internet Services &amp; Software</v>
      </c>
      <c r="AA168" s="6" t="str">
        <v>Primary Business not Hi-Tech</v>
      </c>
      <c r="AB168" s="6" t="str">
        <v>Primary Business not Hi-Tech</v>
      </c>
    </row>
    <row r="169">
      <c r="A169" s="6" t="str">
        <v>023135</v>
      </c>
      <c r="B169" s="6" t="str">
        <v>United States</v>
      </c>
      <c r="C169" s="6" t="str">
        <v>Amazon.com Inc</v>
      </c>
      <c r="D169" s="6" t="str">
        <v>Amazon.com Inc</v>
      </c>
      <c r="F169" s="6" t="str">
        <v>United States</v>
      </c>
      <c r="G169" s="6" t="str">
        <v>Living.com Inc</v>
      </c>
      <c r="H169" s="6" t="str">
        <v>Business Services</v>
      </c>
      <c r="I169" s="6" t="str">
        <v>53840H</v>
      </c>
      <c r="J169" s="6" t="str">
        <v>Living.com Inc</v>
      </c>
      <c r="K169" s="6" t="str">
        <v>Living.com Inc</v>
      </c>
      <c r="L169" s="7">
        <f>=DATE(2000,2,1)</f>
        <v>36556.99949074074</v>
      </c>
      <c r="M169" s="7">
        <f>=DATE(2000,3,31)</f>
        <v>36615.99949074074</v>
      </c>
      <c r="W169" s="6" t="str">
        <v>Primary Business not Hi-Tech</v>
      </c>
      <c r="X169" s="6" t="str">
        <v>Communication/Network Software;Internet Services &amp; Software</v>
      </c>
      <c r="Y169" s="6" t="str">
        <v>Communication/Network Software;Internet Services &amp; Software</v>
      </c>
      <c r="Z169" s="6" t="str">
        <v>Internet Services &amp; Software;Communication/Network Software</v>
      </c>
      <c r="AA169" s="6" t="str">
        <v>Primary Business not Hi-Tech</v>
      </c>
      <c r="AB169" s="6" t="str">
        <v>Primary Business not Hi-Tech</v>
      </c>
    </row>
    <row r="170">
      <c r="A170" s="6" t="str">
        <v>302125</v>
      </c>
      <c r="B170" s="6" t="str">
        <v>United States</v>
      </c>
      <c r="C170" s="6" t="str">
        <v>Expedia Inc</v>
      </c>
      <c r="D170" s="6" t="str">
        <v>Microsoft Corp</v>
      </c>
      <c r="E170" s="6" t="str">
        <v>Expedia Inc</v>
      </c>
      <c r="F170" s="6" t="str">
        <v>United States</v>
      </c>
      <c r="G170" s="6" t="str">
        <v>Travelscape.com</v>
      </c>
      <c r="H170" s="6" t="str">
        <v>Business Services</v>
      </c>
      <c r="I170" s="6" t="str">
        <v>89417Q</v>
      </c>
      <c r="J170" s="6" t="str">
        <v>Travelscape.com</v>
      </c>
      <c r="K170" s="6" t="str">
        <v>Travelscape.com</v>
      </c>
      <c r="L170" s="7">
        <f>=DATE(2000,2,1)</f>
        <v>36556.99949074074</v>
      </c>
      <c r="M170" s="7">
        <f>=DATE(2000,3,17)</f>
        <v>36601.99949074074</v>
      </c>
      <c r="N170" s="8">
        <v>86.75</v>
      </c>
      <c r="O170" s="8">
        <v>89.75</v>
      </c>
      <c r="Q170" s="8" t="str">
        <v>70.85</v>
      </c>
      <c r="W170" s="6" t="str">
        <v>Internet Services &amp; Software</v>
      </c>
      <c r="X170" s="6" t="str">
        <v>Communication/Network Software;Internet Services &amp; Software</v>
      </c>
      <c r="Y170" s="6" t="str">
        <v>Internet Services &amp; Software;Communication/Network Software</v>
      </c>
      <c r="Z170" s="6" t="str">
        <v>Communication/Network Software;Internet Services &amp; Software</v>
      </c>
      <c r="AA170" s="6" t="str">
        <v>Applications Software(Business;Other Peripherals;Computer Consulting Services;Operating Systems;Internet Services &amp; Software;Monitors/Terminals</v>
      </c>
      <c r="AB170" s="6" t="str">
        <v>Monitors/Terminals;Applications Software(Business;Internet Services &amp; Software;Computer Consulting Services;Other Peripherals;Operating Systems</v>
      </c>
      <c r="AC170" s="8">
        <v>89.75</v>
      </c>
      <c r="AD170" s="7">
        <f>=DATE(2000,2,1)</f>
        <v>36556.99949074074</v>
      </c>
      <c r="AL170" s="8">
        <v>89.75</v>
      </c>
    </row>
    <row r="171">
      <c r="A171" s="6" t="str">
        <v>302125</v>
      </c>
      <c r="B171" s="6" t="str">
        <v>United States</v>
      </c>
      <c r="C171" s="6" t="str">
        <v>Expedia Inc</v>
      </c>
      <c r="D171" s="6" t="str">
        <v>Microsoft Corp</v>
      </c>
      <c r="E171" s="6" t="str">
        <v>Expedia Inc</v>
      </c>
      <c r="F171" s="6" t="str">
        <v>United States</v>
      </c>
      <c r="G171" s="6" t="str">
        <v>Vacationspot.com</v>
      </c>
      <c r="H171" s="6" t="str">
        <v>Business Services</v>
      </c>
      <c r="I171" s="6" t="str">
        <v>91855K</v>
      </c>
      <c r="J171" s="6" t="str">
        <v>Vacationspot.com</v>
      </c>
      <c r="K171" s="6" t="str">
        <v>Vacationspot.com</v>
      </c>
      <c r="L171" s="7">
        <f>=DATE(2000,2,1)</f>
        <v>36556.99949074074</v>
      </c>
      <c r="M171" s="7">
        <f>=DATE(2001,3,17)</f>
        <v>36966.99949074074</v>
      </c>
      <c r="N171" s="8">
        <v>68.25</v>
      </c>
      <c r="O171" s="8">
        <v>70.85</v>
      </c>
      <c r="Q171" s="8" t="str">
        <v>89.75</v>
      </c>
      <c r="W171" s="6" t="str">
        <v>Internet Services &amp; Software</v>
      </c>
      <c r="X171" s="6" t="str">
        <v>Communication/Network Software;Internet Services &amp; Software</v>
      </c>
      <c r="Y171" s="6" t="str">
        <v>Communication/Network Software;Internet Services &amp; Software</v>
      </c>
      <c r="Z171" s="6" t="str">
        <v>Internet Services &amp; Software;Communication/Network Software</v>
      </c>
      <c r="AA171" s="6" t="str">
        <v>Internet Services &amp; Software;Monitors/Terminals;Operating Systems;Computer Consulting Services;Applications Software(Business;Other Peripherals</v>
      </c>
      <c r="AB171" s="6" t="str">
        <v>Applications Software(Business;Other Peripherals;Monitors/Terminals;Internet Services &amp; Software;Operating Systems;Computer Consulting Services</v>
      </c>
      <c r="AC171" s="8">
        <v>70.85</v>
      </c>
      <c r="AD171" s="7">
        <f>=DATE(2000,2,1)</f>
        <v>36556.99949074074</v>
      </c>
      <c r="AL171" s="8">
        <v>70.85</v>
      </c>
    </row>
    <row r="172">
      <c r="A172" s="6" t="str">
        <v>023135</v>
      </c>
      <c r="B172" s="6" t="str">
        <v>United States</v>
      </c>
      <c r="C172" s="6" t="str">
        <v>Amazon.com Inc</v>
      </c>
      <c r="D172" s="6" t="str">
        <v>Amazon.com Inc</v>
      </c>
      <c r="F172" s="6" t="str">
        <v>United States</v>
      </c>
      <c r="G172" s="6" t="str">
        <v>Greg Manning Auctions Inc</v>
      </c>
      <c r="H172" s="6" t="str">
        <v>Business Services</v>
      </c>
      <c r="I172" s="6" t="str">
        <v>563823</v>
      </c>
      <c r="J172" s="6" t="str">
        <v>Collectibles Realty Management Inc</v>
      </c>
      <c r="K172" s="6" t="str">
        <v>Collectibles Realty Management Inc</v>
      </c>
      <c r="L172" s="7">
        <f>=DATE(2000,2,3)</f>
        <v>36558.99949074074</v>
      </c>
      <c r="M172" s="7">
        <f>=DATE(2000,2,3)</f>
        <v>36558.99949074074</v>
      </c>
      <c r="N172" s="8">
        <v>5</v>
      </c>
      <c r="O172" s="8">
        <v>5</v>
      </c>
      <c r="R172" s="8">
        <v>-1.543</v>
      </c>
      <c r="S172" s="8">
        <v>15.77</v>
      </c>
      <c r="T172" s="8">
        <v>6.578</v>
      </c>
      <c r="U172" s="8">
        <v>0.608</v>
      </c>
      <c r="V172" s="8">
        <v>-6.631</v>
      </c>
      <c r="W172" s="6" t="str">
        <v>Primary Business not Hi-Tech</v>
      </c>
      <c r="X172" s="6" t="str">
        <v>Internet Services &amp; Software</v>
      </c>
      <c r="Y172" s="6" t="str">
        <v>Primary Business not Hi-Tech</v>
      </c>
      <c r="Z172" s="6" t="str">
        <v>Primary Business not Hi-Tech</v>
      </c>
      <c r="AA172" s="6" t="str">
        <v>Primary Business not Hi-Tech</v>
      </c>
      <c r="AB172" s="6" t="str">
        <v>Primary Business not Hi-Tech</v>
      </c>
      <c r="AC172" s="8">
        <v>5</v>
      </c>
      <c r="AD172" s="7">
        <f>=DATE(2000,2,3)</f>
        <v>36558.99949074074</v>
      </c>
      <c r="AL172" s="8">
        <v>5</v>
      </c>
    </row>
    <row r="173">
      <c r="A173" s="6" t="str">
        <v>594918</v>
      </c>
      <c r="B173" s="6" t="str">
        <v>United States</v>
      </c>
      <c r="C173" s="6" t="str">
        <v>Microsoft Corp</v>
      </c>
      <c r="D173" s="6" t="str">
        <v>Microsoft Corp</v>
      </c>
      <c r="F173" s="6" t="str">
        <v>United States</v>
      </c>
      <c r="G173" s="6" t="str">
        <v>Itran Communications Ltd</v>
      </c>
      <c r="H173" s="6" t="str">
        <v>Prepackaged Software</v>
      </c>
      <c r="I173" s="6" t="str">
        <v>46570X</v>
      </c>
      <c r="J173" s="6" t="str">
        <v>Itran Communications Ltd</v>
      </c>
      <c r="K173" s="6" t="str">
        <v>Itran Communications Ltd</v>
      </c>
      <c r="L173" s="7">
        <f>=DATE(2000,2,9)</f>
        <v>36564.99949074074</v>
      </c>
      <c r="W173" s="6" t="str">
        <v>Computer Consulting Services;Operating Systems;Applications Software(Business;Other Peripherals;Monitors/Terminals;Internet Services &amp; Software</v>
      </c>
      <c r="X173" s="6" t="str">
        <v>Internet Services &amp; Software;Communication/Network Software</v>
      </c>
      <c r="Y173" s="6" t="str">
        <v>Communication/Network Software;Internet Services &amp; Software</v>
      </c>
      <c r="Z173" s="6" t="str">
        <v>Internet Services &amp; Software;Communication/Network Software</v>
      </c>
      <c r="AA173" s="6" t="str">
        <v>Other Peripherals;Operating Systems;Computer Consulting Services;Monitors/Terminals;Applications Software(Business;Internet Services &amp; Software</v>
      </c>
      <c r="AB173" s="6" t="str">
        <v>Internet Services &amp; Software;Operating Systems;Applications Software(Business;Computer Consulting Services;Other Peripherals;Monitors/Terminals</v>
      </c>
    </row>
    <row r="174">
      <c r="A174" s="6" t="str">
        <v>023135</v>
      </c>
      <c r="B174" s="6" t="str">
        <v>United States</v>
      </c>
      <c r="C174" s="6" t="str">
        <v>Amazon.com Inc</v>
      </c>
      <c r="D174" s="6" t="str">
        <v>Amazon.com Inc</v>
      </c>
      <c r="F174" s="6" t="str">
        <v>United States</v>
      </c>
      <c r="G174" s="6" t="str">
        <v>Basis Technology Corp</v>
      </c>
      <c r="H174" s="6" t="str">
        <v>Prepackaged Software</v>
      </c>
      <c r="I174" s="6" t="str">
        <v>07016Q</v>
      </c>
      <c r="J174" s="6" t="str">
        <v>Basis Technology Corp</v>
      </c>
      <c r="K174" s="6" t="str">
        <v>Basis Technology Corp</v>
      </c>
      <c r="L174" s="7">
        <f>=DATE(2000,2,18)</f>
        <v>36573.99949074074</v>
      </c>
      <c r="M174" s="7">
        <f>=DATE(2000,2,18)</f>
        <v>36573.99949074074</v>
      </c>
      <c r="W174" s="6" t="str">
        <v>Primary Business not Hi-Tech</v>
      </c>
      <c r="X174" s="6" t="str">
        <v>Other Software (inq. Games)</v>
      </c>
      <c r="Y174" s="6" t="str">
        <v>Other Software (inq. Games)</v>
      </c>
      <c r="Z174" s="6" t="str">
        <v>Other Software (inq. Games)</v>
      </c>
      <c r="AA174" s="6" t="str">
        <v>Primary Business not Hi-Tech</v>
      </c>
      <c r="AB174" s="6" t="str">
        <v>Primary Business not Hi-Tech</v>
      </c>
    </row>
    <row r="175">
      <c r="A175" s="6" t="str">
        <v>594918</v>
      </c>
      <c r="B175" s="6" t="str">
        <v>United States</v>
      </c>
      <c r="C175" s="6" t="str">
        <v>Microsoft Corp</v>
      </c>
      <c r="D175" s="6" t="str">
        <v>Microsoft Corp</v>
      </c>
      <c r="F175" s="6" t="str">
        <v>United States</v>
      </c>
      <c r="G175" s="6" t="str">
        <v>BroadBand Office Inc{BB0}</v>
      </c>
      <c r="H175" s="6" t="str">
        <v>Business Services</v>
      </c>
      <c r="I175" s="6" t="str">
        <v>11139W</v>
      </c>
      <c r="J175" s="6" t="str">
        <v>BroadBand Office Inc{BB0}</v>
      </c>
      <c r="K175" s="6" t="str">
        <v>BroadBand Office Inc{BB0}</v>
      </c>
      <c r="L175" s="7">
        <f>=DATE(2000,2,23)</f>
        <v>36578.99949074074</v>
      </c>
      <c r="M175" s="7">
        <f>=DATE(2000,2,23)</f>
        <v>36578.99949074074</v>
      </c>
      <c r="N175" s="8">
        <v>25</v>
      </c>
      <c r="O175" s="8">
        <v>25</v>
      </c>
      <c r="W175" s="6" t="str">
        <v>Applications Software(Business;Computer Consulting Services;Internet Services &amp; Software;Operating Systems;Monitors/Terminals;Other Peripherals</v>
      </c>
      <c r="X175" s="6" t="str">
        <v>Communication/Network Software;Internet Services &amp; Software</v>
      </c>
      <c r="Y175" s="6" t="str">
        <v>Internet Services &amp; Software;Communication/Network Software</v>
      </c>
      <c r="Z175" s="6" t="str">
        <v>Communication/Network Software;Internet Services &amp; Software</v>
      </c>
      <c r="AA175" s="6" t="str">
        <v>Applications Software(Business;Internet Services &amp; Software;Operating Systems;Monitors/Terminals;Computer Consulting Services;Other Peripherals</v>
      </c>
      <c r="AB175" s="6" t="str">
        <v>Internet Services &amp; Software;Applications Software(Business;Operating Systems;Other Peripherals;Monitors/Terminals;Computer Consulting Services</v>
      </c>
      <c r="AC175" s="8">
        <v>25</v>
      </c>
      <c r="AD175" s="7">
        <f>=DATE(2000,2,23)</f>
        <v>36578.99949074074</v>
      </c>
      <c r="AL175" s="8">
        <v>25</v>
      </c>
    </row>
    <row r="176">
      <c r="A176" s="6" t="str">
        <v>594918</v>
      </c>
      <c r="B176" s="6" t="str">
        <v>United States</v>
      </c>
      <c r="C176" s="6" t="str">
        <v>Microsoft Corp</v>
      </c>
      <c r="D176" s="6" t="str">
        <v>Microsoft Corp</v>
      </c>
      <c r="F176" s="6" t="str">
        <v>Israel</v>
      </c>
      <c r="G176" s="6" t="str">
        <v>Peach Networks Ltd(Elbit Ltd)</v>
      </c>
      <c r="H176" s="6" t="str">
        <v>Communications Equipment</v>
      </c>
      <c r="I176" s="6" t="str">
        <v>70471F</v>
      </c>
      <c r="J176" s="6" t="str">
        <v>IDB Holding Corp Ltd</v>
      </c>
      <c r="K176" s="6" t="str">
        <v>Elbit Ltd(Elron Electronic Industries Ltd)</v>
      </c>
      <c r="L176" s="7">
        <f>=DATE(2000,3,1)</f>
        <v>36585.99949074074</v>
      </c>
      <c r="W176" s="6" t="str">
        <v>Applications Software(Business;Operating Systems;Computer Consulting Services;Monitors/Terminals;Other Peripherals;Internet Services &amp; Software</v>
      </c>
      <c r="X176" s="6" t="str">
        <v>Other Telecommunications Equip</v>
      </c>
      <c r="Y176" s="6" t="str">
        <v>Search, Detection, Navigation;Other Telecommunications Equip;Cellular Communications;Defense Related;Satellite Communications</v>
      </c>
      <c r="Z176" s="6" t="str">
        <v>Primary Business not Hi-Tech</v>
      </c>
      <c r="AA176" s="6" t="str">
        <v>Other Peripherals;Internet Services &amp; Software;Applications Software(Business;Operating Systems;Monitors/Terminals;Computer Consulting Services</v>
      </c>
      <c r="AB176" s="6" t="str">
        <v>Internet Services &amp; Software;Other Peripherals;Applications Software(Business;Computer Consulting Services;Monitors/Terminals;Operating Systems</v>
      </c>
    </row>
    <row r="177">
      <c r="A177" s="6" t="str">
        <v>594918</v>
      </c>
      <c r="B177" s="6" t="str">
        <v>United States</v>
      </c>
      <c r="C177" s="6" t="str">
        <v>Microsoft Corp</v>
      </c>
      <c r="D177" s="6" t="str">
        <v>Microsoft Corp</v>
      </c>
      <c r="F177" s="6" t="str">
        <v>United States</v>
      </c>
      <c r="G177" s="6" t="str">
        <v>Realnames Corporation</v>
      </c>
      <c r="H177" s="6" t="str">
        <v>Business Services</v>
      </c>
      <c r="I177" s="6" t="str">
        <v>75605K</v>
      </c>
      <c r="J177" s="6" t="str">
        <v>Realnames Corporation</v>
      </c>
      <c r="K177" s="6" t="str">
        <v>Realnames Corporation</v>
      </c>
      <c r="L177" s="7">
        <f>=DATE(2000,3,13)</f>
        <v>36597.99949074074</v>
      </c>
      <c r="M177" s="7">
        <f>=DATE(2000,3,13)</f>
        <v>36597.99949074074</v>
      </c>
      <c r="W177" s="6" t="str">
        <v>Operating Systems;Computer Consulting Services;Monitors/Terminals;Applications Software(Business;Other Peripherals;Internet Services &amp; Software</v>
      </c>
      <c r="X177" s="6" t="str">
        <v>Internet Services &amp; Software</v>
      </c>
      <c r="Y177" s="6" t="str">
        <v>Internet Services &amp; Software</v>
      </c>
      <c r="Z177" s="6" t="str">
        <v>Internet Services &amp; Software</v>
      </c>
      <c r="AA177" s="6" t="str">
        <v>Operating Systems;Other Peripherals;Computer Consulting Services;Applications Software(Business;Monitors/Terminals;Internet Services &amp; Software</v>
      </c>
      <c r="AB177" s="6" t="str">
        <v>Other Peripherals;Monitors/Terminals;Internet Services &amp; Software;Applications Software(Business;Operating Systems;Computer Consulting Services</v>
      </c>
    </row>
    <row r="178">
      <c r="A178" s="6" t="str">
        <v>594918</v>
      </c>
      <c r="B178" s="6" t="str">
        <v>United States</v>
      </c>
      <c r="C178" s="6" t="str">
        <v>Microsoft Corp</v>
      </c>
      <c r="D178" s="6" t="str">
        <v>Microsoft Corp</v>
      </c>
      <c r="F178" s="6" t="str">
        <v>Malaysia</v>
      </c>
      <c r="G178" s="6" t="str">
        <v>MEASAT Broadcast Network System Sdn Bhd</v>
      </c>
      <c r="H178" s="6" t="str">
        <v>Radio and Television Broadcasting Stations</v>
      </c>
      <c r="I178" s="6" t="str">
        <v>55374A</v>
      </c>
      <c r="J178" s="6" t="str">
        <v>Astro All Asia Networks Ltd</v>
      </c>
      <c r="K178" s="6" t="str">
        <v>Astro All Asia Networks Ltd</v>
      </c>
      <c r="L178" s="7">
        <f>=DATE(2000,3,14)</f>
        <v>36598.99949074074</v>
      </c>
      <c r="M178" s="7">
        <f>=DATE(2000,3,14)</f>
        <v>36598.99949074074</v>
      </c>
      <c r="N178" s="8">
        <v>99.9839473684211</v>
      </c>
      <c r="O178" s="8">
        <v>99.9839473684211</v>
      </c>
      <c r="W178" s="6" t="str">
        <v>Other Peripherals;Monitors/Terminals;Internet Services &amp; Software;Operating Systems;Applications Software(Business;Computer Consulting Services</v>
      </c>
      <c r="X178" s="6" t="str">
        <v>Satellite Communications</v>
      </c>
      <c r="Y178" s="6" t="str">
        <v>Satellite Communications</v>
      </c>
      <c r="Z178" s="6" t="str">
        <v>Satellite Communications</v>
      </c>
      <c r="AA178" s="6" t="str">
        <v>Monitors/Terminals;Other Peripherals;Applications Software(Business;Computer Consulting Services;Internet Services &amp; Software;Operating Systems</v>
      </c>
      <c r="AB178" s="6" t="str">
        <v>Internet Services &amp; Software;Monitors/Terminals;Computer Consulting Services;Operating Systems;Other Peripherals;Applications Software(Business</v>
      </c>
      <c r="AC178" s="8">
        <v>99.9839473684211</v>
      </c>
      <c r="AD178" s="7">
        <f>=DATE(2000,3,14)</f>
        <v>36598.99949074074</v>
      </c>
      <c r="AF178" s="8" t="str">
        <v>1,110.93</v>
      </c>
      <c r="AG178" s="8" t="str">
        <v>1,110.93</v>
      </c>
      <c r="AH178" s="8" t="str">
        <v>1,110.93</v>
      </c>
      <c r="AI178" s="8" t="str">
        <v>1,110.93</v>
      </c>
      <c r="AL178" s="8">
        <v>99.9839473684211</v>
      </c>
    </row>
    <row r="179">
      <c r="A179" s="6" t="str">
        <v>023135</v>
      </c>
      <c r="B179" s="6" t="str">
        <v>United States</v>
      </c>
      <c r="C179" s="6" t="str">
        <v>Amazon.com Inc</v>
      </c>
      <c r="D179" s="6" t="str">
        <v>Amazon.com Inc</v>
      </c>
      <c r="F179" s="6" t="str">
        <v>United States</v>
      </c>
      <c r="G179" s="6" t="str">
        <v>Eziba Inc</v>
      </c>
      <c r="H179" s="6" t="str">
        <v>Miscellaneous Retail Trade</v>
      </c>
      <c r="I179" s="6" t="str">
        <v>30194T</v>
      </c>
      <c r="J179" s="6" t="str">
        <v>Eziba Inc</v>
      </c>
      <c r="K179" s="6" t="str">
        <v>Eziba Inc</v>
      </c>
      <c r="L179" s="7">
        <f>=DATE(2000,3,28)</f>
        <v>36612.99949074074</v>
      </c>
      <c r="M179" s="7">
        <f>=DATE(2000,3,28)</f>
        <v>36612.99949074074</v>
      </c>
      <c r="N179" s="8">
        <v>17.5</v>
      </c>
      <c r="O179" s="8">
        <v>17.5</v>
      </c>
      <c r="W179" s="6" t="str">
        <v>Primary Business not Hi-Tech</v>
      </c>
      <c r="X179" s="6" t="str">
        <v>Internet Services &amp; Software</v>
      </c>
      <c r="Y179" s="6" t="str">
        <v>Internet Services &amp; Software</v>
      </c>
      <c r="Z179" s="6" t="str">
        <v>Internet Services &amp; Software</v>
      </c>
      <c r="AA179" s="6" t="str">
        <v>Primary Business not Hi-Tech</v>
      </c>
      <c r="AB179" s="6" t="str">
        <v>Primary Business not Hi-Tech</v>
      </c>
      <c r="AC179" s="8">
        <v>17.5</v>
      </c>
      <c r="AD179" s="7">
        <f>=DATE(2000,3,29)</f>
        <v>36613.99949074074</v>
      </c>
      <c r="AF179" s="8" t="str">
        <v>87.50</v>
      </c>
      <c r="AG179" s="8" t="str">
        <v>87.50</v>
      </c>
      <c r="AH179" s="8" t="str">
        <v>87.50</v>
      </c>
      <c r="AI179" s="8" t="str">
        <v>87.50</v>
      </c>
      <c r="AL179" s="8">
        <v>17.5</v>
      </c>
    </row>
    <row r="180">
      <c r="A180" s="6" t="str">
        <v>037833</v>
      </c>
      <c r="B180" s="6" t="str">
        <v>United States</v>
      </c>
      <c r="C180" s="6" t="str">
        <v>Apple Computer Inc</v>
      </c>
      <c r="D180" s="6" t="str">
        <v>Apple Computer Inc</v>
      </c>
      <c r="F180" s="6" t="str">
        <v>Germany</v>
      </c>
      <c r="G180" s="6" t="str">
        <v>Astarte GmbH-DVD Authoring Software</v>
      </c>
      <c r="H180" s="6" t="str">
        <v>Prepackaged Software</v>
      </c>
      <c r="I180" s="6" t="str">
        <v>04259Z</v>
      </c>
      <c r="J180" s="6" t="str">
        <v>Astarte Gesellschaft fuer Informatinssysteme und Mdnintgrtin mbH</v>
      </c>
      <c r="K180" s="6" t="str">
        <v>Astarte Gesellschaft fuer Informatinssysteme und Mdnintgrtin mbH</v>
      </c>
      <c r="L180" s="7">
        <f>=DATE(2000,4,11)</f>
        <v>36626.99949074074</v>
      </c>
      <c r="M180" s="7">
        <f>=DATE(2000,4,11)</f>
        <v>36626.99949074074</v>
      </c>
      <c r="W180" s="6" t="str">
        <v>Other Peripherals;Printers;Portable Computers;Mainframes &amp; Super Computers;Disk Drives;Micro-Computers (PCs);Other Software (inq. Games);Monitors/Terminals</v>
      </c>
      <c r="X180" s="6" t="str">
        <v>Other Software (inq. Games)</v>
      </c>
      <c r="Y180" s="6" t="str">
        <v>Other Software (inq. Games)</v>
      </c>
      <c r="Z180" s="6" t="str">
        <v>Other Software (inq. Games)</v>
      </c>
      <c r="AA180" s="6" t="str">
        <v>Disk Drives;Printers;Other Peripherals;Other Software (inq. Games);Mainframes &amp; Super Computers;Monitors/Terminals;Portable Computers;Micro-Computers (PCs)</v>
      </c>
      <c r="AB180" s="6" t="str">
        <v>Mainframes &amp; Super Computers;Monitors/Terminals;Disk Drives;Other Software (inq. Games);Portable Computers;Other Peripherals;Micro-Computers (PCs);Printers</v>
      </c>
    </row>
    <row r="181">
      <c r="A181" s="6" t="str">
        <v>594918</v>
      </c>
      <c r="B181" s="6" t="str">
        <v>United States</v>
      </c>
      <c r="C181" s="6" t="str">
        <v>Microsoft Corp</v>
      </c>
      <c r="D181" s="6" t="str">
        <v>Microsoft Corp</v>
      </c>
      <c r="F181" s="6" t="str">
        <v>United States</v>
      </c>
      <c r="G181" s="6" t="str">
        <v>Contentguard Inc</v>
      </c>
      <c r="H181" s="6" t="str">
        <v>Prepackaged Software</v>
      </c>
      <c r="I181" s="6" t="str">
        <v>21083T</v>
      </c>
      <c r="J181" s="6" t="str">
        <v>Xerox Holdings Corp</v>
      </c>
      <c r="K181" s="6" t="str">
        <v>Xerox Corp</v>
      </c>
      <c r="L181" s="7">
        <f>=DATE(2000,4,27)</f>
        <v>36642.99949074074</v>
      </c>
      <c r="W181" s="6" t="str">
        <v>Other Peripherals;Computer Consulting Services;Monitors/Terminals;Operating Systems;Applications Software(Business;Internet Services &amp; Software</v>
      </c>
      <c r="X181" s="6" t="str">
        <v>Applications Software(Business</v>
      </c>
      <c r="Y181" s="6" t="str">
        <v>Scanning Devices;Other Peripherals;Printers</v>
      </c>
      <c r="Z181" s="6" t="str">
        <v>Other Electronics;Communication/Network Software;Other Computer Systems;Primary Business not Hi-Tech;Data Processing Services;Other Computer Related Svcs;Operating Systems;Database Software/Programming;Scanning Devices;Data Commun(Exclude networking;Printers;Computer Consulting Services</v>
      </c>
      <c r="AA181" s="6" t="str">
        <v>Internet Services &amp; Software;Computer Consulting Services;Monitors/Terminals;Operating Systems;Other Peripherals;Applications Software(Business</v>
      </c>
      <c r="AB181" s="6" t="str">
        <v>Computer Consulting Services;Operating Systems;Applications Software(Business;Monitors/Terminals;Internet Services &amp; Software;Other Peripherals</v>
      </c>
    </row>
    <row r="182">
      <c r="A182" s="6" t="str">
        <v>80609W</v>
      </c>
      <c r="B182" s="6" t="str">
        <v>United States</v>
      </c>
      <c r="C182" s="6" t="str">
        <v>ScanSoft Inc</v>
      </c>
      <c r="D182" s="6" t="str">
        <v>ScanSoft Inc</v>
      </c>
      <c r="F182" s="6" t="str">
        <v>United States</v>
      </c>
      <c r="G182" s="6" t="str">
        <v>EchoBahn.com</v>
      </c>
      <c r="H182" s="6" t="str">
        <v>Business Services</v>
      </c>
      <c r="I182" s="6" t="str">
        <v>27881Y</v>
      </c>
      <c r="J182" s="6" t="str">
        <v>EchoBahn.com</v>
      </c>
      <c r="K182" s="6" t="str">
        <v>EchoBahn.com</v>
      </c>
      <c r="L182" s="7">
        <f>=DATE(2000,5,3)</f>
        <v>36648.99949074074</v>
      </c>
      <c r="M182" s="7">
        <f>=DATE(2000,5,3)</f>
        <v>36648.99949074074</v>
      </c>
      <c r="W182" s="6" t="str">
        <v>Other Software (inq. Games)</v>
      </c>
      <c r="X182" s="6" t="str">
        <v>Internet Services &amp; Software</v>
      </c>
      <c r="Y182" s="6" t="str">
        <v>Internet Services &amp; Software</v>
      </c>
      <c r="Z182" s="6" t="str">
        <v>Internet Services &amp; Software</v>
      </c>
      <c r="AA182" s="6" t="str">
        <v>Other Software (inq. Games)</v>
      </c>
      <c r="AB182" s="6" t="str">
        <v>Other Software (inq. Games)</v>
      </c>
    </row>
    <row r="183">
      <c r="A183" s="6" t="str">
        <v>594918</v>
      </c>
      <c r="B183" s="6" t="str">
        <v>United States</v>
      </c>
      <c r="C183" s="6" t="str">
        <v>Microsoft Corp</v>
      </c>
      <c r="D183" s="6" t="str">
        <v>Microsoft Corp</v>
      </c>
      <c r="F183" s="6" t="str">
        <v>United States</v>
      </c>
      <c r="G183" s="6" t="str">
        <v>Bungie Software</v>
      </c>
      <c r="H183" s="6" t="str">
        <v>Prepackaged Software</v>
      </c>
      <c r="I183" s="6" t="str">
        <v>12057V</v>
      </c>
      <c r="J183" s="6" t="str">
        <v>Bungie Software</v>
      </c>
      <c r="K183" s="6" t="str">
        <v>Bungie Software</v>
      </c>
      <c r="L183" s="7">
        <f>=DATE(2000,6,19)</f>
        <v>36695.99949074074</v>
      </c>
      <c r="M183" s="7">
        <f>=DATE(2000,6,19)</f>
        <v>36695.99949074074</v>
      </c>
      <c r="W183" s="6" t="str">
        <v>Monitors/Terminals;Other Peripherals;Computer Consulting Services;Applications Software(Business;Internet Services &amp; Software;Operating Systems</v>
      </c>
      <c r="X183" s="6" t="str">
        <v>Database Software/Programming</v>
      </c>
      <c r="Y183" s="6" t="str">
        <v>Database Software/Programming</v>
      </c>
      <c r="Z183" s="6" t="str">
        <v>Database Software/Programming</v>
      </c>
      <c r="AA183" s="6" t="str">
        <v>Monitors/Terminals;Operating Systems;Internet Services &amp; Software;Applications Software(Business;Other Peripherals;Computer Consulting Services</v>
      </c>
      <c r="AB183" s="6" t="str">
        <v>Monitors/Terminals;Internet Services &amp; Software;Applications Software(Business;Operating Systems;Other Peripherals;Computer Consulting Services</v>
      </c>
    </row>
    <row r="184">
      <c r="A184" s="6" t="str">
        <v>594918</v>
      </c>
      <c r="B184" s="6" t="str">
        <v>United States</v>
      </c>
      <c r="C184" s="6" t="str">
        <v>Microsoft Corp</v>
      </c>
      <c r="D184" s="6" t="str">
        <v>Microsoft Corp</v>
      </c>
      <c r="F184" s="6" t="str">
        <v>United States</v>
      </c>
      <c r="G184" s="6" t="str">
        <v>FutureLink Corp</v>
      </c>
      <c r="H184" s="6" t="str">
        <v>Business Services</v>
      </c>
      <c r="I184" s="6" t="str">
        <v>36114Q</v>
      </c>
      <c r="J184" s="6" t="str">
        <v>FutureLink Corp</v>
      </c>
      <c r="K184" s="6" t="str">
        <v>FutureLink Corp</v>
      </c>
      <c r="L184" s="7">
        <f>=DATE(2000,6,30)</f>
        <v>36706.99949074074</v>
      </c>
      <c r="N184" s="8">
        <v>10</v>
      </c>
      <c r="O184" s="8">
        <v>10</v>
      </c>
      <c r="P184" s="8" t="str">
        <v>409.28</v>
      </c>
      <c r="R184" s="8">
        <v>-34.9</v>
      </c>
      <c r="S184" s="8">
        <v>13.6</v>
      </c>
      <c r="T184" s="8">
        <v>70.8</v>
      </c>
      <c r="U184" s="8">
        <v>-35.3</v>
      </c>
      <c r="V184" s="8">
        <v>-16.4</v>
      </c>
      <c r="W184" s="6" t="str">
        <v>Applications Software(Business;Other Peripherals;Internet Services &amp; Software;Operating Systems;Monitors/Terminals;Computer Consulting Services</v>
      </c>
      <c r="X184" s="6" t="str">
        <v>Programming Services;Database Software/Programming</v>
      </c>
      <c r="Y184" s="6" t="str">
        <v>Database Software/Programming;Programming Services</v>
      </c>
      <c r="Z184" s="6" t="str">
        <v>Programming Services;Database Software/Programming</v>
      </c>
      <c r="AA184" s="6" t="str">
        <v>Internet Services &amp; Software;Operating Systems;Applications Software(Business;Other Peripherals;Computer Consulting Services;Monitors/Terminals</v>
      </c>
      <c r="AB184" s="6" t="str">
        <v>Monitors/Terminals;Other Peripherals;Applications Software(Business;Operating Systems;Computer Consulting Services;Internet Services &amp; Software</v>
      </c>
      <c r="AC184" s="8">
        <v>10</v>
      </c>
      <c r="AD184" s="7">
        <f>=DATE(2000,6,30)</f>
        <v>36706.99949074074</v>
      </c>
      <c r="AF184" s="8" t="str">
        <v>409.28</v>
      </c>
      <c r="AI184" s="8" t="str">
        <v>413.18</v>
      </c>
      <c r="AL184" s="8">
        <v>10</v>
      </c>
    </row>
    <row r="185">
      <c r="A185" s="6" t="str">
        <v>594918</v>
      </c>
      <c r="B185" s="6" t="str">
        <v>United States</v>
      </c>
      <c r="C185" s="6" t="str">
        <v>Microsoft Corp</v>
      </c>
      <c r="D185" s="6" t="str">
        <v>Microsoft Corp</v>
      </c>
      <c r="F185" s="6" t="str">
        <v>United States</v>
      </c>
      <c r="G185" s="6" t="str">
        <v>NetGames USA</v>
      </c>
      <c r="H185" s="6" t="str">
        <v>Prepackaged Software</v>
      </c>
      <c r="I185" s="6" t="str">
        <v>4F2769</v>
      </c>
      <c r="J185" s="6" t="str">
        <v>NetGames USA</v>
      </c>
      <c r="K185" s="6" t="str">
        <v>NetGames USA</v>
      </c>
      <c r="L185" s="7">
        <f>=DATE(2000,7,12)</f>
        <v>36718.99949074074</v>
      </c>
      <c r="M185" s="7">
        <f>=DATE(2000,7,12)</f>
        <v>36718.99949074074</v>
      </c>
      <c r="W185" s="6" t="str">
        <v>Applications Software(Business;Other Peripherals;Operating Systems;Internet Services &amp; Software;Monitors/Terminals;Computer Consulting Services</v>
      </c>
      <c r="X185" s="6" t="str">
        <v>Other Software (inq. Games)</v>
      </c>
      <c r="Y185" s="6" t="str">
        <v>Other Software (inq. Games)</v>
      </c>
      <c r="Z185" s="6" t="str">
        <v>Other Software (inq. Games)</v>
      </c>
      <c r="AA185" s="6" t="str">
        <v>Monitors/Terminals;Other Peripherals;Internet Services &amp; Software;Operating Systems;Computer Consulting Services;Applications Software(Business</v>
      </c>
      <c r="AB185" s="6" t="str">
        <v>Operating Systems;Applications Software(Business;Computer Consulting Services;Other Peripherals;Internet Services &amp; Software;Monitors/Terminals</v>
      </c>
    </row>
    <row r="186">
      <c r="A186" s="6" t="str">
        <v>594918</v>
      </c>
      <c r="B186" s="6" t="str">
        <v>United States</v>
      </c>
      <c r="C186" s="6" t="str">
        <v>Microsoft Corp</v>
      </c>
      <c r="D186" s="6" t="str">
        <v>Microsoft Corp</v>
      </c>
      <c r="F186" s="6" t="str">
        <v>Italy</v>
      </c>
      <c r="G186" s="6" t="str">
        <v>Blixer Net Services Srl</v>
      </c>
      <c r="H186" s="6" t="str">
        <v>Business Services</v>
      </c>
      <c r="I186" s="6" t="str">
        <v>09361Z</v>
      </c>
      <c r="J186" s="6" t="str">
        <v>Blixer Net Services Srl</v>
      </c>
      <c r="K186" s="6" t="str">
        <v>Blixer Net Services Srl</v>
      </c>
      <c r="L186" s="7">
        <f>=DATE(2000,7,13)</f>
        <v>36719.99949074074</v>
      </c>
      <c r="M186" s="7">
        <f>=DATE(2000,7,13)</f>
        <v>36719.99949074074</v>
      </c>
      <c r="W186" s="6" t="str">
        <v>Applications Software(Business;Internet Services &amp; Software;Operating Systems;Computer Consulting Services;Other Peripherals;Monitors/Terminals</v>
      </c>
      <c r="X186" s="6" t="str">
        <v>Communication/Network Software;Internet Services &amp; Software</v>
      </c>
      <c r="Y186" s="6" t="str">
        <v>Communication/Network Software;Internet Services &amp; Software</v>
      </c>
      <c r="Z186" s="6" t="str">
        <v>Communication/Network Software;Internet Services &amp; Software</v>
      </c>
      <c r="AA186" s="6" t="str">
        <v>Computer Consulting Services;Monitors/Terminals;Operating Systems;Internet Services &amp; Software;Other Peripherals;Applications Software(Business</v>
      </c>
      <c r="AB186" s="6" t="str">
        <v>Computer Consulting Services;Operating Systems;Monitors/Terminals;Applications Software(Business;Internet Services &amp; Software;Other Peripherals</v>
      </c>
    </row>
    <row r="187">
      <c r="A187" s="6" t="str">
        <v>72605H</v>
      </c>
      <c r="B187" s="6" t="str">
        <v>United States</v>
      </c>
      <c r="C187" s="6" t="str">
        <v>PlaceWare Inc</v>
      </c>
      <c r="D187" s="6" t="str">
        <v>PlaceWare Inc</v>
      </c>
      <c r="F187" s="6" t="str">
        <v>United States</v>
      </c>
      <c r="G187" s="6" t="str">
        <v>Envoyglobal.com</v>
      </c>
      <c r="H187" s="6" t="str">
        <v>Business Services</v>
      </c>
      <c r="I187" s="6" t="str">
        <v>29401W</v>
      </c>
      <c r="J187" s="6" t="str">
        <v>Envoyglobal.com</v>
      </c>
      <c r="K187" s="6" t="str">
        <v>Envoyglobal.com</v>
      </c>
      <c r="L187" s="7">
        <f>=DATE(2000,7,24)</f>
        <v>36730.99949074074</v>
      </c>
      <c r="M187" s="7">
        <f>=DATE(2000,7,24)</f>
        <v>36730.99949074074</v>
      </c>
      <c r="W187" s="6" t="str">
        <v>Internet Services &amp; Software</v>
      </c>
      <c r="X187" s="6" t="str">
        <v>Internet Services &amp; Software;Applications Software(Business;Communication/Network Software</v>
      </c>
      <c r="Y187" s="6" t="str">
        <v>Internet Services &amp; Software;Applications Software(Business;Communication/Network Software</v>
      </c>
      <c r="Z187" s="6" t="str">
        <v>Applications Software(Business;Internet Services &amp; Software;Communication/Network Software</v>
      </c>
      <c r="AA187" s="6" t="str">
        <v>Internet Services &amp; Software</v>
      </c>
      <c r="AB187" s="6" t="str">
        <v>Internet Services &amp; Software</v>
      </c>
    </row>
    <row r="188">
      <c r="A188" s="6" t="str">
        <v>594918</v>
      </c>
      <c r="B188" s="6" t="str">
        <v>United States</v>
      </c>
      <c r="C188" s="6" t="str">
        <v>Microsoft Corp</v>
      </c>
      <c r="D188" s="6" t="str">
        <v>Microsoft Corp</v>
      </c>
      <c r="F188" s="6" t="str">
        <v>United States</v>
      </c>
      <c r="G188" s="6" t="str">
        <v>CAIS Internet Inc</v>
      </c>
      <c r="H188" s="6" t="str">
        <v>Business Services</v>
      </c>
      <c r="I188" s="6" t="str">
        <v>12476Q</v>
      </c>
      <c r="J188" s="6" t="str">
        <v>CAIS Internet Inc</v>
      </c>
      <c r="K188" s="6" t="str">
        <v>CAIS Internet Inc</v>
      </c>
      <c r="L188" s="7">
        <f>=DATE(2000,8,4)</f>
        <v>36741.99949074074</v>
      </c>
      <c r="M188" s="7">
        <f>=DATE(2000,8,4)</f>
        <v>36741.99949074074</v>
      </c>
      <c r="N188" s="8">
        <v>40</v>
      </c>
      <c r="O188" s="8">
        <v>40</v>
      </c>
      <c r="R188" s="8">
        <v>-104.5</v>
      </c>
      <c r="S188" s="8">
        <v>23</v>
      </c>
      <c r="T188" s="8">
        <v>137</v>
      </c>
      <c r="U188" s="8">
        <v>-172.8</v>
      </c>
      <c r="V188" s="8">
        <v>-42.7</v>
      </c>
      <c r="W188" s="6" t="str">
        <v>Internet Services &amp; Software;Computer Consulting Services;Other Peripherals;Applications Software(Business;Operating Systems;Monitors/Terminals</v>
      </c>
      <c r="X188" s="6" t="str">
        <v>Internet Services &amp; Software;Data Processing Services;Communication/Network Software</v>
      </c>
      <c r="Y188" s="6" t="str">
        <v>Communication/Network Software;Internet Services &amp; Software;Data Processing Services</v>
      </c>
      <c r="Z188" s="6" t="str">
        <v>Internet Services &amp; Software;Communication/Network Software;Data Processing Services</v>
      </c>
      <c r="AA188" s="6" t="str">
        <v>Computer Consulting Services;Internet Services &amp; Software;Monitors/Terminals;Operating Systems;Applications Software(Business;Other Peripherals</v>
      </c>
      <c r="AB188" s="6" t="str">
        <v>Internet Services &amp; Software;Monitors/Terminals;Applications Software(Business;Operating Systems;Computer Consulting Services;Other Peripherals</v>
      </c>
      <c r="AC188" s="8">
        <v>40</v>
      </c>
      <c r="AD188" s="7">
        <f>=DATE(2000,8,4)</f>
        <v>36741.99949074074</v>
      </c>
      <c r="AL188" s="8">
        <v>40</v>
      </c>
    </row>
    <row r="189">
      <c r="A189" s="6" t="str">
        <v>023135</v>
      </c>
      <c r="B189" s="6" t="str">
        <v>United States</v>
      </c>
      <c r="C189" s="6" t="str">
        <v>Amazon.com Inc</v>
      </c>
      <c r="D189" s="6" t="str">
        <v>Amazon.com Inc</v>
      </c>
      <c r="F189" s="6" t="str">
        <v>United States</v>
      </c>
      <c r="G189" s="6" t="str">
        <v>Toysrus.com LLC</v>
      </c>
      <c r="H189" s="6" t="str">
        <v>Business Services</v>
      </c>
      <c r="I189" s="6" t="str">
        <v>89243M</v>
      </c>
      <c r="J189" s="6" t="str">
        <v>Toys R Us Inc</v>
      </c>
      <c r="K189" s="6" t="str">
        <v>Toys R Us Inc</v>
      </c>
      <c r="L189" s="7">
        <f>=DATE(2000,8,10)</f>
        <v>36747.99949074074</v>
      </c>
      <c r="W189" s="6" t="str">
        <v>Primary Business not Hi-Tech</v>
      </c>
      <c r="X189" s="6" t="str">
        <v>Internet Services &amp; Software</v>
      </c>
      <c r="Y189" s="6" t="str">
        <v>Primary Business not Hi-Tech</v>
      </c>
      <c r="Z189" s="6" t="str">
        <v>Primary Business not Hi-Tech</v>
      </c>
      <c r="AA189" s="6" t="str">
        <v>Primary Business not Hi-Tech</v>
      </c>
      <c r="AB189" s="6" t="str">
        <v>Primary Business not Hi-Tech</v>
      </c>
    </row>
    <row r="190">
      <c r="A190" s="6" t="str">
        <v>594918</v>
      </c>
      <c r="B190" s="6" t="str">
        <v>United States</v>
      </c>
      <c r="C190" s="6" t="str">
        <v>Microsoft Corp</v>
      </c>
      <c r="D190" s="6" t="str">
        <v>Microsoft Corp</v>
      </c>
      <c r="F190" s="6" t="str">
        <v>United States</v>
      </c>
      <c r="G190" s="6" t="str">
        <v>MongoMusic Inc</v>
      </c>
      <c r="H190" s="6" t="str">
        <v>Business Services</v>
      </c>
      <c r="I190" s="6" t="str">
        <v>60943W</v>
      </c>
      <c r="J190" s="6" t="str">
        <v>MongoMusic Inc</v>
      </c>
      <c r="K190" s="6" t="str">
        <v>MongoMusic Inc</v>
      </c>
      <c r="L190" s="7">
        <f>=DATE(2000,9,13)</f>
        <v>36781.99949074074</v>
      </c>
      <c r="M190" s="7">
        <f>=DATE(2000,9,13)</f>
        <v>36781.99949074074</v>
      </c>
      <c r="N190" s="8">
        <v>65</v>
      </c>
      <c r="O190" s="8">
        <v>65</v>
      </c>
      <c r="W190" s="6" t="str">
        <v>Internet Services &amp; Software;Operating Systems;Applications Software(Business;Other Peripherals;Computer Consulting Services;Monitors/Terminals</v>
      </c>
      <c r="X190" s="6" t="str">
        <v>Internet Services &amp; Software</v>
      </c>
      <c r="Y190" s="6" t="str">
        <v>Internet Services &amp; Software</v>
      </c>
      <c r="Z190" s="6" t="str">
        <v>Internet Services &amp; Software</v>
      </c>
      <c r="AA190" s="6" t="str">
        <v>Internet Services &amp; Software;Operating Systems;Monitors/Terminals;Other Peripherals;Applications Software(Business;Computer Consulting Services</v>
      </c>
      <c r="AB190" s="6" t="str">
        <v>Internet Services &amp; Software;Operating Systems;Computer Consulting Services;Other Peripherals;Applications Software(Business;Monitors/Terminals</v>
      </c>
      <c r="AC190" s="8">
        <v>65</v>
      </c>
      <c r="AD190" s="7">
        <f>=DATE(2000,9,13)</f>
        <v>36781.99949074074</v>
      </c>
      <c r="AL190" s="8">
        <v>65</v>
      </c>
    </row>
    <row r="191">
      <c r="A191" s="6" t="str">
        <v>05707L</v>
      </c>
      <c r="B191" s="6" t="str">
        <v>United States</v>
      </c>
      <c r="C191" s="6" t="str">
        <v>BET.com LLC</v>
      </c>
      <c r="D191" s="6" t="str">
        <v>BET Holdings II Inc</v>
      </c>
      <c r="F191" s="6" t="str">
        <v>United States</v>
      </c>
      <c r="G191" s="6" t="str">
        <v>RS1W Inc</v>
      </c>
      <c r="H191" s="6" t="str">
        <v>Business Services</v>
      </c>
      <c r="I191" s="6" t="str">
        <v>75110N</v>
      </c>
      <c r="J191" s="6" t="str">
        <v>RS1W Inc</v>
      </c>
      <c r="K191" s="6" t="str">
        <v>RS1W Inc</v>
      </c>
      <c r="L191" s="7">
        <f>=DATE(2000,9,14)</f>
        <v>36782.99949074074</v>
      </c>
      <c r="M191" s="7">
        <f>=DATE(2000,10,3)</f>
        <v>36801.99949074074</v>
      </c>
      <c r="W191" s="6" t="str">
        <v>Internet Services &amp; Software</v>
      </c>
      <c r="X191" s="6" t="str">
        <v>Internet Services &amp; Software</v>
      </c>
      <c r="Y191" s="6" t="str">
        <v>Internet Services &amp; Software</v>
      </c>
      <c r="Z191" s="6" t="str">
        <v>Internet Services &amp; Software</v>
      </c>
      <c r="AA191" s="6" t="str">
        <v>Primary Business not Hi-Tech</v>
      </c>
      <c r="AB191" s="6" t="str">
        <v>Primary Business not Hi-Tech</v>
      </c>
    </row>
    <row r="192">
      <c r="A192" s="6" t="str">
        <v>594918</v>
      </c>
      <c r="B192" s="6" t="str">
        <v>United States</v>
      </c>
      <c r="C192" s="6" t="str">
        <v>Microsoft Corp</v>
      </c>
      <c r="D192" s="6" t="str">
        <v>Microsoft Corp</v>
      </c>
      <c r="F192" s="6" t="str">
        <v>United States</v>
      </c>
      <c r="G192" s="6" t="str">
        <v>Pacific Microsonics Inc</v>
      </c>
      <c r="H192" s="6" t="str">
        <v>Electronic and Electrical Equipment</v>
      </c>
      <c r="I192" s="6" t="str">
        <v>69455F</v>
      </c>
      <c r="J192" s="6" t="str">
        <v>Pacific Microsonics Inc</v>
      </c>
      <c r="K192" s="6" t="str">
        <v>Pacific Microsonics Inc</v>
      </c>
      <c r="L192" s="7">
        <f>=DATE(2000,9,27)</f>
        <v>36795.99949074074</v>
      </c>
      <c r="M192" s="7">
        <f>=DATE(2000,9,27)</f>
        <v>36795.99949074074</v>
      </c>
      <c r="W192" s="6" t="str">
        <v>Other Peripherals;Internet Services &amp; Software;Applications Software(Business;Operating Systems;Computer Consulting Services;Monitors/Terminals</v>
      </c>
      <c r="X192" s="6" t="str">
        <v>Other Computer Related Svcs;Other High Technology Industry</v>
      </c>
      <c r="Y192" s="6" t="str">
        <v>Other High Technology Industry;Other Computer Related Svcs</v>
      </c>
      <c r="Z192" s="6" t="str">
        <v>Other High Technology Industry;Other Computer Related Svcs</v>
      </c>
      <c r="AA192" s="6" t="str">
        <v>Computer Consulting Services;Operating Systems;Internet Services &amp; Software;Other Peripherals;Monitors/Terminals;Applications Software(Business</v>
      </c>
      <c r="AB192" s="6" t="str">
        <v>Internet Services &amp; Software;Computer Consulting Services;Monitors/Terminals;Operating Systems;Applications Software(Business;Other Peripherals</v>
      </c>
    </row>
    <row r="193">
      <c r="A193" s="6" t="str">
        <v>594918</v>
      </c>
      <c r="B193" s="6" t="str">
        <v>United States</v>
      </c>
      <c r="C193" s="6" t="str">
        <v>Microsoft Corp</v>
      </c>
      <c r="D193" s="6" t="str">
        <v>Microsoft Corp</v>
      </c>
      <c r="F193" s="6" t="str">
        <v>Canada</v>
      </c>
      <c r="G193" s="6" t="str">
        <v>Corel Corp</v>
      </c>
      <c r="H193" s="6" t="str">
        <v>Prepackaged Software</v>
      </c>
      <c r="I193" s="6" t="str">
        <v>21868Q</v>
      </c>
      <c r="J193" s="6" t="str">
        <v>Corel Corp</v>
      </c>
      <c r="K193" s="6" t="str">
        <v>Corel Corp</v>
      </c>
      <c r="L193" s="7">
        <f>=DATE(2000,10,2)</f>
        <v>36800.99949074074</v>
      </c>
      <c r="M193" s="7">
        <f>=DATE(2000,10,2)</f>
        <v>36800.99949074074</v>
      </c>
      <c r="N193" s="8">
        <v>89.4572924259492</v>
      </c>
      <c r="O193" s="8">
        <v>89.4572924259492</v>
      </c>
      <c r="P193" s="8" t="str">
        <v>373.20</v>
      </c>
      <c r="R193" s="8">
        <v>-42.5358429027655</v>
      </c>
      <c r="S193" s="8">
        <v>175.647210708704</v>
      </c>
      <c r="T193" s="8">
        <v>12.5208</v>
      </c>
      <c r="U193" s="8">
        <v>6.90336</v>
      </c>
      <c r="V193" s="8">
        <v>-29.50848</v>
      </c>
      <c r="W193" s="6" t="str">
        <v>Operating Systems;Computer Consulting Services;Applications Software(Business;Monitors/Terminals;Internet Services &amp; Software;Other Peripherals</v>
      </c>
      <c r="X193" s="6" t="str">
        <v>Other Software (inq. Games);Applications Software(Business;Applications Software(Home)</v>
      </c>
      <c r="Y193" s="6" t="str">
        <v>Applications Software(Business;Other Software (inq. Games);Applications Software(Home)</v>
      </c>
      <c r="Z193" s="6" t="str">
        <v>Other Software (inq. Games);Applications Software(Business;Applications Software(Home)</v>
      </c>
      <c r="AA193" s="6" t="str">
        <v>Applications Software(Business;Computer Consulting Services;Monitors/Terminals;Other Peripherals;Operating Systems;Internet Services &amp; Software</v>
      </c>
      <c r="AB193" s="6" t="str">
        <v>Monitors/Terminals;Applications Software(Business;Internet Services &amp; Software;Computer Consulting Services;Other Peripherals;Operating Systems</v>
      </c>
      <c r="AC193" s="8">
        <v>89.4572924259492</v>
      </c>
      <c r="AD193" s="7">
        <f>=DATE(2000,10,2)</f>
        <v>36800.99949074074</v>
      </c>
      <c r="AE193" s="8">
        <v>341.84046410112</v>
      </c>
      <c r="AF193" s="8" t="str">
        <v>342.24</v>
      </c>
      <c r="AG193" s="8" t="str">
        <v>363.96</v>
      </c>
      <c r="AH193" s="8" t="str">
        <v>363.56</v>
      </c>
      <c r="AI193" s="8" t="str">
        <v>341.84</v>
      </c>
      <c r="AL193" s="8">
        <v>89.4572924259492</v>
      </c>
    </row>
    <row r="194">
      <c r="A194" s="6" t="str">
        <v>73959W</v>
      </c>
      <c r="B194" s="6" t="str">
        <v>United States</v>
      </c>
      <c r="C194" s="6" t="str">
        <v>PowerSchool Inc</v>
      </c>
      <c r="D194" s="6" t="str">
        <v>PowerSchool Inc</v>
      </c>
      <c r="F194" s="6" t="str">
        <v>United States</v>
      </c>
      <c r="G194" s="6" t="str">
        <v>Nordex International Inc</v>
      </c>
      <c r="H194" s="6" t="str">
        <v>Business Services</v>
      </c>
      <c r="I194" s="6" t="str">
        <v>65580L</v>
      </c>
      <c r="J194" s="6" t="str">
        <v>Nordex International Inc</v>
      </c>
      <c r="K194" s="6" t="str">
        <v>Nordex International Inc</v>
      </c>
      <c r="L194" s="7">
        <f>=DATE(2000,10,10)</f>
        <v>36808.99949074074</v>
      </c>
      <c r="M194" s="7">
        <f>=DATE(2000,10,10)</f>
        <v>36808.99949074074</v>
      </c>
      <c r="W194" s="6" t="str">
        <v>Communication/Network Software;Internet Services &amp; Software</v>
      </c>
      <c r="X194" s="6" t="str">
        <v>Programming Services;Applications Software(Business</v>
      </c>
      <c r="Y194" s="6" t="str">
        <v>Programming Services;Applications Software(Business</v>
      </c>
      <c r="Z194" s="6" t="str">
        <v>Programming Services;Applications Software(Business</v>
      </c>
      <c r="AA194" s="6" t="str">
        <v>Internet Services &amp; Software;Communication/Network Software</v>
      </c>
      <c r="AB194" s="6" t="str">
        <v>Communication/Network Software;Internet Services &amp; Software</v>
      </c>
    </row>
    <row r="195">
      <c r="A195" s="6" t="str">
        <v>05707L</v>
      </c>
      <c r="B195" s="6" t="str">
        <v>United States</v>
      </c>
      <c r="C195" s="6" t="str">
        <v>BET.com LLC</v>
      </c>
      <c r="D195" s="6" t="str">
        <v>BET Holdings II Inc</v>
      </c>
      <c r="F195" s="6" t="str">
        <v>United States</v>
      </c>
      <c r="G195" s="6" t="str">
        <v>360HIPHOP.com</v>
      </c>
      <c r="H195" s="6" t="str">
        <v>Business Services</v>
      </c>
      <c r="I195" s="6" t="str">
        <v>88567R</v>
      </c>
      <c r="J195" s="6" t="str">
        <v>360HIPHOP.com</v>
      </c>
      <c r="K195" s="6" t="str">
        <v>360HIPHOP.com</v>
      </c>
      <c r="L195" s="7">
        <f>=DATE(2000,10,11)</f>
        <v>36809.99949074074</v>
      </c>
      <c r="M195" s="7">
        <f>=DATE(2000,10,11)</f>
        <v>36809.99949074074</v>
      </c>
      <c r="W195" s="6" t="str">
        <v>Internet Services &amp; Software</v>
      </c>
      <c r="X195" s="6" t="str">
        <v>Internet Services &amp; Software</v>
      </c>
      <c r="Y195" s="6" t="str">
        <v>Internet Services &amp; Software</v>
      </c>
      <c r="Z195" s="6" t="str">
        <v>Internet Services &amp; Software</v>
      </c>
      <c r="AA195" s="6" t="str">
        <v>Primary Business not Hi-Tech</v>
      </c>
      <c r="AB195" s="6" t="str">
        <v>Primary Business not Hi-Tech</v>
      </c>
    </row>
    <row r="196">
      <c r="A196" s="6" t="str">
        <v>925653</v>
      </c>
      <c r="B196" s="6" t="str">
        <v>United States</v>
      </c>
      <c r="C196" s="6" t="str">
        <v>Vicinity Corp</v>
      </c>
      <c r="D196" s="6" t="str">
        <v>Vicinity Corp</v>
      </c>
      <c r="F196" s="6" t="str">
        <v>United States</v>
      </c>
      <c r="G196" s="6" t="str">
        <v>NetCreate Systems</v>
      </c>
      <c r="H196" s="6" t="str">
        <v>Prepackaged Software</v>
      </c>
      <c r="I196" s="6" t="str">
        <v>64084Y</v>
      </c>
      <c r="J196" s="6" t="str">
        <v>NetCreate Systems</v>
      </c>
      <c r="K196" s="6" t="str">
        <v>NetCreate Systems</v>
      </c>
      <c r="L196" s="7">
        <f>=DATE(2000,10,26)</f>
        <v>36824.99949074074</v>
      </c>
      <c r="M196" s="7">
        <f>=DATE(2000,10,26)</f>
        <v>36824.99949074074</v>
      </c>
      <c r="W196" s="6" t="str">
        <v>Networking Systems (LAN,WAN);Other Computer Related Svcs;Internet Services &amp; Software;Applications Software(Business;Utilities/File Mgmt Software;Communication/Network Software</v>
      </c>
      <c r="X196" s="6" t="str">
        <v>Communication/Network Software;Internet Services &amp; Software</v>
      </c>
      <c r="Y196" s="6" t="str">
        <v>Communication/Network Software;Internet Services &amp; Software</v>
      </c>
      <c r="Z196" s="6" t="str">
        <v>Communication/Network Software;Internet Services &amp; Software</v>
      </c>
      <c r="AA196" s="6" t="str">
        <v>Applications Software(Business;Internet Services &amp; Software;Networking Systems (LAN,WAN);Communication/Network Software;Other Computer Related Svcs;Utilities/File Mgmt Software</v>
      </c>
      <c r="AB196" s="6" t="str">
        <v>Utilities/File Mgmt Software;Communication/Network Software;Other Computer Related Svcs;Networking Systems (LAN,WAN);Internet Services &amp; Software;Applications Software(Business</v>
      </c>
    </row>
    <row r="197">
      <c r="A197" s="6" t="str">
        <v>594918</v>
      </c>
      <c r="B197" s="6" t="str">
        <v>United States</v>
      </c>
      <c r="C197" s="6" t="str">
        <v>Microsoft Corp</v>
      </c>
      <c r="D197" s="6" t="str">
        <v>Microsoft Corp</v>
      </c>
      <c r="F197" s="6" t="str">
        <v>United States</v>
      </c>
      <c r="G197" s="6" t="str">
        <v>Chyron Corp</v>
      </c>
      <c r="H197" s="6" t="str">
        <v>Measuring, Medical, Photo Equipment; Clocks</v>
      </c>
      <c r="I197" s="6" t="str">
        <v>171605</v>
      </c>
      <c r="J197" s="6" t="str">
        <v>Interpublic Group of Cos Inc</v>
      </c>
      <c r="K197" s="6" t="str">
        <v>MWW Group Inc</v>
      </c>
      <c r="L197" s="7">
        <f>=DATE(2000,11,29)</f>
        <v>36858.99949074074</v>
      </c>
      <c r="M197" s="7">
        <f>=DATE(2000,11,29)</f>
        <v>36858.99949074074</v>
      </c>
      <c r="N197" s="8">
        <v>6</v>
      </c>
      <c r="O197" s="8">
        <v>6</v>
      </c>
      <c r="P197" s="8" t="str">
        <v>71.95</v>
      </c>
      <c r="R197" s="8">
        <v>-8.3</v>
      </c>
      <c r="S197" s="8">
        <v>57.5</v>
      </c>
      <c r="T197" s="8">
        <v>15.9</v>
      </c>
      <c r="U197" s="8">
        <v>-0.4</v>
      </c>
      <c r="V197" s="8">
        <v>-3.5</v>
      </c>
      <c r="W197" s="6" t="str">
        <v>Operating Systems;Internet Services &amp; Software;Computer Consulting Services;Monitors/Terminals;Applications Software(Business;Other Peripherals</v>
      </c>
      <c r="X197" s="6" t="str">
        <v>Other Telecommunications Equip;CAD/CAM/CAE/Graphics Systems;Telecommunications Equipment</v>
      </c>
      <c r="Y197" s="6" t="str">
        <v>Primary Business not Hi-Tech</v>
      </c>
      <c r="Z197" s="6" t="str">
        <v>Internet Services &amp; Software;Primary Business not Hi-Tech;Computer Consulting Services</v>
      </c>
      <c r="AA197" s="6" t="str">
        <v>Other Peripherals;Applications Software(Business;Internet Services &amp; Software;Operating Systems;Computer Consulting Services;Monitors/Terminals</v>
      </c>
      <c r="AB197" s="6" t="str">
        <v>Internet Services &amp; Software;Monitors/Terminals;Other Peripherals;Applications Software(Business;Computer Consulting Services;Operating Systems</v>
      </c>
      <c r="AC197" s="8">
        <v>6</v>
      </c>
      <c r="AD197" s="7">
        <f>=DATE(2000,12,8)</f>
        <v>36867.99949074074</v>
      </c>
      <c r="AE197" s="8">
        <v>68.748017034</v>
      </c>
      <c r="AF197" s="8" t="str">
        <v>71.95</v>
      </c>
      <c r="AG197" s="8" t="str">
        <v>71.95</v>
      </c>
      <c r="AH197" s="8" t="str">
        <v>68.75</v>
      </c>
      <c r="AI197" s="8" t="str">
        <v>68.75</v>
      </c>
      <c r="AL197" s="8">
        <v>6</v>
      </c>
    </row>
    <row r="198">
      <c r="A198" s="6" t="str">
        <v>594918</v>
      </c>
      <c r="B198" s="6" t="str">
        <v>United States</v>
      </c>
      <c r="C198" s="6" t="str">
        <v>Microsoft Corp</v>
      </c>
      <c r="D198" s="6" t="str">
        <v>Microsoft Corp</v>
      </c>
      <c r="F198" s="6" t="str">
        <v>United States</v>
      </c>
      <c r="G198" s="6" t="str">
        <v>Digital Anvil</v>
      </c>
      <c r="H198" s="6" t="str">
        <v>Prepackaged Software</v>
      </c>
      <c r="I198" s="6" t="str">
        <v>25382K</v>
      </c>
      <c r="J198" s="6" t="str">
        <v>Digital Anvil</v>
      </c>
      <c r="K198" s="6" t="str">
        <v>Digital Anvil</v>
      </c>
      <c r="L198" s="7">
        <f>=DATE(2000,12,5)</f>
        <v>36864.99949074074</v>
      </c>
      <c r="W198" s="6" t="str">
        <v>Monitors/Terminals;Computer Consulting Services;Operating Systems;Applications Software(Business;Internet Services &amp; Software;Other Peripherals</v>
      </c>
      <c r="X198" s="6" t="str">
        <v>Other Software (inq. Games)</v>
      </c>
      <c r="Y198" s="6" t="str">
        <v>Other Software (inq. Games)</v>
      </c>
      <c r="Z198" s="6" t="str">
        <v>Other Software (inq. Games)</v>
      </c>
      <c r="AA198" s="6" t="str">
        <v>Operating Systems;Internet Services &amp; Software;Other Peripherals;Monitors/Terminals;Applications Software(Business;Computer Consulting Services</v>
      </c>
      <c r="AB198" s="6" t="str">
        <v>Other Peripherals;Internet Services &amp; Software;Computer Consulting Services;Operating Systems;Monitors/Terminals;Applications Software(Business</v>
      </c>
    </row>
    <row r="199">
      <c r="A199" s="6" t="str">
        <v>84764M</v>
      </c>
      <c r="B199" s="6" t="str">
        <v>United States</v>
      </c>
      <c r="C199" s="6" t="str">
        <v>SpeechWorks International Inc</v>
      </c>
      <c r="D199" s="6" t="str">
        <v>SpeechWorks International Inc</v>
      </c>
      <c r="F199" s="6" t="str">
        <v>United States</v>
      </c>
      <c r="G199" s="6" t="str">
        <v>Eloquent Technology Inc</v>
      </c>
      <c r="H199" s="6" t="str">
        <v>Prepackaged Software</v>
      </c>
      <c r="I199" s="6" t="str">
        <v>29017J</v>
      </c>
      <c r="J199" s="6" t="str">
        <v>Eloquent Technology Inc</v>
      </c>
      <c r="K199" s="6" t="str">
        <v>Eloquent Technology Inc</v>
      </c>
      <c r="L199" s="7">
        <f>=DATE(2000,12,21)</f>
        <v>36880.99949074074</v>
      </c>
      <c r="M199" s="7">
        <f>=DATE(2001,1,5)</f>
        <v>36895.99949074074</v>
      </c>
      <c r="N199" s="8">
        <v>13.425</v>
      </c>
      <c r="O199" s="8">
        <v>16.9125</v>
      </c>
      <c r="W199" s="6" t="str">
        <v>Programming Services;Applications Software(Business;Communication/Network Software</v>
      </c>
      <c r="X199" s="6" t="str">
        <v>Programming Services;Other Software (inq. Games)</v>
      </c>
      <c r="Y199" s="6" t="str">
        <v>Other Software (inq. Games);Programming Services</v>
      </c>
      <c r="Z199" s="6" t="str">
        <v>Other Software (inq. Games);Programming Services</v>
      </c>
      <c r="AA199" s="6" t="str">
        <v>Programming Services;Communication/Network Software;Applications Software(Business</v>
      </c>
      <c r="AB199" s="6" t="str">
        <v>Programming Services;Communication/Network Software;Applications Software(Business</v>
      </c>
      <c r="AC199" s="8">
        <v>16.9125</v>
      </c>
      <c r="AD199" s="7">
        <f>=DATE(2000,12,21)</f>
        <v>36880.99949074074</v>
      </c>
      <c r="AL199" s="8">
        <v>16.9125</v>
      </c>
    </row>
    <row r="200">
      <c r="A200" s="6" t="str">
        <v>594918</v>
      </c>
      <c r="B200" s="6" t="str">
        <v>United States</v>
      </c>
      <c r="C200" s="6" t="str">
        <v>Microsoft Corp</v>
      </c>
      <c r="D200" s="6" t="str">
        <v>Microsoft Corp</v>
      </c>
      <c r="F200" s="6" t="str">
        <v>United States</v>
      </c>
      <c r="G200" s="6" t="str">
        <v>Great Plains Software Inc</v>
      </c>
      <c r="H200" s="6" t="str">
        <v>Prepackaged Software</v>
      </c>
      <c r="I200" s="6" t="str">
        <v>39119E</v>
      </c>
      <c r="J200" s="6" t="str">
        <v>Great Plains Software Inc</v>
      </c>
      <c r="K200" s="6" t="str">
        <v>Great Plains Software Inc</v>
      </c>
      <c r="L200" s="7">
        <f>=DATE(2000,12,21)</f>
        <v>36880.99949074074</v>
      </c>
      <c r="M200" s="7">
        <f>=DATE(2001,4,5)</f>
        <v>36985.99949074074</v>
      </c>
      <c r="N200" s="8">
        <v>1146.692</v>
      </c>
      <c r="O200" s="8">
        <v>939.884</v>
      </c>
      <c r="P200" s="8" t="str">
        <v>910.97</v>
      </c>
      <c r="R200" s="8">
        <v>-20.8</v>
      </c>
      <c r="S200" s="8">
        <v>222.2</v>
      </c>
      <c r="T200" s="8">
        <v>4.4</v>
      </c>
      <c r="U200" s="8">
        <v>-19.8</v>
      </c>
      <c r="V200" s="8">
        <v>23.2</v>
      </c>
      <c r="W200" s="6" t="str">
        <v>Computer Consulting Services;Internet Services &amp; Software;Applications Software(Business;Monitors/Terminals;Operating Systems;Other Peripherals</v>
      </c>
      <c r="X200" s="6" t="str">
        <v>Applications Software(Business;Other Software (inq. Games)</v>
      </c>
      <c r="Y200" s="6" t="str">
        <v>Applications Software(Business;Other Software (inq. Games)</v>
      </c>
      <c r="Z200" s="6" t="str">
        <v>Other Software (inq. Games);Applications Software(Business</v>
      </c>
      <c r="AA200" s="6" t="str">
        <v>Operating Systems;Internet Services &amp; Software;Other Peripherals;Computer Consulting Services;Applications Software(Business;Monitors/Terminals</v>
      </c>
      <c r="AB200" s="6" t="str">
        <v>Computer Consulting Services;Operating Systems;Monitors/Terminals;Other Peripherals;Internet Services &amp; Software;Applications Software(Business</v>
      </c>
      <c r="AC200" s="8">
        <v>939.884</v>
      </c>
      <c r="AD200" s="7">
        <f>=DATE(2000,12,21)</f>
        <v>36880.99949074074</v>
      </c>
      <c r="AE200" s="8">
        <v>976.6262396</v>
      </c>
      <c r="AF200" s="8" t="str">
        <v>910.98</v>
      </c>
      <c r="AG200" s="8" t="str">
        <v>1,117.78</v>
      </c>
      <c r="AH200" s="8" t="str">
        <v>1,146.68</v>
      </c>
      <c r="AI200" s="8" t="str">
        <v>939.88</v>
      </c>
      <c r="AL200" s="8">
        <v>939.884</v>
      </c>
    </row>
    <row r="201">
      <c r="A201" s="6" t="str">
        <v>591610</v>
      </c>
      <c r="B201" s="6" t="str">
        <v>United States</v>
      </c>
      <c r="C201" s="6" t="str">
        <v>Metro-Goldwyn-Mayer Inc</v>
      </c>
      <c r="D201" s="6" t="str">
        <v>Metro-Goldwyn-Mayer Inc</v>
      </c>
      <c r="F201" s="6" t="str">
        <v>United States</v>
      </c>
      <c r="G201" s="6" t="str">
        <v>Rainbow Media Corp (Cablevision Systems Corp)</v>
      </c>
      <c r="H201" s="6" t="str">
        <v>Radio and Television Broadcasting Stations</v>
      </c>
      <c r="I201" s="6" t="str">
        <v>750813</v>
      </c>
      <c r="J201" s="6" t="str">
        <v>Cablevision Systems Corp</v>
      </c>
      <c r="K201" s="6" t="str">
        <v>Cablevision Systems Corp</v>
      </c>
      <c r="L201" s="7">
        <f>=DATE(2001,2,1)</f>
        <v>36922.99949074074</v>
      </c>
      <c r="M201" s="7">
        <f>=DATE(2001,4,3)</f>
        <v>36983.99949074074</v>
      </c>
      <c r="N201" s="8">
        <v>825</v>
      </c>
      <c r="O201" s="8">
        <v>825</v>
      </c>
      <c r="W201" s="6" t="str">
        <v>Primary Business not Hi-Tech</v>
      </c>
      <c r="X201" s="6" t="str">
        <v>Satellite Communications</v>
      </c>
      <c r="Y201" s="6" t="str">
        <v>Networking Systems (LAN,WAN);Cellular Communications;Internet Services &amp; Software;Satellite Communications</v>
      </c>
      <c r="Z201" s="6" t="str">
        <v>Satellite Communications;Cellular Communications;Internet Services &amp; Software;Networking Systems (LAN,WAN)</v>
      </c>
      <c r="AA201" s="6" t="str">
        <v>Primary Business not Hi-Tech</v>
      </c>
      <c r="AB201" s="6" t="str">
        <v>Primary Business not Hi-Tech</v>
      </c>
      <c r="AC201" s="8">
        <v>825</v>
      </c>
      <c r="AD201" s="7">
        <f>=DATE(2001,2,1)</f>
        <v>36922.99949074074</v>
      </c>
      <c r="AF201" s="8" t="str">
        <v>4,125.00</v>
      </c>
      <c r="AG201" s="8" t="str">
        <v>4,125.00</v>
      </c>
      <c r="AH201" s="8" t="str">
        <v>4,125.00</v>
      </c>
      <c r="AI201" s="8" t="str">
        <v>4,125.00</v>
      </c>
      <c r="AL201" s="8">
        <v>825</v>
      </c>
    </row>
    <row r="202">
      <c r="A202" s="6" t="str">
        <v>594918</v>
      </c>
      <c r="B202" s="6" t="str">
        <v>United States</v>
      </c>
      <c r="C202" s="6" t="str">
        <v>Microsoft Corp</v>
      </c>
      <c r="D202" s="6" t="str">
        <v>Microsoft Corp</v>
      </c>
      <c r="F202" s="6" t="str">
        <v>United States</v>
      </c>
      <c r="G202" s="6" t="str">
        <v>Audible Inc</v>
      </c>
      <c r="H202" s="6" t="str">
        <v>Business Services</v>
      </c>
      <c r="I202" s="6" t="str">
        <v>05069A</v>
      </c>
      <c r="J202" s="6" t="str">
        <v>Audible Inc</v>
      </c>
      <c r="K202" s="6" t="str">
        <v>Audible Inc</v>
      </c>
      <c r="L202" s="7">
        <f>=DATE(2001,2,12)</f>
        <v>36933.99949074074</v>
      </c>
      <c r="M202" s="7">
        <f>=DATE(2001,2,12)</f>
        <v>36933.99949074074</v>
      </c>
      <c r="N202" s="8">
        <v>10</v>
      </c>
      <c r="O202" s="8">
        <v>10</v>
      </c>
      <c r="R202" s="8">
        <v>-32.3</v>
      </c>
      <c r="S202" s="8">
        <v>4.5</v>
      </c>
      <c r="T202" s="8">
        <v>0.9</v>
      </c>
      <c r="U202" s="8">
        <v>19.8</v>
      </c>
      <c r="V202" s="8">
        <v>-18.6</v>
      </c>
      <c r="W202" s="6" t="str">
        <v>Monitors/Terminals;Internet Services &amp; Software;Computer Consulting Services;Other Peripherals;Operating Systems;Applications Software(Business</v>
      </c>
      <c r="X202" s="6" t="str">
        <v>Internet Services &amp; Software</v>
      </c>
      <c r="Y202" s="6" t="str">
        <v>Internet Services &amp; Software</v>
      </c>
      <c r="Z202" s="6" t="str">
        <v>Internet Services &amp; Software</v>
      </c>
      <c r="AA202" s="6" t="str">
        <v>Monitors/Terminals;Applications Software(Business;Internet Services &amp; Software;Other Peripherals;Computer Consulting Services;Operating Systems</v>
      </c>
      <c r="AB202" s="6" t="str">
        <v>Computer Consulting Services;Applications Software(Business;Internet Services &amp; Software;Other Peripherals;Operating Systems;Monitors/Terminals</v>
      </c>
      <c r="AC202" s="8">
        <v>10</v>
      </c>
      <c r="AD202" s="7">
        <f>=DATE(2001,2,12)</f>
        <v>36933.99949074074</v>
      </c>
      <c r="AL202" s="8">
        <v>10</v>
      </c>
    </row>
    <row r="203">
      <c r="A203" s="6" t="str">
        <v>38259P</v>
      </c>
      <c r="B203" s="6" t="str">
        <v>United States</v>
      </c>
      <c r="C203" s="6" t="str">
        <v>Google Inc</v>
      </c>
      <c r="D203" s="6" t="str">
        <v>Alphabet Inc</v>
      </c>
      <c r="F203" s="6" t="str">
        <v>United States</v>
      </c>
      <c r="G203" s="6" t="str">
        <v>Deja.com Inc-Usenet Discussion Service</v>
      </c>
      <c r="H203" s="6" t="str">
        <v>Business Services</v>
      </c>
      <c r="I203" s="6" t="str">
        <v>24483H</v>
      </c>
      <c r="J203" s="6" t="str">
        <v>Deja.com Inc</v>
      </c>
      <c r="K203" s="6" t="str">
        <v>Deja.com Inc</v>
      </c>
      <c r="L203" s="7">
        <f>=DATE(2001,2,12)</f>
        <v>36933.99949074074</v>
      </c>
      <c r="M203" s="7">
        <f>=DATE(2001,2,12)</f>
        <v>36933.99949074074</v>
      </c>
      <c r="W203" s="6" t="str">
        <v>Internet Services &amp; Software</v>
      </c>
      <c r="X203" s="6" t="str">
        <v>Internet Services &amp; Software</v>
      </c>
      <c r="Y203" s="6" t="str">
        <v>Internet Services &amp; Software</v>
      </c>
      <c r="Z203" s="6" t="str">
        <v>Internet Services &amp; Software</v>
      </c>
      <c r="AA203" s="6" t="str">
        <v>Programming Services;Telecommunications Equipment;Primary Business not Hi-Tech;Internet Services &amp; Software;Computer Consulting Services</v>
      </c>
      <c r="AB203" s="6" t="str">
        <v>Programming Services;Internet Services &amp; Software;Primary Business not Hi-Tech;Computer Consulting Services;Telecommunications Equipment</v>
      </c>
    </row>
    <row r="204">
      <c r="A204" s="6" t="str">
        <v>30262G</v>
      </c>
      <c r="B204" s="6" t="str">
        <v>United States</v>
      </c>
      <c r="C204" s="6" t="str">
        <v>FRx Software Corp(Great Software Inc)</v>
      </c>
      <c r="D204" s="6" t="str">
        <v>Great Plains Software Inc</v>
      </c>
      <c r="F204" s="6" t="str">
        <v>United States</v>
      </c>
      <c r="G204" s="6" t="str">
        <v>ebudgets.com</v>
      </c>
      <c r="H204" s="6" t="str">
        <v>Prepackaged Software</v>
      </c>
      <c r="I204" s="6" t="str">
        <v>27899T</v>
      </c>
      <c r="J204" s="6" t="str">
        <v>ebudgets.com</v>
      </c>
      <c r="K204" s="6" t="str">
        <v>ebudgets.com</v>
      </c>
      <c r="L204" s="7">
        <f>=DATE(2001,3,14)</f>
        <v>36963.99949074074</v>
      </c>
      <c r="M204" s="7">
        <f>=DATE(2001,3,30)</f>
        <v>36979.99949074074</v>
      </c>
      <c r="W204" s="6" t="str">
        <v>Other Computer Related Svcs;Applications Software(Business;Other Software (inq. Games)</v>
      </c>
      <c r="X204" s="6" t="str">
        <v>Internet Services &amp; Software;Communication/Network Software</v>
      </c>
      <c r="Y204" s="6" t="str">
        <v>Communication/Network Software;Internet Services &amp; Software</v>
      </c>
      <c r="Z204" s="6" t="str">
        <v>Internet Services &amp; Software;Communication/Network Software</v>
      </c>
      <c r="AA204" s="6" t="str">
        <v>Other Software (inq. Games);Applications Software(Business</v>
      </c>
      <c r="AB204" s="6" t="str">
        <v>Other Software (inq. Games);Applications Software(Business</v>
      </c>
    </row>
    <row r="205">
      <c r="A205" s="6" t="str">
        <v>037833</v>
      </c>
      <c r="B205" s="6" t="str">
        <v>United States</v>
      </c>
      <c r="C205" s="6" t="str">
        <v>Apple Computer Inc</v>
      </c>
      <c r="D205" s="6" t="str">
        <v>Apple Computer Inc</v>
      </c>
      <c r="F205" s="6" t="str">
        <v>United States</v>
      </c>
      <c r="G205" s="6" t="str">
        <v>PowerSchool Inc</v>
      </c>
      <c r="H205" s="6" t="str">
        <v>Business Services</v>
      </c>
      <c r="I205" s="6" t="str">
        <v>73959W</v>
      </c>
      <c r="J205" s="6" t="str">
        <v>PowerSchool Inc</v>
      </c>
      <c r="K205" s="6" t="str">
        <v>PowerSchool Inc</v>
      </c>
      <c r="L205" s="7">
        <f>=DATE(2001,3,14)</f>
        <v>36963.99949074074</v>
      </c>
      <c r="M205" s="7">
        <f>=DATE(2001,12,31)</f>
        <v>37255.99949074074</v>
      </c>
      <c r="N205" s="8">
        <v>62</v>
      </c>
      <c r="O205" s="8">
        <v>62</v>
      </c>
      <c r="W205" s="6" t="str">
        <v>Micro-Computers (PCs);Mainframes &amp; Super Computers;Disk Drives;Printers;Other Software (inq. Games);Portable Computers;Monitors/Terminals;Other Peripherals</v>
      </c>
      <c r="X205" s="6" t="str">
        <v>Internet Services &amp; Software;Communication/Network Software</v>
      </c>
      <c r="Y205" s="6" t="str">
        <v>Communication/Network Software;Internet Services &amp; Software</v>
      </c>
      <c r="Z205" s="6" t="str">
        <v>Communication/Network Software;Internet Services &amp; Software</v>
      </c>
      <c r="AA205" s="6" t="str">
        <v>Mainframes &amp; Super Computers;Other Software (inq. Games);Printers;Other Peripherals;Disk Drives;Portable Computers;Micro-Computers (PCs);Monitors/Terminals</v>
      </c>
      <c r="AB205" s="6" t="str">
        <v>Other Peripherals;Portable Computers;Mainframes &amp; Super Computers;Micro-Computers (PCs);Disk Drives;Monitors/Terminals;Printers;Other Software (inq. Games)</v>
      </c>
      <c r="AC205" s="8">
        <v>62</v>
      </c>
      <c r="AD205" s="7">
        <f>=DATE(2001,3,14)</f>
        <v>36963.99949074074</v>
      </c>
      <c r="AL205" s="8">
        <v>62</v>
      </c>
    </row>
    <row r="206">
      <c r="A206" s="6" t="str">
        <v>59530F</v>
      </c>
      <c r="B206" s="6" t="str">
        <v>United States</v>
      </c>
      <c r="C206" s="6" t="str">
        <v>Microsoft Great Plains Business Solutions</v>
      </c>
      <c r="D206" s="6" t="str">
        <v>Microsoft Corp</v>
      </c>
      <c r="F206" s="6" t="str">
        <v>Canada</v>
      </c>
      <c r="G206" s="6" t="str">
        <v>Intellisol International Inc- Canadian Payroll Module</v>
      </c>
      <c r="H206" s="6" t="str">
        <v>Prepackaged Software</v>
      </c>
      <c r="I206" s="6" t="str">
        <v>45992W</v>
      </c>
      <c r="J206" s="6" t="str">
        <v>Intellisol International Inc</v>
      </c>
      <c r="K206" s="6" t="str">
        <v>Intellisol International Inc</v>
      </c>
      <c r="L206" s="7">
        <f>=DATE(2001,4,25)</f>
        <v>37005.99949074074</v>
      </c>
      <c r="M206" s="7">
        <f>=DATE(2001,5,2)</f>
        <v>37012.99949074074</v>
      </c>
      <c r="W206" s="6" t="str">
        <v>Other Software (inq. Games);Applications Software(Business</v>
      </c>
      <c r="X206" s="6" t="str">
        <v>Applications Software(Business</v>
      </c>
      <c r="Y206" s="6" t="str">
        <v>Internet Services &amp; Software;Applications Software(Business</v>
      </c>
      <c r="Z206" s="6" t="str">
        <v>Applications Software(Business;Internet Services &amp; Software</v>
      </c>
      <c r="AA206" s="6" t="str">
        <v>Applications Software(Business;Internet Services &amp; Software;Other Peripherals;Monitors/Terminals;Computer Consulting Services;Operating Systems</v>
      </c>
      <c r="AB206" s="6" t="str">
        <v>Monitors/Terminals;Operating Systems;Computer Consulting Services;Applications Software(Business;Internet Services &amp; Software;Other Peripherals</v>
      </c>
    </row>
    <row r="207">
      <c r="A207" s="6" t="str">
        <v>594918</v>
      </c>
      <c r="B207" s="6" t="str">
        <v>United States</v>
      </c>
      <c r="C207" s="6" t="str">
        <v>Microsoft Corp</v>
      </c>
      <c r="D207" s="6" t="str">
        <v>Microsoft Corp</v>
      </c>
      <c r="F207" s="6" t="str">
        <v>Canada</v>
      </c>
      <c r="G207" s="6" t="str">
        <v>NCompass Labs Inc</v>
      </c>
      <c r="H207" s="6" t="str">
        <v>Prepackaged Software</v>
      </c>
      <c r="I207" s="6" t="str">
        <v>62900A</v>
      </c>
      <c r="J207" s="6" t="str">
        <v>NCompass Labs Inc</v>
      </c>
      <c r="K207" s="6" t="str">
        <v>NCompass Labs Inc</v>
      </c>
      <c r="L207" s="7">
        <f>=DATE(2001,5,1)</f>
        <v>37011.99949074074</v>
      </c>
      <c r="M207" s="7">
        <f>=DATE(2001,5,31)</f>
        <v>37041.99949074074</v>
      </c>
      <c r="N207" s="8">
        <v>36.0581183216054</v>
      </c>
      <c r="O207" s="8">
        <v>36.0581183216054</v>
      </c>
      <c r="S207" s="8">
        <v>4.00276720857835</v>
      </c>
      <c r="W207" s="6" t="str">
        <v>Applications Software(Business;Computer Consulting Services;Operating Systems;Monitors/Terminals;Internet Services &amp; Software;Other Peripherals</v>
      </c>
      <c r="X207" s="6" t="str">
        <v>Communication/Network Software;Internet Services &amp; Software</v>
      </c>
      <c r="Y207" s="6" t="str">
        <v>Communication/Network Software;Internet Services &amp; Software</v>
      </c>
      <c r="Z207" s="6" t="str">
        <v>Communication/Network Software;Internet Services &amp; Software</v>
      </c>
      <c r="AA207" s="6" t="str">
        <v>Internet Services &amp; Software;Other Peripherals;Operating Systems;Monitors/Terminals;Applications Software(Business;Computer Consulting Services</v>
      </c>
      <c r="AB207" s="6" t="str">
        <v>Other Peripherals;Monitors/Terminals;Computer Consulting Services;Applications Software(Business;Internet Services &amp; Software;Operating Systems</v>
      </c>
      <c r="AC207" s="8">
        <v>36.0581183216054</v>
      </c>
      <c r="AD207" s="7">
        <f>=DATE(2001,5,1)</f>
        <v>37011.99949074074</v>
      </c>
      <c r="AL207" s="8">
        <v>36.0581183216054</v>
      </c>
    </row>
    <row r="208">
      <c r="A208" s="6" t="str">
        <v>594918</v>
      </c>
      <c r="B208" s="6" t="str">
        <v>United States</v>
      </c>
      <c r="C208" s="6" t="str">
        <v>Microsoft Corp</v>
      </c>
      <c r="D208" s="6" t="str">
        <v>Microsoft Corp</v>
      </c>
      <c r="F208" s="6" t="str">
        <v>United States</v>
      </c>
      <c r="G208" s="6" t="str">
        <v>Ensemble Studios</v>
      </c>
      <c r="H208" s="6" t="str">
        <v>Prepackaged Software</v>
      </c>
      <c r="I208" s="6" t="str">
        <v>29418Z</v>
      </c>
      <c r="J208" s="6" t="str">
        <v>Ensemble Studios</v>
      </c>
      <c r="K208" s="6" t="str">
        <v>Ensemble Studios</v>
      </c>
      <c r="L208" s="7">
        <f>=DATE(2001,5,3)</f>
        <v>37013.99949074074</v>
      </c>
      <c r="W208" s="6" t="str">
        <v>Computer Consulting Services;Monitors/Terminals;Applications Software(Business;Operating Systems;Other Peripherals;Internet Services &amp; Software</v>
      </c>
      <c r="X208" s="6" t="str">
        <v>Other Software (inq. Games)</v>
      </c>
      <c r="Y208" s="6" t="str">
        <v>Other Software (inq. Games)</v>
      </c>
      <c r="Z208" s="6" t="str">
        <v>Other Software (inq. Games)</v>
      </c>
      <c r="AA208" s="6" t="str">
        <v>Computer Consulting Services;Internet Services &amp; Software;Other Peripherals;Operating Systems;Monitors/Terminals;Applications Software(Business</v>
      </c>
      <c r="AB208" s="6" t="str">
        <v>Other Peripherals;Operating Systems;Computer Consulting Services;Applications Software(Business;Internet Services &amp; Software;Monitors/Terminals</v>
      </c>
    </row>
    <row r="209">
      <c r="A209" s="6" t="str">
        <v>59530F</v>
      </c>
      <c r="B209" s="6" t="str">
        <v>United States</v>
      </c>
      <c r="C209" s="6" t="str">
        <v>Microsoft Great Plains Business Solutions</v>
      </c>
      <c r="D209" s="6" t="str">
        <v>Microsoft Corp</v>
      </c>
      <c r="F209" s="6" t="str">
        <v>United States</v>
      </c>
      <c r="G209" s="6" t="str">
        <v>CEP Systems Inc-Certain Assets</v>
      </c>
      <c r="H209" s="6" t="str">
        <v>Prepackaged Software</v>
      </c>
      <c r="I209" s="6" t="str">
        <v>12754K</v>
      </c>
      <c r="J209" s="6" t="str">
        <v>CEP Systems Inc</v>
      </c>
      <c r="K209" s="6" t="str">
        <v>CEP Systems Inc</v>
      </c>
      <c r="L209" s="7">
        <f>=DATE(2001,5,7)</f>
        <v>37017.99949074074</v>
      </c>
      <c r="M209" s="7">
        <f>=DATE(2001,5,7)</f>
        <v>37017.99949074074</v>
      </c>
      <c r="W209" s="6" t="str">
        <v>Other Software (inq. Games);Applications Software(Business</v>
      </c>
      <c r="X209" s="6" t="str">
        <v>Other Software (inq. Games)</v>
      </c>
      <c r="Y209" s="6" t="str">
        <v>Other Software (inq. Games)</v>
      </c>
      <c r="Z209" s="6" t="str">
        <v>Other Software (inq. Games)</v>
      </c>
      <c r="AA209" s="6" t="str">
        <v>Operating Systems;Applications Software(Business;Computer Consulting Services;Monitors/Terminals;Other Peripherals;Internet Services &amp; Software</v>
      </c>
      <c r="AB209" s="6" t="str">
        <v>Monitors/Terminals;Applications Software(Business;Computer Consulting Services;Other Peripherals;Operating Systems;Internet Services &amp; Software</v>
      </c>
    </row>
    <row r="210">
      <c r="A210" s="6" t="str">
        <v>64120Z</v>
      </c>
      <c r="B210" s="6" t="str">
        <v>United States</v>
      </c>
      <c r="C210" s="6" t="str">
        <v>Network Innovations Corp (Apple Computer Inc)</v>
      </c>
      <c r="D210" s="6" t="str">
        <v>Apple Computer Inc</v>
      </c>
      <c r="F210" s="6" t="str">
        <v>United States</v>
      </c>
      <c r="G210" s="6" t="str">
        <v>bluebuzz.com Inc</v>
      </c>
      <c r="H210" s="6" t="str">
        <v>Business Services</v>
      </c>
      <c r="I210" s="6" t="str">
        <v>09610F</v>
      </c>
      <c r="J210" s="6" t="str">
        <v>bluebuzz.com Inc</v>
      </c>
      <c r="K210" s="6" t="str">
        <v>bluebuzz.com Inc</v>
      </c>
      <c r="L210" s="7">
        <f>=DATE(2001,5,11)</f>
        <v>37021.99949074074</v>
      </c>
      <c r="M210" s="7">
        <f>=DATE(2001,5,11)</f>
        <v>37021.99949074074</v>
      </c>
      <c r="W210" s="6" t="str">
        <v>Other Software (inq. Games)</v>
      </c>
      <c r="X210" s="6" t="str">
        <v>Communication/Network Software;Internet Services &amp; Software</v>
      </c>
      <c r="Y210" s="6" t="str">
        <v>Communication/Network Software;Internet Services &amp; Software</v>
      </c>
      <c r="Z210" s="6" t="str">
        <v>Internet Services &amp; Software;Communication/Network Software</v>
      </c>
      <c r="AA210" s="6" t="str">
        <v>Micro-Computers (PCs);Mainframes &amp; Super Computers;Portable Computers;Printers;Other Software (inq. Games);Disk Drives;Monitors/Terminals;Other Peripherals</v>
      </c>
      <c r="AB210" s="6" t="str">
        <v>Mainframes &amp; Super Computers;Portable Computers;Printers;Monitors/Terminals;Disk Drives;Other Software (inq. Games);Other Peripherals;Micro-Computers (PCs)</v>
      </c>
    </row>
    <row r="211">
      <c r="A211" s="6" t="str">
        <v>87914H</v>
      </c>
      <c r="B211" s="6" t="str">
        <v>United States</v>
      </c>
      <c r="C211" s="6" t="str">
        <v>Tellme Networks Inc</v>
      </c>
      <c r="D211" s="6" t="str">
        <v>Tellme Networks Inc</v>
      </c>
      <c r="F211" s="6" t="str">
        <v>Belgium</v>
      </c>
      <c r="G211" s="6" t="str">
        <v>MagicPhone</v>
      </c>
      <c r="H211" s="6" t="str">
        <v>Business Services</v>
      </c>
      <c r="I211" s="6" t="str">
        <v>55924C</v>
      </c>
      <c r="J211" s="6" t="str">
        <v>MagicPhone</v>
      </c>
      <c r="K211" s="6" t="str">
        <v>MagicPhone</v>
      </c>
      <c r="L211" s="7">
        <f>=DATE(2001,5,13)</f>
        <v>37023.99949074074</v>
      </c>
      <c r="M211" s="7">
        <f>=DATE(2001,5,13)</f>
        <v>37023.99949074074</v>
      </c>
      <c r="W211" s="6" t="str">
        <v>Other Software (inq. Games);Applications Software(Business;Communication/Network Software;Internet Services &amp; Software</v>
      </c>
      <c r="X211" s="6" t="str">
        <v>Internet Services &amp; Software;Other Telecommunications Equip</v>
      </c>
      <c r="Y211" s="6" t="str">
        <v>Other Telecommunications Equip;Internet Services &amp; Software</v>
      </c>
      <c r="Z211" s="6" t="str">
        <v>Internet Services &amp; Software;Other Telecommunications Equip</v>
      </c>
      <c r="AA211" s="6" t="str">
        <v>Communication/Network Software;Applications Software(Business;Internet Services &amp; Software;Other Software (inq. Games)</v>
      </c>
      <c r="AB211" s="6" t="str">
        <v>Other Software (inq. Games);Communication/Network Software;Internet Services &amp; Software;Applications Software(Business</v>
      </c>
    </row>
    <row r="212">
      <c r="A212" s="6" t="str">
        <v>594918</v>
      </c>
      <c r="B212" s="6" t="str">
        <v>United States</v>
      </c>
      <c r="C212" s="6" t="str">
        <v>Microsoft Corp</v>
      </c>
      <c r="D212" s="6" t="str">
        <v>Microsoft Corp</v>
      </c>
      <c r="F212" s="6" t="str">
        <v>Israel</v>
      </c>
      <c r="G212" s="6" t="str">
        <v>Maximal Innovative Intelligence</v>
      </c>
      <c r="H212" s="6" t="str">
        <v>Prepackaged Software</v>
      </c>
      <c r="I212" s="6" t="str">
        <v>57801K</v>
      </c>
      <c r="J212" s="6" t="str">
        <v>Maximal Innovative Intelligence</v>
      </c>
      <c r="K212" s="6" t="str">
        <v>Maximal Innovative Intelligence</v>
      </c>
      <c r="L212" s="7">
        <f>=DATE(2001,6,21)</f>
        <v>37062.99949074074</v>
      </c>
      <c r="M212" s="7">
        <f>=DATE(2001,6,21)</f>
        <v>37062.99949074074</v>
      </c>
      <c r="N212" s="8">
        <v>20.0504201680672</v>
      </c>
      <c r="O212" s="8">
        <v>20.0504201680672</v>
      </c>
      <c r="W212" s="6" t="str">
        <v>Operating Systems;Internet Services &amp; Software;Monitors/Terminals;Applications Software(Business;Other Peripherals;Computer Consulting Services</v>
      </c>
      <c r="X212" s="6" t="str">
        <v>Other Software (inq. Games)</v>
      </c>
      <c r="Y212" s="6" t="str">
        <v>Other Software (inq. Games)</v>
      </c>
      <c r="Z212" s="6" t="str">
        <v>Other Software (inq. Games)</v>
      </c>
      <c r="AA212" s="6" t="str">
        <v>Monitors/Terminals;Applications Software(Business;Operating Systems;Other Peripherals;Internet Services &amp; Software;Computer Consulting Services</v>
      </c>
      <c r="AB212" s="6" t="str">
        <v>Operating Systems;Other Peripherals;Computer Consulting Services;Internet Services &amp; Software;Applications Software(Business;Monitors/Terminals</v>
      </c>
      <c r="AC212" s="8">
        <v>20.0504201680672</v>
      </c>
      <c r="AD212" s="7">
        <f>=DATE(2001,6,21)</f>
        <v>37062.99949074074</v>
      </c>
      <c r="AL212" s="8">
        <v>20.0504201680672</v>
      </c>
    </row>
    <row r="213">
      <c r="A213" s="6" t="str">
        <v>594918</v>
      </c>
      <c r="B213" s="6" t="str">
        <v>United States</v>
      </c>
      <c r="C213" s="6" t="str">
        <v>Microsoft Corp</v>
      </c>
      <c r="D213" s="6" t="str">
        <v>Microsoft Corp</v>
      </c>
      <c r="F213" s="6" t="str">
        <v>South Korea</v>
      </c>
      <c r="G213" s="6" t="str">
        <v>Korea Telecom Corp</v>
      </c>
      <c r="H213" s="6" t="str">
        <v>Telecommunications</v>
      </c>
      <c r="I213" s="6" t="str">
        <v>50063P</v>
      </c>
      <c r="J213" s="6" t="str">
        <v>Republic Of Korea</v>
      </c>
      <c r="K213" s="6" t="str">
        <v>Republic Of Korea</v>
      </c>
      <c r="L213" s="7">
        <f>=DATE(2001,6,29)</f>
        <v>37070.99949074074</v>
      </c>
      <c r="M213" s="7">
        <f>=DATE(2002,1,3)</f>
        <v>37258.99949074074</v>
      </c>
      <c r="N213" s="8">
        <v>495.41969666641</v>
      </c>
      <c r="O213" s="8">
        <v>495.41969666641</v>
      </c>
      <c r="P213" s="8" t="str">
        <v>22,566.94</v>
      </c>
      <c r="R213" s="8">
        <v>780.847189231987</v>
      </c>
      <c r="S213" s="8">
        <v>10718.6262866192</v>
      </c>
      <c r="T213" s="8">
        <v>2242.217283</v>
      </c>
      <c r="U213" s="8">
        <v>-4328.550258</v>
      </c>
      <c r="V213" s="8">
        <v>2091.25239</v>
      </c>
      <c r="W213" s="6" t="str">
        <v>Computer Consulting Services;Internet Services &amp; Software;Other Peripherals;Applications Software(Business;Operating Systems;Monitors/Terminals</v>
      </c>
      <c r="X213" s="6" t="str">
        <v>Telecommunications Equipment</v>
      </c>
      <c r="Y213" s="6" t="str">
        <v>Primary Business not Hi-Tech</v>
      </c>
      <c r="Z213" s="6" t="str">
        <v>Primary Business not Hi-Tech</v>
      </c>
      <c r="AA213" s="6" t="str">
        <v>Applications Software(Business;Internet Services &amp; Software;Computer Consulting Services;Other Peripherals;Operating Systems;Monitors/Terminals</v>
      </c>
      <c r="AB213" s="6" t="str">
        <v>Other Peripherals;Computer Consulting Services;Operating Systems;Applications Software(Business;Monitors/Terminals;Internet Services &amp; Software</v>
      </c>
      <c r="AC213" s="8">
        <v>495.41969666641</v>
      </c>
      <c r="AD213" s="7">
        <f>=DATE(2001,12,23)</f>
        <v>37247.99949074074</v>
      </c>
      <c r="AF213" s="8" t="str">
        <v>21,145.49</v>
      </c>
      <c r="AG213" s="8" t="str">
        <v>21,069.20</v>
      </c>
      <c r="AH213" s="8" t="str">
        <v>15,577.03</v>
      </c>
      <c r="AI213" s="8" t="str">
        <v>15,633.44</v>
      </c>
      <c r="AL213" s="8">
        <v>495.41969666641</v>
      </c>
    </row>
    <row r="214">
      <c r="A214" s="6" t="str">
        <v>037833</v>
      </c>
      <c r="B214" s="6" t="str">
        <v>United States</v>
      </c>
      <c r="C214" s="6" t="str">
        <v>Apple Computer Inc</v>
      </c>
      <c r="D214" s="6" t="str">
        <v>Apple Computer Inc</v>
      </c>
      <c r="F214" s="6" t="str">
        <v>United States</v>
      </c>
      <c r="G214" s="6" t="str">
        <v>Spruce Technologies Inc(Japan Information Processing Service Co)</v>
      </c>
      <c r="H214" s="6" t="str">
        <v>Prepackaged Software</v>
      </c>
      <c r="I214" s="6" t="str">
        <v>85208C</v>
      </c>
      <c r="J214" s="6" t="str">
        <v>Japan Information Processing Service Co Ltd</v>
      </c>
      <c r="K214" s="6" t="str">
        <v>Japan Information Processing Service Co Ltd</v>
      </c>
      <c r="L214" s="7">
        <f>=DATE(2001,6,29)</f>
        <v>37070.99949074074</v>
      </c>
      <c r="M214" s="7">
        <f>=DATE(2001,7,9)</f>
        <v>37080.99949074074</v>
      </c>
      <c r="W214" s="6" t="str">
        <v>Other Peripherals;Disk Drives;Micro-Computers (PCs);Monitors/Terminals;Printers;Mainframes &amp; Super Computers;Other Software (inq. Games);Portable Computers</v>
      </c>
      <c r="X214" s="6" t="str">
        <v>Other Software (inq. Games)</v>
      </c>
      <c r="Y214" s="6" t="str">
        <v>Data Processing Services</v>
      </c>
      <c r="Z214" s="6" t="str">
        <v>Data Processing Services</v>
      </c>
      <c r="AA214" s="6" t="str">
        <v>Other Software (inq. Games);Mainframes &amp; Super Computers;Other Peripherals;Monitors/Terminals;Disk Drives;Portable Computers;Printers;Micro-Computers (PCs)</v>
      </c>
      <c r="AB214" s="6" t="str">
        <v>Other Software (inq. Games);Micro-Computers (PCs);Disk Drives;Printers;Monitors/Terminals;Mainframes &amp; Super Computers;Portable Computers;Other Peripherals</v>
      </c>
    </row>
    <row r="215">
      <c r="A215" s="6" t="str">
        <v>38259P</v>
      </c>
      <c r="B215" s="6" t="str">
        <v>United States</v>
      </c>
      <c r="C215" s="6" t="str">
        <v>Google Inc</v>
      </c>
      <c r="D215" s="6" t="str">
        <v>Alphabet Inc</v>
      </c>
      <c r="F215" s="6" t="str">
        <v>United States</v>
      </c>
      <c r="G215" s="6" t="str">
        <v>Outride Inc-Technology Assets</v>
      </c>
      <c r="H215" s="6" t="str">
        <v>Business Services</v>
      </c>
      <c r="I215" s="6" t="str">
        <v>69024T</v>
      </c>
      <c r="J215" s="6" t="str">
        <v>Outride Inc</v>
      </c>
      <c r="K215" s="6" t="str">
        <v>Outride Inc</v>
      </c>
      <c r="L215" s="7">
        <f>=DATE(2001,9,20)</f>
        <v>37153.99949074074</v>
      </c>
      <c r="M215" s="7">
        <f>=DATE(2001,9,20)</f>
        <v>37153.99949074074</v>
      </c>
      <c r="W215" s="6" t="str">
        <v>Internet Services &amp; Software</v>
      </c>
      <c r="X215" s="6" t="str">
        <v>Internet Services &amp; Software</v>
      </c>
      <c r="Y215" s="6" t="str">
        <v>Internet Services &amp; Software</v>
      </c>
      <c r="Z215" s="6" t="str">
        <v>Internet Services &amp; Software</v>
      </c>
      <c r="AA215" s="6" t="str">
        <v>Telecommunications Equipment;Programming Services;Computer Consulting Services;Internet Services &amp; Software;Primary Business not Hi-Tech</v>
      </c>
      <c r="AB215" s="6" t="str">
        <v>Internet Services &amp; Software;Telecommunications Equipment;Computer Consulting Services;Programming Services;Primary Business not Hi-Tech</v>
      </c>
    </row>
    <row r="216">
      <c r="A216" s="6" t="str">
        <v>03156X</v>
      </c>
      <c r="B216" s="6" t="str">
        <v>United States</v>
      </c>
      <c r="C216" s="6" t="str">
        <v>Amicore</v>
      </c>
      <c r="D216" s="6" t="str">
        <v>Pfizer Inc</v>
      </c>
      <c r="F216" s="6" t="str">
        <v>United States</v>
      </c>
      <c r="G216" s="6" t="str">
        <v>PenChart Corp</v>
      </c>
      <c r="H216" s="6" t="str">
        <v>Prepackaged Software</v>
      </c>
      <c r="I216" s="6" t="str">
        <v>70662K</v>
      </c>
      <c r="J216" s="6" t="str">
        <v>PenChart Corp</v>
      </c>
      <c r="K216" s="6" t="str">
        <v>PenChart Corp</v>
      </c>
      <c r="L216" s="7">
        <f>=DATE(2001,10,10)</f>
        <v>37173.99949074074</v>
      </c>
      <c r="M216" s="7">
        <f>=DATE(2001,10,10)</f>
        <v>37173.99949074074</v>
      </c>
      <c r="W216" s="6" t="str">
        <v>Other Software (inq. Games)</v>
      </c>
      <c r="X216" s="6" t="str">
        <v>Other Software (inq. Games)</v>
      </c>
      <c r="Y216" s="6" t="str">
        <v>Other Software (inq. Games)</v>
      </c>
      <c r="Z216" s="6" t="str">
        <v>Other Software (inq. Games)</v>
      </c>
      <c r="AA216" s="6" t="str">
        <v>General Pharmaceuticals;Medicinal Chemicals;Vaccines/Specialty Drugs;Other Biotechnology;Over-The-Counter Drugs</v>
      </c>
      <c r="AB216" s="6" t="str">
        <v>Other Biotechnology;Over-The-Counter Drugs;Medicinal Chemicals;General Pharmaceuticals;Vaccines/Specialty Drugs</v>
      </c>
    </row>
    <row r="217">
      <c r="A217" s="6" t="str">
        <v>84764M</v>
      </c>
      <c r="B217" s="6" t="str">
        <v>United States</v>
      </c>
      <c r="C217" s="6" t="str">
        <v>SpeechWorks International Inc</v>
      </c>
      <c r="D217" s="6" t="str">
        <v>SpeechWorks International Inc</v>
      </c>
      <c r="E217" s="6" t="str">
        <v>ScanSoft Inc</v>
      </c>
      <c r="F217" s="6" t="str">
        <v>Belgium</v>
      </c>
      <c r="G217" s="6" t="str">
        <v>Lernout &amp; Hauspie Speech Products NV-Speech &amp; Language Technology Div</v>
      </c>
      <c r="H217" s="6" t="str">
        <v>Prepackaged Software</v>
      </c>
      <c r="I217" s="6" t="str">
        <v>52675Z</v>
      </c>
      <c r="J217" s="6" t="str">
        <v>Lernout &amp; Hauspie Speech Products NV</v>
      </c>
      <c r="K217" s="6" t="str">
        <v>Lernout &amp; Hauspie Speech Products NV</v>
      </c>
      <c r="L217" s="7">
        <f>=DATE(2001,10,23)</f>
        <v>37186.99949074074</v>
      </c>
      <c r="N217" s="8">
        <v>12.505678619791</v>
      </c>
      <c r="O217" s="8">
        <v>12.505678619791</v>
      </c>
      <c r="Q217" s="8" t="str">
        <v>38.63</v>
      </c>
      <c r="W217" s="6" t="str">
        <v>Communication/Network Software;Programming Services;Applications Software(Business</v>
      </c>
      <c r="X217" s="6" t="str">
        <v>Programming Services;Other Software (inq. Games)</v>
      </c>
      <c r="Y217" s="6" t="str">
        <v>Applications Software(Home);Communication/Network Software;Other Software (inq. Games);Applications Software(Business</v>
      </c>
      <c r="Z217" s="6" t="str">
        <v>Other Software (inq. Games);Applications Software(Business;Applications Software(Home);Communication/Network Software</v>
      </c>
      <c r="AA217" s="6" t="str">
        <v>Programming Services;Applications Software(Business;Communication/Network Software</v>
      </c>
      <c r="AB217" s="6" t="str">
        <v>Programming Services;Applications Software(Business;Communication/Network Software</v>
      </c>
      <c r="AC217" s="8">
        <v>12.505678619791</v>
      </c>
      <c r="AD217" s="7">
        <f>=DATE(2001,10,23)</f>
        <v>37186.99949074074</v>
      </c>
      <c r="AL217" s="8">
        <v>12.505678619791</v>
      </c>
    </row>
    <row r="218">
      <c r="A218" s="6" t="str">
        <v>80609W</v>
      </c>
      <c r="B218" s="6" t="str">
        <v>United States</v>
      </c>
      <c r="C218" s="6" t="str">
        <v>ScanSoft Inc</v>
      </c>
      <c r="D218" s="6" t="str">
        <v>ScanSoft Inc</v>
      </c>
      <c r="E218" s="6" t="str">
        <v>SpeechWorks International Inc</v>
      </c>
      <c r="F218" s="6" t="str">
        <v>Belgium</v>
      </c>
      <c r="G218" s="6" t="str">
        <v>Lernout &amp; Hauspie Speech Prods NV-Spch &amp; Lang Techgies Div, L&amp;H Hldgs USA</v>
      </c>
      <c r="H218" s="6" t="str">
        <v>Prepackaged Software</v>
      </c>
      <c r="I218" s="6" t="str">
        <v>50341A</v>
      </c>
      <c r="J218" s="6" t="str">
        <v>Lernout &amp; Hauspie Speech Products NV</v>
      </c>
      <c r="K218" s="6" t="str">
        <v>Lernout &amp; Hauspie Speech Products NV-Speech &amp; Language Technology Div</v>
      </c>
      <c r="L218" s="7">
        <f>=DATE(2001,11,28)</f>
        <v>37222.99949074074</v>
      </c>
      <c r="M218" s="7">
        <f>=DATE(2001,12,12)</f>
        <v>37236.99949074074</v>
      </c>
      <c r="N218" s="8">
        <v>50.8297228732091</v>
      </c>
      <c r="O218" s="8">
        <v>38.6295315966505</v>
      </c>
      <c r="Q218" s="8" t="str">
        <v>12.51</v>
      </c>
      <c r="W218" s="6" t="str">
        <v>Other Software (inq. Games)</v>
      </c>
      <c r="X218" s="6" t="str">
        <v>Other Software (inq. Games)</v>
      </c>
      <c r="Y218" s="6" t="str">
        <v>Programming Services;Other Software (inq. Games)</v>
      </c>
      <c r="Z218" s="6" t="str">
        <v>Applications Software(Home);Applications Software(Business;Other Software (inq. Games);Communication/Network Software</v>
      </c>
      <c r="AA218" s="6" t="str">
        <v>Other Software (inq. Games)</v>
      </c>
      <c r="AB218" s="6" t="str">
        <v>Other Software (inq. Games)</v>
      </c>
      <c r="AC218" s="8">
        <v>38.6295315966505</v>
      </c>
      <c r="AD218" s="7">
        <f>=DATE(2001,11,28)</f>
        <v>37222.99949074074</v>
      </c>
      <c r="AL218" s="8">
        <v>38.6295315966505</v>
      </c>
    </row>
    <row r="219">
      <c r="A219" s="6" t="str">
        <v>023135</v>
      </c>
      <c r="B219" s="6" t="str">
        <v>United States</v>
      </c>
      <c r="C219" s="6" t="str">
        <v>Amazon.com Inc</v>
      </c>
      <c r="D219" s="6" t="str">
        <v>Amazon.com Inc</v>
      </c>
      <c r="E219" s="6" t="str">
        <v>Frys Electronics</v>
      </c>
      <c r="F219" s="6" t="str">
        <v>United States</v>
      </c>
      <c r="G219" s="6" t="str">
        <v>Egghead.com Inc d</v>
      </c>
      <c r="H219" s="6" t="str">
        <v>Miscellaneous Retail Trade</v>
      </c>
      <c r="I219" s="6" t="str">
        <v>282329</v>
      </c>
      <c r="J219" s="6" t="str">
        <v>Egghead.com Inc d</v>
      </c>
      <c r="K219" s="6" t="str">
        <v>Egghead.com Inc d</v>
      </c>
      <c r="L219" s="7">
        <f>=DATE(2001,12,4)</f>
        <v>37228.99949074074</v>
      </c>
      <c r="M219" s="7">
        <f>=DATE(2001,12,4)</f>
        <v>37228.99949074074</v>
      </c>
      <c r="N219" s="8">
        <v>6.1</v>
      </c>
      <c r="O219" s="8">
        <v>6.1</v>
      </c>
      <c r="R219" s="8">
        <v>-45.3</v>
      </c>
      <c r="S219" s="8">
        <v>405.6</v>
      </c>
      <c r="T219" s="8">
        <v>4.2</v>
      </c>
      <c r="U219" s="8">
        <v>1.3</v>
      </c>
      <c r="V219" s="8">
        <v>-46.1</v>
      </c>
      <c r="W219" s="6" t="str">
        <v>Primary Business not Hi-Tech</v>
      </c>
      <c r="X219" s="6" t="str">
        <v>Internet Services &amp; Software</v>
      </c>
      <c r="Y219" s="6" t="str">
        <v>Internet Services &amp; Software</v>
      </c>
      <c r="Z219" s="6" t="str">
        <v>Internet Services &amp; Software</v>
      </c>
      <c r="AA219" s="6" t="str">
        <v>Primary Business not Hi-Tech</v>
      </c>
      <c r="AB219" s="6" t="str">
        <v>Primary Business not Hi-Tech</v>
      </c>
      <c r="AC219" s="8">
        <v>6.1</v>
      </c>
      <c r="AD219" s="7">
        <f>=DATE(2001,12,4)</f>
        <v>37228.99949074074</v>
      </c>
      <c r="AL219" s="8">
        <v>6.1</v>
      </c>
    </row>
    <row r="220">
      <c r="A220" s="6" t="str">
        <v>037833</v>
      </c>
      <c r="B220" s="6" t="str">
        <v>United States</v>
      </c>
      <c r="C220" s="6" t="str">
        <v>Apple Computer Inc</v>
      </c>
      <c r="D220" s="6" t="str">
        <v>Apple Computer Inc</v>
      </c>
      <c r="F220" s="6" t="str">
        <v>United States</v>
      </c>
      <c r="G220" s="6" t="str">
        <v>Nothing Real LLC</v>
      </c>
      <c r="H220" s="6" t="str">
        <v>Prepackaged Software</v>
      </c>
      <c r="I220" s="6" t="str">
        <v>66813V</v>
      </c>
      <c r="J220" s="6" t="str">
        <v>Nothing Real LLC</v>
      </c>
      <c r="K220" s="6" t="str">
        <v>Nothing Real LLC</v>
      </c>
      <c r="L220" s="7">
        <f>=DATE(2002,2,1)</f>
        <v>37287.99949074074</v>
      </c>
      <c r="M220" s="7">
        <f>=DATE(2002,2,1)</f>
        <v>37287.99949074074</v>
      </c>
      <c r="N220" s="8">
        <v>15</v>
      </c>
      <c r="O220" s="8">
        <v>15</v>
      </c>
      <c r="W220" s="6" t="str">
        <v>Micro-Computers (PCs);Printers;Monitors/Terminals;Other Peripherals;Portable Computers;Other Software (inq. Games);Disk Drives;Mainframes &amp; Super Computers</v>
      </c>
      <c r="X220" s="6" t="str">
        <v>Other Software (inq. Games)</v>
      </c>
      <c r="Y220" s="6" t="str">
        <v>Other Software (inq. Games)</v>
      </c>
      <c r="Z220" s="6" t="str">
        <v>Other Software (inq. Games)</v>
      </c>
      <c r="AA220" s="6" t="str">
        <v>Monitors/Terminals;Micro-Computers (PCs);Disk Drives;Mainframes &amp; Super Computers;Portable Computers;Other Software (inq. Games);Other Peripherals;Printers</v>
      </c>
      <c r="AB220" s="6" t="str">
        <v>Micro-Computers (PCs);Other Software (inq. Games);Portable Computers;Disk Drives;Other Peripherals;Mainframes &amp; Super Computers;Monitors/Terminals;Printers</v>
      </c>
      <c r="AC220" s="8">
        <v>15</v>
      </c>
      <c r="AD220" s="7">
        <f>=DATE(2002,2,1)</f>
        <v>37287.99949074074</v>
      </c>
      <c r="AL220" s="8">
        <v>15</v>
      </c>
    </row>
    <row r="221">
      <c r="A221" s="6" t="str">
        <v>594918</v>
      </c>
      <c r="B221" s="6" t="str">
        <v>United States</v>
      </c>
      <c r="C221" s="6" t="str">
        <v>Microsoft Corp</v>
      </c>
      <c r="D221" s="6" t="str">
        <v>Microsoft Corp</v>
      </c>
      <c r="F221" s="6" t="str">
        <v>United States</v>
      </c>
      <c r="G221" s="6" t="str">
        <v>USA Networks Inc</v>
      </c>
      <c r="H221" s="6" t="str">
        <v>Radio and Television Broadcasting Stations</v>
      </c>
      <c r="I221" s="6" t="str">
        <v>U9032T</v>
      </c>
      <c r="J221" s="6" t="str">
        <v>USA Networks Inc</v>
      </c>
      <c r="K221" s="6" t="str">
        <v>USA Networks Inc</v>
      </c>
      <c r="L221" s="7">
        <f>=DATE(2002,2,14)</f>
        <v>37300.99949074074</v>
      </c>
      <c r="M221" s="7">
        <f>=DATE(2002,2,14)</f>
        <v>37300.99949074074</v>
      </c>
      <c r="R221" s="8">
        <v>-125.052</v>
      </c>
      <c r="S221" s="8">
        <v>5284.807</v>
      </c>
      <c r="T221" s="8">
        <v>64.008</v>
      </c>
      <c r="U221" s="8">
        <v>51.935</v>
      </c>
      <c r="V221" s="8">
        <v>621.874</v>
      </c>
      <c r="W221" s="6" t="str">
        <v>Applications Software(Business;Operating Systems;Internet Services &amp; Software;Other Peripherals;Computer Consulting Services;Monitors/Terminals</v>
      </c>
      <c r="X221" s="6" t="str">
        <v>Internet Services &amp; Software</v>
      </c>
      <c r="Y221" s="6" t="str">
        <v>Internet Services &amp; Software</v>
      </c>
      <c r="Z221" s="6" t="str">
        <v>Internet Services &amp; Software</v>
      </c>
      <c r="AA221" s="6" t="str">
        <v>Operating Systems;Computer Consulting Services;Monitors/Terminals;Other Peripherals;Applications Software(Business;Internet Services &amp; Software</v>
      </c>
      <c r="AB221" s="6" t="str">
        <v>Internet Services &amp; Software;Applications Software(Business;Computer Consulting Services;Other Peripherals;Operating Systems;Monitors/Terminals</v>
      </c>
    </row>
    <row r="222">
      <c r="A222" s="6" t="str">
        <v>037833</v>
      </c>
      <c r="B222" s="6" t="str">
        <v>United States</v>
      </c>
      <c r="C222" s="6" t="str">
        <v>Apple Computer Inc</v>
      </c>
      <c r="D222" s="6" t="str">
        <v>Apple Computer Inc</v>
      </c>
      <c r="F222" s="6" t="str">
        <v>United States</v>
      </c>
      <c r="G222" s="6" t="str">
        <v>Zayante Inc</v>
      </c>
      <c r="H222" s="6" t="str">
        <v>Prepackaged Software</v>
      </c>
      <c r="I222" s="6" t="str">
        <v>98919J</v>
      </c>
      <c r="J222" s="6" t="str">
        <v>Zayante Inc</v>
      </c>
      <c r="K222" s="6" t="str">
        <v>Zayante Inc</v>
      </c>
      <c r="L222" s="7">
        <f>=DATE(2002,4,4)</f>
        <v>37349.99949074074</v>
      </c>
      <c r="M222" s="7">
        <f>=DATE(2002,4,4)</f>
        <v>37349.99949074074</v>
      </c>
      <c r="N222" s="8">
        <v>13</v>
      </c>
      <c r="O222" s="8">
        <v>13</v>
      </c>
      <c r="W222" s="6" t="str">
        <v>Mainframes &amp; Super Computers;Monitors/Terminals;Disk Drives;Other Software (inq. Games);Micro-Computers (PCs);Printers;Other Peripherals;Portable Computers</v>
      </c>
      <c r="X222" s="6" t="str">
        <v>Other Software (inq. Games);Programming Services</v>
      </c>
      <c r="Y222" s="6" t="str">
        <v>Programming Services;Other Software (inq. Games)</v>
      </c>
      <c r="Z222" s="6" t="str">
        <v>Programming Services;Other Software (inq. Games)</v>
      </c>
      <c r="AA222" s="6" t="str">
        <v>Mainframes &amp; Super Computers;Disk Drives;Printers;Micro-Computers (PCs);Portable Computers;Other Software (inq. Games);Monitors/Terminals;Other Peripherals</v>
      </c>
      <c r="AB222" s="6" t="str">
        <v>Micro-Computers (PCs);Disk Drives;Other Software (inq. Games);Printers;Other Peripherals;Monitors/Terminals;Portable Computers;Mainframes &amp; Super Computers</v>
      </c>
      <c r="AC222" s="8">
        <v>13</v>
      </c>
      <c r="AD222" s="7">
        <f>=DATE(2002,4,8)</f>
        <v>37353.99949074074</v>
      </c>
      <c r="AL222" s="8">
        <v>13</v>
      </c>
    </row>
    <row r="223">
      <c r="A223" s="6" t="str">
        <v>03156X</v>
      </c>
      <c r="B223" s="6" t="str">
        <v>United States</v>
      </c>
      <c r="C223" s="6" t="str">
        <v>Amicore</v>
      </c>
      <c r="D223" s="6" t="str">
        <v>Pfizer Inc</v>
      </c>
      <c r="F223" s="6" t="str">
        <v>United States</v>
      </c>
      <c r="G223" s="6" t="str">
        <v>CareWide Inc-Certain Assets</v>
      </c>
      <c r="H223" s="6" t="str">
        <v>Business Services</v>
      </c>
      <c r="I223" s="6" t="str">
        <v>14175V</v>
      </c>
      <c r="J223" s="6" t="str">
        <v>CareWide Inc</v>
      </c>
      <c r="K223" s="6" t="str">
        <v>CareWide Inc</v>
      </c>
      <c r="L223" s="7">
        <f>=DATE(2002,4,10)</f>
        <v>37355.99949074074</v>
      </c>
      <c r="M223" s="7">
        <f>=DATE(2002,4,10)</f>
        <v>37355.99949074074</v>
      </c>
      <c r="W223" s="6" t="str">
        <v>Other Software (inq. Games)</v>
      </c>
      <c r="X223" s="6" t="str">
        <v>Applications Software(Business;Primary Business not Hi-Tech</v>
      </c>
      <c r="Y223" s="6" t="str">
        <v>Primary Business not Hi-Tech;Applications Software(Business</v>
      </c>
      <c r="Z223" s="6" t="str">
        <v>Applications Software(Business;Primary Business not Hi-Tech</v>
      </c>
      <c r="AA223" s="6" t="str">
        <v>Other Biotechnology;General Pharmaceuticals;Over-The-Counter Drugs;Vaccines/Specialty Drugs;Medicinal Chemicals</v>
      </c>
      <c r="AB223" s="6" t="str">
        <v>Medicinal Chemicals;Other Biotechnology;Vaccines/Specialty Drugs;Over-The-Counter Drugs;General Pharmaceuticals</v>
      </c>
    </row>
    <row r="224">
      <c r="A224" s="6" t="str">
        <v>594918</v>
      </c>
      <c r="B224" s="6" t="str">
        <v>United States</v>
      </c>
      <c r="C224" s="6" t="str">
        <v>Microsoft Corp</v>
      </c>
      <c r="D224" s="6" t="str">
        <v>Microsoft Corp</v>
      </c>
      <c r="F224" s="6" t="str">
        <v>Denmark</v>
      </c>
      <c r="G224" s="6" t="str">
        <v>Navision A/S</v>
      </c>
      <c r="H224" s="6" t="str">
        <v>Business Services</v>
      </c>
      <c r="I224" s="6" t="str">
        <v>63895P</v>
      </c>
      <c r="J224" s="6" t="str">
        <v>Navision A/S</v>
      </c>
      <c r="K224" s="6" t="str">
        <v>Navision A/S</v>
      </c>
      <c r="L224" s="7">
        <f>=DATE(2002,5,7)</f>
        <v>37382.99949074074</v>
      </c>
      <c r="M224" s="7">
        <f>=DATE(2002,8,22)</f>
        <v>37489.99949074074</v>
      </c>
      <c r="N224" s="8">
        <v>1323.65591397849</v>
      </c>
      <c r="O224" s="8">
        <v>1323.65591397849</v>
      </c>
      <c r="P224" s="8" t="str">
        <v>1,121.93</v>
      </c>
      <c r="R224" s="8">
        <v>18.0379098360656</v>
      </c>
      <c r="S224" s="8">
        <v>170.309995446266</v>
      </c>
      <c r="T224" s="8">
        <v>-0.761322</v>
      </c>
      <c r="U224" s="8">
        <v>-23.2870078</v>
      </c>
      <c r="V224" s="8">
        <v>28.3746644</v>
      </c>
      <c r="W224" s="6" t="str">
        <v>Operating Systems;Computer Consulting Services;Other Peripherals;Monitors/Terminals;Applications Software(Business;Internet Services &amp; Software</v>
      </c>
      <c r="X224" s="6" t="str">
        <v>Programming Services</v>
      </c>
      <c r="Y224" s="6" t="str">
        <v>Programming Services</v>
      </c>
      <c r="Z224" s="6" t="str">
        <v>Programming Services</v>
      </c>
      <c r="AA224" s="6" t="str">
        <v>Internet Services &amp; Software;Other Peripherals;Monitors/Terminals;Computer Consulting Services;Operating Systems;Applications Software(Business</v>
      </c>
      <c r="AB224" s="6" t="str">
        <v>Other Peripherals;Operating Systems;Monitors/Terminals;Applications Software(Business;Computer Consulting Services;Internet Services &amp; Software</v>
      </c>
      <c r="AC224" s="8">
        <v>1323.65591397849</v>
      </c>
      <c r="AD224" s="7">
        <f>=DATE(2002,5,7)</f>
        <v>37382.99949074074</v>
      </c>
      <c r="AE224" s="8">
        <v>1323.65591397849</v>
      </c>
      <c r="AF224" s="8" t="str">
        <v>1,213.77</v>
      </c>
      <c r="AG224" s="8" t="str">
        <v>1,286.52</v>
      </c>
      <c r="AH224" s="8" t="str">
        <v>1,398.42</v>
      </c>
      <c r="AI224" s="8" t="str">
        <v>1,319.33</v>
      </c>
      <c r="AL224" s="8">
        <v>1323.65591397849</v>
      </c>
    </row>
    <row r="225">
      <c r="A225" s="6" t="str">
        <v>594918</v>
      </c>
      <c r="B225" s="6" t="str">
        <v>United States</v>
      </c>
      <c r="C225" s="6" t="str">
        <v>Microsoft Corp</v>
      </c>
      <c r="D225" s="6" t="str">
        <v>Microsoft Corp</v>
      </c>
      <c r="F225" s="6" t="str">
        <v>Germany</v>
      </c>
      <c r="G225" s="6" t="str">
        <v>T-Online International AG</v>
      </c>
      <c r="H225" s="6" t="str">
        <v>Business Services</v>
      </c>
      <c r="I225" s="6" t="str">
        <v>87252Y</v>
      </c>
      <c r="J225" s="6" t="str">
        <v>Deutsche Telekom AG</v>
      </c>
      <c r="K225" s="6" t="str">
        <v>Deutsche Telekom AG</v>
      </c>
      <c r="L225" s="7">
        <f>=DATE(2002,5,15)</f>
        <v>37390.99949074074</v>
      </c>
      <c r="R225" s="8">
        <v>-709.513039916659</v>
      </c>
      <c r="S225" s="8">
        <v>1014.95160672787</v>
      </c>
      <c r="T225" s="8">
        <v>-2.9006156</v>
      </c>
      <c r="U225" s="8">
        <v>-1397.3871648</v>
      </c>
      <c r="V225" s="8">
        <v>-174.1314244</v>
      </c>
      <c r="W225" s="6" t="str">
        <v>Internet Services &amp; Software;Monitors/Terminals;Applications Software(Business;Operating Systems;Computer Consulting Services;Other Peripherals</v>
      </c>
      <c r="X225" s="6" t="str">
        <v>Internet Services &amp; Software</v>
      </c>
      <c r="Y225" s="6" t="str">
        <v>Internet Services &amp; Software</v>
      </c>
      <c r="Z225" s="6" t="str">
        <v>Internet Services &amp; Software</v>
      </c>
      <c r="AA225" s="6" t="str">
        <v>Other Peripherals;Computer Consulting Services;Monitors/Terminals;Operating Systems;Applications Software(Business;Internet Services &amp; Software</v>
      </c>
      <c r="AB225" s="6" t="str">
        <v>Computer Consulting Services;Other Peripherals;Applications Software(Business;Internet Services &amp; Software;Monitors/Terminals;Operating Systems</v>
      </c>
    </row>
    <row r="226">
      <c r="A226" s="6" t="str">
        <v>594918</v>
      </c>
      <c r="B226" s="6" t="str">
        <v>United States</v>
      </c>
      <c r="C226" s="6" t="str">
        <v>Microsoft Corp</v>
      </c>
      <c r="D226" s="6" t="str">
        <v>Microsoft Corp</v>
      </c>
      <c r="F226" s="6" t="str">
        <v>United States</v>
      </c>
      <c r="G226" s="6" t="str">
        <v>Sales Management Systems Inc</v>
      </c>
      <c r="H226" s="6" t="str">
        <v>Prepackaged Software</v>
      </c>
      <c r="I226" s="6" t="str">
        <v>79463R</v>
      </c>
      <c r="J226" s="6" t="str">
        <v>Sales Management Systems Inc</v>
      </c>
      <c r="K226" s="6" t="str">
        <v>Sales Management Systems Inc</v>
      </c>
      <c r="L226" s="7">
        <f>=DATE(2002,5,22)</f>
        <v>37397.99949074074</v>
      </c>
      <c r="M226" s="7">
        <f>=DATE(2002,5,22)</f>
        <v>37397.99949074074</v>
      </c>
      <c r="W226" s="6" t="str">
        <v>Monitors/Terminals;Other Peripherals;Applications Software(Business;Internet Services &amp; Software;Computer Consulting Services;Operating Systems</v>
      </c>
      <c r="X226" s="6" t="str">
        <v>Other Software (inq. Games)</v>
      </c>
      <c r="Y226" s="6" t="str">
        <v>Other Software (inq. Games)</v>
      </c>
      <c r="Z226" s="6" t="str">
        <v>Other Software (inq. Games)</v>
      </c>
      <c r="AA226" s="6" t="str">
        <v>Other Peripherals;Computer Consulting Services;Monitors/Terminals;Operating Systems;Internet Services &amp; Software;Applications Software(Business</v>
      </c>
      <c r="AB226" s="6" t="str">
        <v>Monitors/Terminals;Operating Systems;Applications Software(Business;Other Peripherals;Internet Services &amp; Software;Computer Consulting Services</v>
      </c>
    </row>
    <row r="227">
      <c r="A227" s="6" t="str">
        <v>38018F</v>
      </c>
      <c r="B227" s="6" t="str">
        <v>United States</v>
      </c>
      <c r="C227" s="6" t="str">
        <v>Go Toast LLC</v>
      </c>
      <c r="D227" s="6" t="str">
        <v>Go Toast LLC</v>
      </c>
      <c r="F227" s="6" t="str">
        <v>United States</v>
      </c>
      <c r="G227" s="6" t="str">
        <v>Clickpatrol.com-Certain Assets</v>
      </c>
      <c r="H227" s="6" t="str">
        <v>Business Services</v>
      </c>
      <c r="I227" s="6" t="str">
        <v>18890V</v>
      </c>
      <c r="J227" s="6" t="str">
        <v>ClickPatrol.com</v>
      </c>
      <c r="K227" s="6" t="str">
        <v>ClickPatrol.com</v>
      </c>
      <c r="L227" s="7">
        <f>=DATE(2002,6,3)</f>
        <v>37409.99949074074</v>
      </c>
      <c r="M227" s="7">
        <f>=DATE(2002,6,3)</f>
        <v>37409.99949074074</v>
      </c>
      <c r="W227" s="6" t="str">
        <v>Internet Services &amp; Software;Communication/Network Software</v>
      </c>
      <c r="X227" s="6" t="str">
        <v>Internet Services &amp; Software;Communication/Network Software</v>
      </c>
      <c r="Y227" s="6" t="str">
        <v>Internet Services &amp; Software;Communication/Network Software</v>
      </c>
      <c r="Z227" s="6" t="str">
        <v>Internet Services &amp; Software;Communication/Network Software</v>
      </c>
      <c r="AA227" s="6" t="str">
        <v>Communication/Network Software;Internet Services &amp; Software</v>
      </c>
      <c r="AB227" s="6" t="str">
        <v>Communication/Network Software;Internet Services &amp; Software</v>
      </c>
    </row>
    <row r="228">
      <c r="A228" s="6" t="str">
        <v>037833</v>
      </c>
      <c r="B228" s="6" t="str">
        <v>United States</v>
      </c>
      <c r="C228" s="6" t="str">
        <v>Apple Computer Inc</v>
      </c>
      <c r="D228" s="6" t="str">
        <v>Apple Computer Inc</v>
      </c>
      <c r="F228" s="6" t="str">
        <v>United States</v>
      </c>
      <c r="G228" s="6" t="str">
        <v>Silicon Grail Corp-Chalice &amp; Rayz Digital Effects Products</v>
      </c>
      <c r="H228" s="6" t="str">
        <v>Prepackaged Software</v>
      </c>
      <c r="I228" s="6" t="str">
        <v>82701T</v>
      </c>
      <c r="J228" s="6" t="str">
        <v>Silicon Grail Corp</v>
      </c>
      <c r="K228" s="6" t="str">
        <v>Silicon Grail Corp</v>
      </c>
      <c r="L228" s="7">
        <f>=DATE(2002,6,11)</f>
        <v>37417.99949074074</v>
      </c>
      <c r="M228" s="7">
        <f>=DATE(2002,6,11)</f>
        <v>37417.99949074074</v>
      </c>
      <c r="W228" s="6" t="str">
        <v>Printers;Micro-Computers (PCs);Portable Computers;Disk Drives;Other Peripherals;Other Software (inq. Games);Mainframes &amp; Super Computers;Monitors/Terminals</v>
      </c>
      <c r="X228" s="6" t="str">
        <v>Other Software (inq. Games)</v>
      </c>
      <c r="Y228" s="6" t="str">
        <v>Other Software (inq. Games)</v>
      </c>
      <c r="Z228" s="6" t="str">
        <v>Other Software (inq. Games)</v>
      </c>
      <c r="AA228" s="6" t="str">
        <v>Other Software (inq. Games);Mainframes &amp; Super Computers;Monitors/Terminals;Disk Drives;Printers;Micro-Computers (PCs);Other Peripherals;Portable Computers</v>
      </c>
      <c r="AB228" s="6" t="str">
        <v>Other Peripherals;Mainframes &amp; Super Computers;Disk Drives;Micro-Computers (PCs);Portable Computers;Printers;Other Software (inq. Games);Monitors/Terminals</v>
      </c>
    </row>
    <row r="229">
      <c r="A229" s="6" t="str">
        <v>037833</v>
      </c>
      <c r="B229" s="6" t="str">
        <v>United States</v>
      </c>
      <c r="C229" s="6" t="str">
        <v>Apple Computer Inc</v>
      </c>
      <c r="D229" s="6" t="str">
        <v>Apple Computer Inc</v>
      </c>
      <c r="F229" s="6" t="str">
        <v>United States</v>
      </c>
      <c r="G229" s="6" t="str">
        <v>Propel Software Corp</v>
      </c>
      <c r="H229" s="6" t="str">
        <v>Prepackaged Software</v>
      </c>
      <c r="I229" s="6" t="str">
        <v>74343K</v>
      </c>
      <c r="J229" s="6" t="str">
        <v>Propel Software Corp</v>
      </c>
      <c r="K229" s="6" t="str">
        <v>Propel Software Corp</v>
      </c>
      <c r="L229" s="7">
        <f>=DATE(2002,6,20)</f>
        <v>37426.99949074074</v>
      </c>
      <c r="M229" s="7">
        <f>=DATE(2002,6,20)</f>
        <v>37426.99949074074</v>
      </c>
      <c r="W229" s="6" t="str">
        <v>Portable Computers;Other Software (inq. Games);Micro-Computers (PCs);Printers;Monitors/Terminals;Other Peripherals;Mainframes &amp; Super Computers;Disk Drives</v>
      </c>
      <c r="X229" s="6" t="str">
        <v>Other Software (inq. Games)</v>
      </c>
      <c r="Y229" s="6" t="str">
        <v>Other Software (inq. Games)</v>
      </c>
      <c r="Z229" s="6" t="str">
        <v>Other Software (inq. Games)</v>
      </c>
      <c r="AA229" s="6" t="str">
        <v>Micro-Computers (PCs);Disk Drives;Monitors/Terminals;Other Peripherals;Portable Computers;Other Software (inq. Games);Printers;Mainframes &amp; Super Computers</v>
      </c>
      <c r="AB229" s="6" t="str">
        <v>Other Peripherals;Printers;Other Software (inq. Games);Portable Computers;Monitors/Terminals;Micro-Computers (PCs);Disk Drives;Mainframes &amp; Super Computers</v>
      </c>
    </row>
    <row r="230">
      <c r="A230" s="6" t="str">
        <v>037833</v>
      </c>
      <c r="B230" s="6" t="str">
        <v>United States</v>
      </c>
      <c r="C230" s="6" t="str">
        <v>Apple Computer Inc</v>
      </c>
      <c r="D230" s="6" t="str">
        <v>Apple Computer Inc</v>
      </c>
      <c r="F230" s="6" t="str">
        <v>Germany</v>
      </c>
      <c r="G230" s="6" t="str">
        <v>Emagic Soft-und Hardware GmbH</v>
      </c>
      <c r="H230" s="6" t="str">
        <v>Prepackaged Software</v>
      </c>
      <c r="I230" s="6" t="str">
        <v>29073E</v>
      </c>
      <c r="J230" s="6" t="str">
        <v>Emagic Soft-und Hardware GmbH</v>
      </c>
      <c r="K230" s="6" t="str">
        <v>Emagic Soft-und Hardware GmbH</v>
      </c>
      <c r="L230" s="7">
        <f>=DATE(2002,7,1)</f>
        <v>37437.99949074074</v>
      </c>
      <c r="M230" s="7">
        <f>=DATE(2002,7,1)</f>
        <v>37437.99949074074</v>
      </c>
      <c r="N230" s="8">
        <v>30.0117988835678</v>
      </c>
      <c r="O230" s="8">
        <v>30.0117988835678</v>
      </c>
      <c r="W230" s="6" t="str">
        <v>Other Peripherals;Mainframes &amp; Super Computers;Disk Drives;Printers;Portable Computers;Other Software (inq. Games);Monitors/Terminals;Micro-Computers (PCs)</v>
      </c>
      <c r="X230" s="6" t="str">
        <v>Other Software (inq. Games)</v>
      </c>
      <c r="Y230" s="6" t="str">
        <v>Other Software (inq. Games)</v>
      </c>
      <c r="Z230" s="6" t="str">
        <v>Other Software (inq. Games)</v>
      </c>
      <c r="AA230" s="6" t="str">
        <v>Other Software (inq. Games);Portable Computers;Mainframes &amp; Super Computers;Other Peripherals;Printers;Micro-Computers (PCs);Disk Drives;Monitors/Terminals</v>
      </c>
      <c r="AB230" s="6" t="str">
        <v>Disk Drives;Micro-Computers (PCs);Mainframes &amp; Super Computers;Printers;Other Software (inq. Games);Other Peripherals;Monitors/Terminals;Portable Computers</v>
      </c>
      <c r="AC230" s="8">
        <v>30.0117988835678</v>
      </c>
      <c r="AD230" s="7">
        <f>=DATE(2002,7,1)</f>
        <v>37437.99949074074</v>
      </c>
      <c r="AL230" s="8">
        <v>30.0117988835678</v>
      </c>
    </row>
    <row r="231">
      <c r="A231" s="6" t="str">
        <v>84764M</v>
      </c>
      <c r="B231" s="6" t="str">
        <v>United States</v>
      </c>
      <c r="C231" s="6" t="str">
        <v>SpeechWorks International Inc</v>
      </c>
      <c r="D231" s="6" t="str">
        <v>SpeechWorks International Inc</v>
      </c>
      <c r="F231" s="6" t="str">
        <v>United States</v>
      </c>
      <c r="G231" s="6" t="str">
        <v>T-Netix Inc-SpeakEZ Voice Print Technology</v>
      </c>
      <c r="H231" s="6" t="str">
        <v>Prepackaged Software</v>
      </c>
      <c r="I231" s="6" t="str">
        <v>87454Q</v>
      </c>
      <c r="J231" s="6" t="str">
        <v>T Netix Inc</v>
      </c>
      <c r="K231" s="6" t="str">
        <v>T Netix Inc</v>
      </c>
      <c r="L231" s="7">
        <f>=DATE(2002,7,23)</f>
        <v>37459.99949074074</v>
      </c>
      <c r="M231" s="7">
        <f>=DATE(2002,7,23)</f>
        <v>37459.99949074074</v>
      </c>
      <c r="W231" s="6" t="str">
        <v>Communication/Network Software;Applications Software(Business;Programming Services</v>
      </c>
      <c r="X231" s="6" t="str">
        <v>Other Software (inq. Games);Communication/Network Software</v>
      </c>
      <c r="Y231" s="6" t="str">
        <v>Communication/Network Software;Internet Services &amp; Software</v>
      </c>
      <c r="Z231" s="6" t="str">
        <v>Internet Services &amp; Software;Communication/Network Software</v>
      </c>
      <c r="AA231" s="6" t="str">
        <v>Communication/Network Software;Applications Software(Business;Programming Services</v>
      </c>
      <c r="AB231" s="6" t="str">
        <v>Communication/Network Software;Applications Software(Business;Programming Services</v>
      </c>
    </row>
    <row r="232">
      <c r="A232" s="6" t="str">
        <v>97659L</v>
      </c>
      <c r="B232" s="6" t="str">
        <v>United States</v>
      </c>
      <c r="C232" s="6" t="str">
        <v>Wireless Knowledge LLC</v>
      </c>
      <c r="D232" s="6" t="str">
        <v>Microsoft Corp</v>
      </c>
      <c r="F232" s="6" t="str">
        <v>United States</v>
      </c>
      <c r="G232" s="6" t="str">
        <v>Mobilocity Inc</v>
      </c>
      <c r="H232" s="6" t="str">
        <v>Business Services</v>
      </c>
      <c r="I232" s="6" t="str">
        <v>60725K</v>
      </c>
      <c r="J232" s="6" t="str">
        <v>Mobilocity Inc</v>
      </c>
      <c r="K232" s="6" t="str">
        <v>Mobilocity Inc</v>
      </c>
      <c r="L232" s="7">
        <f>=DATE(2002,7,29)</f>
        <v>37465.99949074074</v>
      </c>
      <c r="M232" s="7">
        <f>=DATE(2002,7,29)</f>
        <v>37465.99949074074</v>
      </c>
      <c r="W232" s="6" t="str">
        <v>Internet Services &amp; Software</v>
      </c>
      <c r="X232" s="6" t="str">
        <v>Computer Consulting Services</v>
      </c>
      <c r="Y232" s="6" t="str">
        <v>Computer Consulting Services</v>
      </c>
      <c r="Z232" s="6" t="str">
        <v>Computer Consulting Services</v>
      </c>
      <c r="AA232" s="6" t="str">
        <v>Computer Consulting Services;Applications Software(Business;Operating Systems;Other Peripherals;Monitors/Terminals;Internet Services &amp; Software</v>
      </c>
      <c r="AB232" s="6" t="str">
        <v>Internet Services &amp; Software;Other Peripherals;Operating Systems;Applications Software(Business;Computer Consulting Services;Monitors/Terminals</v>
      </c>
    </row>
    <row r="233">
      <c r="A233" s="6" t="str">
        <v>80609W</v>
      </c>
      <c r="B233" s="6" t="str">
        <v>United States</v>
      </c>
      <c r="C233" s="6" t="str">
        <v>ScanSoft Inc</v>
      </c>
      <c r="D233" s="6" t="str">
        <v>ScanSoft Inc</v>
      </c>
      <c r="F233" s="6" t="str">
        <v>United States</v>
      </c>
      <c r="G233" s="6" t="str">
        <v>ScanSoft Inc</v>
      </c>
      <c r="H233" s="6" t="str">
        <v>Prepackaged Software</v>
      </c>
      <c r="I233" s="6" t="str">
        <v>80609W</v>
      </c>
      <c r="J233" s="6" t="str">
        <v>ScanSoft Inc</v>
      </c>
      <c r="K233" s="6" t="str">
        <v>ScanSoft Inc</v>
      </c>
      <c r="L233" s="7">
        <f>=DATE(2002,8,6)</f>
        <v>37473.99949074074</v>
      </c>
      <c r="N233" s="8">
        <v>6.8</v>
      </c>
      <c r="O233" s="8">
        <v>6.8</v>
      </c>
      <c r="R233" s="8">
        <v>-6.513</v>
      </c>
      <c r="S233" s="8">
        <v>85.925</v>
      </c>
      <c r="T233" s="8">
        <v>18.722</v>
      </c>
      <c r="U233" s="8">
        <v>-16.339</v>
      </c>
      <c r="V233" s="8">
        <v>8.277</v>
      </c>
      <c r="W233" s="6" t="str">
        <v>Other Software (inq. Games)</v>
      </c>
      <c r="X233" s="6" t="str">
        <v>Other Software (inq. Games)</v>
      </c>
      <c r="Y233" s="6" t="str">
        <v>Other Software (inq. Games)</v>
      </c>
      <c r="Z233" s="6" t="str">
        <v>Other Software (inq. Games)</v>
      </c>
      <c r="AA233" s="6" t="str">
        <v>Other Software (inq. Games)</v>
      </c>
      <c r="AB233" s="6" t="str">
        <v>Other Software (inq. Games)</v>
      </c>
      <c r="AC233" s="8">
        <v>6.8</v>
      </c>
      <c r="AD233" s="7">
        <f>=DATE(2002,8,6)</f>
        <v>37473.99949074074</v>
      </c>
      <c r="AL233" s="8">
        <v>6.8</v>
      </c>
    </row>
    <row r="234">
      <c r="A234" s="6" t="str">
        <v>594918</v>
      </c>
      <c r="B234" s="6" t="str">
        <v>United States</v>
      </c>
      <c r="C234" s="6" t="str">
        <v>Microsoft Corp</v>
      </c>
      <c r="D234" s="6" t="str">
        <v>Microsoft Corp</v>
      </c>
      <c r="F234" s="6" t="str">
        <v>United States</v>
      </c>
      <c r="G234" s="6" t="str">
        <v>XDegrees Inc</v>
      </c>
      <c r="H234" s="6" t="str">
        <v>Prepackaged Software</v>
      </c>
      <c r="I234" s="6" t="str">
        <v>98449W</v>
      </c>
      <c r="J234" s="6" t="str">
        <v>XDegrees Inc</v>
      </c>
      <c r="K234" s="6" t="str">
        <v>XDegrees Inc</v>
      </c>
      <c r="L234" s="7">
        <f>=DATE(2002,9,10)</f>
        <v>37508.99949074074</v>
      </c>
      <c r="M234" s="7">
        <f>=DATE(2002,9,10)</f>
        <v>37508.99949074074</v>
      </c>
      <c r="W234" s="6" t="str">
        <v>Computer Consulting Services;Monitors/Terminals;Other Peripherals;Operating Systems;Applications Software(Business;Internet Services &amp; Software</v>
      </c>
      <c r="X234" s="6" t="str">
        <v>Other Software (inq. Games)</v>
      </c>
      <c r="Y234" s="6" t="str">
        <v>Other Software (inq. Games)</v>
      </c>
      <c r="Z234" s="6" t="str">
        <v>Other Software (inq. Games)</v>
      </c>
      <c r="AA234" s="6" t="str">
        <v>Monitors/Terminals;Operating Systems;Computer Consulting Services;Applications Software(Business;Internet Services &amp; Software;Other Peripherals</v>
      </c>
      <c r="AB234" s="6" t="str">
        <v>Other Peripherals;Internet Services &amp; Software;Monitors/Terminals;Applications Software(Business;Operating Systems;Computer Consulting Services</v>
      </c>
    </row>
    <row r="235">
      <c r="A235" s="6" t="str">
        <v>594918</v>
      </c>
      <c r="B235" s="6" t="str">
        <v>United States</v>
      </c>
      <c r="C235" s="6" t="str">
        <v>Microsoft Corp</v>
      </c>
      <c r="D235" s="6" t="str">
        <v>Microsoft Corp</v>
      </c>
      <c r="F235" s="6" t="str">
        <v>United Kingdom</v>
      </c>
      <c r="G235" s="6" t="str">
        <v>Rare Ltd</v>
      </c>
      <c r="H235" s="6" t="str">
        <v>Prepackaged Software</v>
      </c>
      <c r="I235" s="6" t="str">
        <v>75390P</v>
      </c>
      <c r="J235" s="6" t="str">
        <v>Rare Ltd</v>
      </c>
      <c r="K235" s="6" t="str">
        <v>Rare Ltd</v>
      </c>
      <c r="L235" s="7">
        <f>=DATE(2002,9,24)</f>
        <v>37522.99949074074</v>
      </c>
      <c r="M235" s="7">
        <f>=DATE(2002,9,24)</f>
        <v>37522.99949074074</v>
      </c>
      <c r="N235" s="8">
        <v>376.839037466492</v>
      </c>
      <c r="O235" s="8">
        <v>376.839037466492</v>
      </c>
      <c r="W235" s="6" t="str">
        <v>Operating Systems;Applications Software(Business;Computer Consulting Services;Internet Services &amp; Software;Monitors/Terminals;Other Peripherals</v>
      </c>
      <c r="X235" s="6" t="str">
        <v>Other Software (inq. Games)</v>
      </c>
      <c r="Y235" s="6" t="str">
        <v>Other Software (inq. Games)</v>
      </c>
      <c r="Z235" s="6" t="str">
        <v>Other Software (inq. Games)</v>
      </c>
      <c r="AA235" s="6" t="str">
        <v>Other Peripherals;Monitors/Terminals;Applications Software(Business;Operating Systems;Internet Services &amp; Software;Computer Consulting Services</v>
      </c>
      <c r="AB235" s="6" t="str">
        <v>Applications Software(Business;Operating Systems;Other Peripherals;Computer Consulting Services;Internet Services &amp; Software;Monitors/Terminals</v>
      </c>
      <c r="AC235" s="8">
        <v>376.839037466492</v>
      </c>
      <c r="AD235" s="7">
        <f>=DATE(2002,9,24)</f>
        <v>37522.99949074074</v>
      </c>
      <c r="AF235" s="8" t="str">
        <v>376.84</v>
      </c>
      <c r="AG235" s="8" t="str">
        <v>376.84</v>
      </c>
      <c r="AH235" s="8" t="str">
        <v>376.84</v>
      </c>
      <c r="AI235" s="8" t="str">
        <v>376.84</v>
      </c>
      <c r="AL235" s="8">
        <v>376.839037466492</v>
      </c>
    </row>
    <row r="236">
      <c r="A236" s="6" t="str">
        <v>80609W</v>
      </c>
      <c r="B236" s="6" t="str">
        <v>United States</v>
      </c>
      <c r="C236" s="6" t="str">
        <v>ScanSoft Inc</v>
      </c>
      <c r="D236" s="6" t="str">
        <v>ScanSoft Inc</v>
      </c>
      <c r="F236" s="6" t="str">
        <v>Netherlands</v>
      </c>
      <c r="G236" s="6" t="str">
        <v>Royal Philips Electronics- Speech-processing,voice contro</v>
      </c>
      <c r="H236" s="6" t="str">
        <v>Construction Firms</v>
      </c>
      <c r="I236" s="6" t="str">
        <v>78065R</v>
      </c>
      <c r="J236" s="6" t="str">
        <v>Koninklijke Philips Electronics NV</v>
      </c>
      <c r="K236" s="6" t="str">
        <v>Koninklijke Philips Electronics NV</v>
      </c>
      <c r="L236" s="7">
        <f>=DATE(2002,10,8)</f>
        <v>37536.99949074074</v>
      </c>
      <c r="M236" s="7">
        <f>=DATE(2003,1,31)</f>
        <v>37651.99949074074</v>
      </c>
      <c r="N236" s="8">
        <v>35.5199528209161</v>
      </c>
      <c r="O236" s="8">
        <v>35.5199528209161</v>
      </c>
      <c r="R236" s="8">
        <v>-13.9668236739709</v>
      </c>
      <c r="S236" s="8">
        <v>16.642477450605</v>
      </c>
      <c r="T236" s="8">
        <v>12.131954</v>
      </c>
      <c r="U236" s="8">
        <v>-0.1791714</v>
      </c>
      <c r="V236" s="8">
        <v>-12.7452372</v>
      </c>
      <c r="W236" s="6" t="str">
        <v>Other Software (inq. Games)</v>
      </c>
      <c r="X236" s="6" t="str">
        <v>Data Processing Services;Primary Business not Hi-Tech</v>
      </c>
      <c r="Y236" s="6" t="str">
        <v>Medical Imaging Systems;Medical Monitoring Systems;Other Electronics;Other Telecommunications Equip</v>
      </c>
      <c r="Z236" s="6" t="str">
        <v>Other Telecommunications Equip;Other Electronics;Medical Monitoring Systems;Medical Imaging Systems</v>
      </c>
      <c r="AA236" s="6" t="str">
        <v>Other Software (inq. Games)</v>
      </c>
      <c r="AB236" s="6" t="str">
        <v>Other Software (inq. Games)</v>
      </c>
      <c r="AC236" s="8">
        <v>35.5199528209161</v>
      </c>
      <c r="AD236" s="7">
        <f>=DATE(2002,10,8)</f>
        <v>37536.99949074074</v>
      </c>
      <c r="AL236" s="8">
        <v>35.5199528209161</v>
      </c>
    </row>
    <row r="237">
      <c r="A237" s="6" t="str">
        <v>302125</v>
      </c>
      <c r="B237" s="6" t="str">
        <v>United States</v>
      </c>
      <c r="C237" s="6" t="str">
        <v>Expedia Inc</v>
      </c>
      <c r="D237" s="6" t="str">
        <v>USA Interactive</v>
      </c>
      <c r="F237" s="6" t="str">
        <v>Canada</v>
      </c>
      <c r="G237" s="6" t="str">
        <v>Newtrade Technologies Inc</v>
      </c>
      <c r="H237" s="6" t="str">
        <v>Prepackaged Software</v>
      </c>
      <c r="I237" s="6" t="str">
        <v>65322V</v>
      </c>
      <c r="J237" s="6" t="str">
        <v>Newtrade Technologies Inc</v>
      </c>
      <c r="K237" s="6" t="str">
        <v>Newtrade Technologies Inc</v>
      </c>
      <c r="L237" s="7">
        <f>=DATE(2002,10,16)</f>
        <v>37544.99949074074</v>
      </c>
      <c r="M237" s="7">
        <f>=DATE(2002,10,28)</f>
        <v>37556.99949074074</v>
      </c>
      <c r="W237" s="6" t="str">
        <v>Internet Services &amp; Software</v>
      </c>
      <c r="X237" s="6" t="str">
        <v>Internet Services &amp; Software;Communication/Network Software</v>
      </c>
      <c r="Y237" s="6" t="str">
        <v>Communication/Network Software;Internet Services &amp; Software</v>
      </c>
      <c r="Z237" s="6" t="str">
        <v>Communication/Network Software;Internet Services &amp; Software</v>
      </c>
      <c r="AA237" s="6" t="str">
        <v>Internet Services &amp; Software</v>
      </c>
      <c r="AB237" s="6" t="str">
        <v>Internet Services &amp; Software</v>
      </c>
    </row>
    <row r="238">
      <c r="A238" s="6" t="str">
        <v>594918</v>
      </c>
      <c r="B238" s="6" t="str">
        <v>United States</v>
      </c>
      <c r="C238" s="6" t="str">
        <v>Microsoft Corp</v>
      </c>
      <c r="D238" s="6" t="str">
        <v>Microsoft Corp</v>
      </c>
      <c r="E238" s="6" t="str">
        <v>Mercanti Systems Inc(Moloco)</v>
      </c>
      <c r="F238" s="6" t="str">
        <v>United States</v>
      </c>
      <c r="G238" s="6" t="str">
        <v>Vicinity Corp</v>
      </c>
      <c r="H238" s="6" t="str">
        <v>Business Services</v>
      </c>
      <c r="I238" s="6" t="str">
        <v>925653</v>
      </c>
      <c r="J238" s="6" t="str">
        <v>Vicinity Corp</v>
      </c>
      <c r="K238" s="6" t="str">
        <v>Vicinity Corp</v>
      </c>
      <c r="L238" s="7">
        <f>=DATE(2002,10,22)</f>
        <v>37550.99949074074</v>
      </c>
      <c r="M238" s="7">
        <f>=DATE(2002,12,13)</f>
        <v>37602.99949074074</v>
      </c>
      <c r="N238" s="8">
        <v>95.849</v>
      </c>
      <c r="O238" s="8">
        <v>95.849</v>
      </c>
      <c r="P238" s="8" t="str">
        <v>11.69</v>
      </c>
      <c r="Q238" s="8" t="str">
        <v>75.75</v>
      </c>
      <c r="R238" s="8">
        <v>-12.583</v>
      </c>
      <c r="S238" s="8">
        <v>17.737</v>
      </c>
      <c r="T238" s="8">
        <v>-2.747</v>
      </c>
      <c r="U238" s="8">
        <v>9.29</v>
      </c>
      <c r="V238" s="8">
        <v>-6.2</v>
      </c>
      <c r="W238" s="6" t="str">
        <v>Computer Consulting Services;Monitors/Terminals;Operating Systems;Internet Services &amp; Software;Applications Software(Business;Other Peripherals</v>
      </c>
      <c r="X238" s="6" t="str">
        <v>Applications Software(Business;Other Computer Related Svcs;Networking Systems (LAN,WAN);Utilities/File Mgmt Software;Internet Services &amp; Software;Communication/Network Software</v>
      </c>
      <c r="Y238" s="6" t="str">
        <v>Networking Systems (LAN,WAN);Communication/Network Software;Other Computer Related Svcs;Internet Services &amp; Software;Utilities/File Mgmt Software;Applications Software(Business</v>
      </c>
      <c r="Z238" s="6" t="str">
        <v>Other Computer Related Svcs;Networking Systems (LAN,WAN);Internet Services &amp; Software;Utilities/File Mgmt Software;Communication/Network Software;Applications Software(Business</v>
      </c>
      <c r="AA238" s="6" t="str">
        <v>Operating Systems;Applications Software(Business;Internet Services &amp; Software;Other Peripherals;Computer Consulting Services;Monitors/Terminals</v>
      </c>
      <c r="AB238" s="6" t="str">
        <v>Other Peripherals;Applications Software(Business;Operating Systems;Monitors/Terminals;Computer Consulting Services;Internet Services &amp; Software</v>
      </c>
      <c r="AC238" s="8">
        <v>95.849</v>
      </c>
      <c r="AD238" s="7">
        <f>=DATE(2002,10,22)</f>
        <v>37550.99949074074</v>
      </c>
      <c r="AE238" s="8">
        <v>102.54064005</v>
      </c>
      <c r="AF238" s="8" t="str">
        <v>12.28</v>
      </c>
      <c r="AG238" s="8" t="str">
        <v>11.69</v>
      </c>
      <c r="AH238" s="8" t="str">
        <v>95.26</v>
      </c>
      <c r="AI238" s="8" t="str">
        <v>95.85</v>
      </c>
      <c r="AL238" s="8">
        <v>95.849</v>
      </c>
    </row>
    <row r="239">
      <c r="A239" s="6" t="str">
        <v>00453N</v>
      </c>
      <c r="B239" s="6" t="str">
        <v>United States</v>
      </c>
      <c r="C239" s="6" t="str">
        <v>Accipiter Solutions Inc</v>
      </c>
      <c r="D239" s="6" t="str">
        <v>Accipiter Solutions Inc</v>
      </c>
      <c r="F239" s="6" t="str">
        <v>United States</v>
      </c>
      <c r="G239" s="6" t="str">
        <v>Engage Inc-Internet Advertising Business</v>
      </c>
      <c r="H239" s="6" t="str">
        <v>Advertising Services</v>
      </c>
      <c r="I239" s="6" t="str">
        <v>29323W</v>
      </c>
      <c r="J239" s="6" t="str">
        <v>Engage Inc</v>
      </c>
      <c r="K239" s="6" t="str">
        <v>Engage Inc</v>
      </c>
      <c r="L239" s="7">
        <f>=DATE(2002,11,6)</f>
        <v>37565.99949074074</v>
      </c>
      <c r="M239" s="7">
        <f>=DATE(2002,11,6)</f>
        <v>37565.99949074074</v>
      </c>
      <c r="W239" s="6" t="str">
        <v>Internet Services &amp; Software</v>
      </c>
      <c r="X239" s="6" t="str">
        <v>Internet Services &amp; Software</v>
      </c>
      <c r="Y239" s="6" t="str">
        <v>Applications Software(Business</v>
      </c>
      <c r="Z239" s="6" t="str">
        <v>Applications Software(Business</v>
      </c>
      <c r="AA239" s="6" t="str">
        <v>Internet Services &amp; Software</v>
      </c>
      <c r="AB239" s="6" t="str">
        <v>Internet Services &amp; Software</v>
      </c>
    </row>
    <row r="240">
      <c r="A240" s="6" t="str">
        <v>594918</v>
      </c>
      <c r="B240" s="6" t="str">
        <v>United States</v>
      </c>
      <c r="C240" s="6" t="str">
        <v>Microsoft Corp</v>
      </c>
      <c r="D240" s="6" t="str">
        <v>Microsoft Corp</v>
      </c>
      <c r="F240" s="6" t="str">
        <v>United States</v>
      </c>
      <c r="G240" s="6" t="str">
        <v>PlaceWare Inc</v>
      </c>
      <c r="H240" s="6" t="str">
        <v>Business Services</v>
      </c>
      <c r="I240" s="6" t="str">
        <v>72605H</v>
      </c>
      <c r="J240" s="6" t="str">
        <v>PlaceWare Inc</v>
      </c>
      <c r="K240" s="6" t="str">
        <v>PlaceWare Inc</v>
      </c>
      <c r="L240" s="7">
        <f>=DATE(2003,1,21)</f>
        <v>37641.99949074074</v>
      </c>
      <c r="M240" s="7">
        <f>=DATE(2003,4,30)</f>
        <v>37740.99949074074</v>
      </c>
      <c r="N240" s="8">
        <v>200</v>
      </c>
      <c r="O240" s="8">
        <v>200</v>
      </c>
      <c r="W240" s="6" t="str">
        <v>Operating Systems;Applications Software(Business;Computer Consulting Services;Internet Services &amp; Software;Monitors/Terminals;Other Peripherals</v>
      </c>
      <c r="X240" s="6" t="str">
        <v>Internet Services &amp; Software</v>
      </c>
      <c r="Y240" s="6" t="str">
        <v>Internet Services &amp; Software</v>
      </c>
      <c r="Z240" s="6" t="str">
        <v>Internet Services &amp; Software</v>
      </c>
      <c r="AA240" s="6" t="str">
        <v>Computer Consulting Services;Internet Services &amp; Software;Monitors/Terminals;Operating Systems;Applications Software(Business;Other Peripherals</v>
      </c>
      <c r="AB240" s="6" t="str">
        <v>Monitors/Terminals;Applications Software(Business;Computer Consulting Services;Other Peripherals;Internet Services &amp; Software;Operating Systems</v>
      </c>
      <c r="AC240" s="8">
        <v>200</v>
      </c>
      <c r="AD240" s="7">
        <f>=DATE(2003,1,31)</f>
        <v>37651.99949074074</v>
      </c>
      <c r="AL240" s="8">
        <v>200</v>
      </c>
    </row>
    <row r="241">
      <c r="A241" s="6" t="str">
        <v>38259P</v>
      </c>
      <c r="B241" s="6" t="str">
        <v>United States</v>
      </c>
      <c r="C241" s="6" t="str">
        <v>Google Inc</v>
      </c>
      <c r="D241" s="6" t="str">
        <v>Alphabet Inc</v>
      </c>
      <c r="F241" s="6" t="str">
        <v>United States</v>
      </c>
      <c r="G241" s="6" t="str">
        <v>Pyra Labs</v>
      </c>
      <c r="H241" s="6" t="str">
        <v>Prepackaged Software</v>
      </c>
      <c r="I241" s="6" t="str">
        <v>74806F</v>
      </c>
      <c r="J241" s="6" t="str">
        <v>Pyra Labs</v>
      </c>
      <c r="K241" s="6" t="str">
        <v>Pyra Labs</v>
      </c>
      <c r="L241" s="7">
        <f>=DATE(2003,2,15)</f>
        <v>37666.99949074074</v>
      </c>
      <c r="M241" s="7">
        <f>=DATE(2003,2,15)</f>
        <v>37666.99949074074</v>
      </c>
      <c r="W241" s="6" t="str">
        <v>Internet Services &amp; Software</v>
      </c>
      <c r="X241" s="6" t="str">
        <v>Other Software (inq. Games)</v>
      </c>
      <c r="Y241" s="6" t="str">
        <v>Other Software (inq. Games)</v>
      </c>
      <c r="Z241" s="6" t="str">
        <v>Other Software (inq. Games)</v>
      </c>
      <c r="AA241" s="6" t="str">
        <v>Computer Consulting Services;Programming Services;Internet Services &amp; Software;Telecommunications Equipment;Primary Business not Hi-Tech</v>
      </c>
      <c r="AB241" s="6" t="str">
        <v>Computer Consulting Services;Telecommunications Equipment;Primary Business not Hi-Tech;Programming Services;Internet Services &amp; Software</v>
      </c>
    </row>
    <row r="242">
      <c r="A242" s="6" t="str">
        <v>594918</v>
      </c>
      <c r="B242" s="6" t="str">
        <v>United States</v>
      </c>
      <c r="C242" s="6" t="str">
        <v>Microsoft Corp</v>
      </c>
      <c r="D242" s="6" t="str">
        <v>Microsoft Corp</v>
      </c>
      <c r="F242" s="6" t="str">
        <v>United States</v>
      </c>
      <c r="G242" s="6" t="str">
        <v>Connectix Corp-Assets</v>
      </c>
      <c r="H242" s="6" t="str">
        <v>Prepackaged Software</v>
      </c>
      <c r="I242" s="6" t="str">
        <v>20788Q</v>
      </c>
      <c r="J242" s="6" t="str">
        <v>Microsoft Corp</v>
      </c>
      <c r="K242" s="6" t="str">
        <v>Microsoft Corp</v>
      </c>
      <c r="L242" s="7">
        <f>=DATE(2003,2,25)</f>
        <v>37676.99949074074</v>
      </c>
      <c r="M242" s="7">
        <f>=DATE(2003,2,25)</f>
        <v>37676.99949074074</v>
      </c>
      <c r="W242" s="6" t="str">
        <v>Internet Services &amp; Software;Computer Consulting Services;Monitors/Terminals;Applications Software(Business;Other Peripherals;Operating Systems</v>
      </c>
      <c r="X242" s="6" t="str">
        <v>Other Software (inq. Games)</v>
      </c>
      <c r="Y242" s="6" t="str">
        <v>Applications Software(Business;Other Peripherals;Operating Systems;Internet Services &amp; Software;Computer Consulting Services;Monitors/Terminals</v>
      </c>
      <c r="Z242" s="6" t="str">
        <v>Monitors/Terminals;Applications Software(Business;Operating Systems;Other Peripherals;Computer Consulting Services;Internet Services &amp; Software</v>
      </c>
      <c r="AA242" s="6" t="str">
        <v>Applications Software(Business;Computer Consulting Services;Internet Services &amp; Software;Operating Systems;Other Peripherals;Monitors/Terminals</v>
      </c>
      <c r="AB242" s="6" t="str">
        <v>Computer Consulting Services;Other Peripherals;Monitors/Terminals;Operating Systems;Applications Software(Business;Internet Services &amp; Software</v>
      </c>
    </row>
    <row r="243">
      <c r="A243" s="6" t="str">
        <v>01864J</v>
      </c>
      <c r="B243" s="6" t="str">
        <v>United States</v>
      </c>
      <c r="C243" s="6" t="str">
        <v>Avanade Inc</v>
      </c>
      <c r="D243" s="6" t="str">
        <v>Microsoft Corp</v>
      </c>
      <c r="F243" s="6" t="str">
        <v>Australia</v>
      </c>
      <c r="G243" s="6" t="str">
        <v>DCG Pty Ltd</v>
      </c>
      <c r="H243" s="6" t="str">
        <v>Prepackaged Software</v>
      </c>
      <c r="I243" s="6" t="str">
        <v>23525Z</v>
      </c>
      <c r="J243" s="6" t="str">
        <v>DCG Pty Ltd</v>
      </c>
      <c r="K243" s="6" t="str">
        <v>DCG Pty Ltd</v>
      </c>
      <c r="L243" s="7">
        <f>=DATE(2003,3,3)</f>
        <v>37682.99949074074</v>
      </c>
      <c r="M243" s="7">
        <f>=DATE(2003,3,3)</f>
        <v>37682.99949074074</v>
      </c>
      <c r="W243" s="6" t="str">
        <v>Other Software (inq. Games);Other Computer Related Svcs;Computer Consulting Services</v>
      </c>
      <c r="X243" s="6" t="str">
        <v>Communication/Network Software;Internet Services &amp; Software</v>
      </c>
      <c r="Y243" s="6" t="str">
        <v>Internet Services &amp; Software;Communication/Network Software</v>
      </c>
      <c r="Z243" s="6" t="str">
        <v>Internet Services &amp; Software;Communication/Network Software</v>
      </c>
      <c r="AA243" s="6" t="str">
        <v>Other Peripherals;Monitors/Terminals;Computer Consulting Services;Applications Software(Business;Operating Systems;Internet Services &amp; Software</v>
      </c>
      <c r="AB243" s="6" t="str">
        <v>Operating Systems;Computer Consulting Services;Other Peripherals;Applications Software(Business;Monitors/Terminals;Internet Services &amp; Software</v>
      </c>
    </row>
    <row r="244">
      <c r="A244" s="6" t="str">
        <v>92586F</v>
      </c>
      <c r="B244" s="6" t="str">
        <v>United States</v>
      </c>
      <c r="C244" s="6" t="str">
        <v>Vicarious Visions Inc</v>
      </c>
      <c r="D244" s="6" t="str">
        <v>Vicarious Visions Inc</v>
      </c>
      <c r="F244" s="6" t="str">
        <v>United States</v>
      </c>
      <c r="G244" s="6" t="str">
        <v>Intrinsic Graphics Inc</v>
      </c>
      <c r="H244" s="6" t="str">
        <v>Prepackaged Software</v>
      </c>
      <c r="I244" s="6" t="str">
        <v>46179R</v>
      </c>
      <c r="J244" s="6" t="str">
        <v>Intrinsic Graphics Inc</v>
      </c>
      <c r="K244" s="6" t="str">
        <v>Intrinsic Graphics Inc</v>
      </c>
      <c r="L244" s="7">
        <f>=DATE(2003,4,14)</f>
        <v>37724.99949074074</v>
      </c>
      <c r="M244" s="7">
        <f>=DATE(2003,7,1)</f>
        <v>37802.99949074074</v>
      </c>
      <c r="W244" s="6" t="str">
        <v>Other Software (inq. Games)</v>
      </c>
      <c r="X244" s="6" t="str">
        <v>Other Software (inq. Games)</v>
      </c>
      <c r="Y244" s="6" t="str">
        <v>Other Software (inq. Games)</v>
      </c>
      <c r="Z244" s="6" t="str">
        <v>Other Software (inq. Games)</v>
      </c>
      <c r="AA244" s="6" t="str">
        <v>Other Software (inq. Games)</v>
      </c>
      <c r="AB244" s="6" t="str">
        <v>Other Software (inq. Games)</v>
      </c>
    </row>
    <row r="245">
      <c r="A245" s="6" t="str">
        <v>38259P</v>
      </c>
      <c r="B245" s="6" t="str">
        <v>United States</v>
      </c>
      <c r="C245" s="6" t="str">
        <v>Google Inc</v>
      </c>
      <c r="D245" s="6" t="str">
        <v>Alphabet Inc</v>
      </c>
      <c r="F245" s="6" t="str">
        <v>United States</v>
      </c>
      <c r="G245" s="6" t="str">
        <v>Applied Semantics Inc</v>
      </c>
      <c r="H245" s="6" t="str">
        <v>Prepackaged Software</v>
      </c>
      <c r="I245" s="6" t="str">
        <v>03869H</v>
      </c>
      <c r="J245" s="6" t="str">
        <v>Applied Semantics Inc</v>
      </c>
      <c r="K245" s="6" t="str">
        <v>Applied Semantics Inc</v>
      </c>
      <c r="L245" s="7">
        <f>=DATE(2003,4,23)</f>
        <v>37733.99949074074</v>
      </c>
      <c r="M245" s="7">
        <f>=DATE(2003,4,23)</f>
        <v>37733.99949074074</v>
      </c>
      <c r="W245" s="6" t="str">
        <v>Internet Services &amp; Software</v>
      </c>
      <c r="X245" s="6" t="str">
        <v>Applications Software(Business</v>
      </c>
      <c r="Y245" s="6" t="str">
        <v>Applications Software(Business</v>
      </c>
      <c r="Z245" s="6" t="str">
        <v>Applications Software(Business</v>
      </c>
      <c r="AA245" s="6" t="str">
        <v>Computer Consulting Services;Telecommunications Equipment;Internet Services &amp; Software;Programming Services;Primary Business not Hi-Tech</v>
      </c>
      <c r="AB245" s="6" t="str">
        <v>Telecommunications Equipment;Internet Services &amp; Software;Programming Services;Primary Business not Hi-Tech;Computer Consulting Services</v>
      </c>
    </row>
    <row r="246">
      <c r="A246" s="6" t="str">
        <v>01864J</v>
      </c>
      <c r="B246" s="6" t="str">
        <v>United States</v>
      </c>
      <c r="C246" s="6" t="str">
        <v>Avanade Inc</v>
      </c>
      <c r="D246" s="6" t="str">
        <v>Microsoft Corp</v>
      </c>
      <c r="F246" s="6" t="str">
        <v>United States</v>
      </c>
      <c r="G246" s="6" t="str">
        <v>G.A. Sullivan</v>
      </c>
      <c r="H246" s="6" t="str">
        <v>Prepackaged Software</v>
      </c>
      <c r="I246" s="6" t="str">
        <v>36301T</v>
      </c>
      <c r="J246" s="6" t="str">
        <v>G.A. Sullivan</v>
      </c>
      <c r="K246" s="6" t="str">
        <v>G.A. Sullivan</v>
      </c>
      <c r="L246" s="7">
        <f>=DATE(2003,5,27)</f>
        <v>37767.99949074074</v>
      </c>
      <c r="M246" s="7">
        <f>=DATE(2003,5,27)</f>
        <v>37767.99949074074</v>
      </c>
      <c r="W246" s="6" t="str">
        <v>Computer Consulting Services;Other Computer Related Svcs;Other Software (inq. Games)</v>
      </c>
      <c r="X246" s="6" t="str">
        <v>Applications Software(Business;Other Computer Related Svcs;Other Software (inq. Games);Other Computer Systems</v>
      </c>
      <c r="Y246" s="6" t="str">
        <v>Other Computer Systems;Applications Software(Business;Other Computer Related Svcs;Other Software (inq. Games)</v>
      </c>
      <c r="Z246" s="6" t="str">
        <v>Applications Software(Business;Other Software (inq. Games);Other Computer Related Svcs;Other Computer Systems</v>
      </c>
      <c r="AA246" s="6" t="str">
        <v>Applications Software(Business;Internet Services &amp; Software;Operating Systems;Other Peripherals;Computer Consulting Services;Monitors/Terminals</v>
      </c>
      <c r="AB246" s="6" t="str">
        <v>Monitors/Terminals;Operating Systems;Computer Consulting Services;Internet Services &amp; Software;Applications Software(Business;Other Peripherals</v>
      </c>
    </row>
    <row r="247">
      <c r="A247" s="6" t="str">
        <v>594918</v>
      </c>
      <c r="B247" s="6" t="str">
        <v>United States</v>
      </c>
      <c r="C247" s="6" t="str">
        <v>Microsoft Corp</v>
      </c>
      <c r="D247" s="6" t="str">
        <v>Microsoft Corp</v>
      </c>
      <c r="F247" s="6" t="str">
        <v>Romania</v>
      </c>
      <c r="G247" s="6" t="str">
        <v>GeCAD Software srl-Technology Assets</v>
      </c>
      <c r="H247" s="6" t="str">
        <v>Prepackaged Software</v>
      </c>
      <c r="I247" s="6" t="str">
        <v>36834R</v>
      </c>
      <c r="J247" s="6" t="str">
        <v>Gecad Software srl</v>
      </c>
      <c r="K247" s="6" t="str">
        <v>Gecad Software srl</v>
      </c>
      <c r="L247" s="7">
        <f>=DATE(2003,6,10)</f>
        <v>37781.99949074074</v>
      </c>
      <c r="W247" s="6" t="str">
        <v>Other Peripherals;Operating Systems;Computer Consulting Services;Internet Services &amp; Software;Monitors/Terminals;Applications Software(Business</v>
      </c>
      <c r="X247" s="6" t="str">
        <v>Other Software (inq. Games)</v>
      </c>
      <c r="Y247" s="6" t="str">
        <v>Other Software (inq. Games)</v>
      </c>
      <c r="Z247" s="6" t="str">
        <v>Other Software (inq. Games)</v>
      </c>
      <c r="AA247" s="6" t="str">
        <v>Internet Services &amp; Software;Other Peripherals;Operating Systems;Monitors/Terminals;Applications Software(Business;Computer Consulting Services</v>
      </c>
      <c r="AB247" s="6" t="str">
        <v>Applications Software(Business;Monitors/Terminals;Operating Systems;Computer Consulting Services;Other Peripherals;Internet Services &amp; Software</v>
      </c>
    </row>
    <row r="248">
      <c r="A248" s="6" t="str">
        <v>92696Q</v>
      </c>
      <c r="B248" s="6" t="str">
        <v>United States</v>
      </c>
      <c r="C248" s="6" t="str">
        <v>Viecore Inc</v>
      </c>
      <c r="D248" s="6" t="str">
        <v>Viecore Inc</v>
      </c>
      <c r="F248" s="6" t="str">
        <v>United States</v>
      </c>
      <c r="G248" s="6" t="str">
        <v>Unixpros Inc</v>
      </c>
      <c r="H248" s="6" t="str">
        <v>Business Services</v>
      </c>
      <c r="I248" s="6" t="str">
        <v>91535Z</v>
      </c>
      <c r="J248" s="6" t="str">
        <v>Eclipse Networks Inc</v>
      </c>
      <c r="K248" s="6" t="str">
        <v>Eclipse Networks Inc</v>
      </c>
      <c r="L248" s="7">
        <f>=DATE(2003,6,18)</f>
        <v>37789.99949074074</v>
      </c>
      <c r="M248" s="7">
        <f>=DATE(2003,6,18)</f>
        <v>37789.99949074074</v>
      </c>
      <c r="W248" s="6" t="str">
        <v>Database Software/Programming</v>
      </c>
      <c r="X248" s="6" t="str">
        <v>CAD/CAM/CAE/Graphics Systems;Programming Services</v>
      </c>
      <c r="Y248" s="6" t="str">
        <v>Computer Consulting Services</v>
      </c>
      <c r="Z248" s="6" t="str">
        <v>Computer Consulting Services</v>
      </c>
      <c r="AA248" s="6" t="str">
        <v>Database Software/Programming</v>
      </c>
      <c r="AB248" s="6" t="str">
        <v>Database Software/Programming</v>
      </c>
    </row>
    <row r="249">
      <c r="A249" s="6" t="str">
        <v>594918</v>
      </c>
      <c r="B249" s="6" t="str">
        <v>United States</v>
      </c>
      <c r="C249" s="6" t="str">
        <v>Microsoft Corp</v>
      </c>
      <c r="D249" s="6" t="str">
        <v>Microsoft Corp</v>
      </c>
      <c r="F249" s="6" t="str">
        <v>United States</v>
      </c>
      <c r="G249" s="6" t="str">
        <v>3DO Co-High Heat Baseball Product Line</v>
      </c>
      <c r="H249" s="6" t="str">
        <v>Prepackaged Software</v>
      </c>
      <c r="I249" s="6" t="str">
        <v>88573F</v>
      </c>
      <c r="J249" s="6" t="str">
        <v>3DO Co</v>
      </c>
      <c r="K249" s="6" t="str">
        <v>3DO Co</v>
      </c>
      <c r="L249" s="7">
        <f>=DATE(2003,8,29)</f>
        <v>37861.99949074074</v>
      </c>
      <c r="M249" s="7">
        <f>=DATE(2003,8,29)</f>
        <v>37861.99949074074</v>
      </c>
      <c r="N249" s="8">
        <v>0.45</v>
      </c>
      <c r="O249" s="8">
        <v>0.45</v>
      </c>
      <c r="W249" s="6" t="str">
        <v>Computer Consulting Services;Applications Software(Business;Operating Systems;Internet Services &amp; Software;Other Peripherals;Monitors/Terminals</v>
      </c>
      <c r="X249" s="6" t="str">
        <v>Other Software (inq. Games)</v>
      </c>
      <c r="Y249" s="6" t="str">
        <v>Other Computer Systems;Other Software (inq. Games)</v>
      </c>
      <c r="Z249" s="6" t="str">
        <v>Other Computer Systems;Other Software (inq. Games)</v>
      </c>
      <c r="AA249" s="6" t="str">
        <v>Other Peripherals;Internet Services &amp; Software;Applications Software(Business;Operating Systems;Monitors/Terminals;Computer Consulting Services</v>
      </c>
      <c r="AB249" s="6" t="str">
        <v>Computer Consulting Services;Other Peripherals;Monitors/Terminals;Applications Software(Business;Operating Systems;Internet Services &amp; Software</v>
      </c>
      <c r="AC249" s="8">
        <v>0.45</v>
      </c>
      <c r="AD249" s="7">
        <f>=DATE(2003,8,29)</f>
        <v>37861.99949074074</v>
      </c>
      <c r="AL249" s="8">
        <v>0.45</v>
      </c>
    </row>
    <row r="250">
      <c r="A250" s="6" t="str">
        <v>38259P</v>
      </c>
      <c r="B250" s="6" t="str">
        <v>United States</v>
      </c>
      <c r="C250" s="6" t="str">
        <v>Google Inc</v>
      </c>
      <c r="D250" s="6" t="str">
        <v>Alphabet Inc</v>
      </c>
      <c r="F250" s="6" t="str">
        <v>United States</v>
      </c>
      <c r="G250" s="6" t="str">
        <v>Kaltix Corp</v>
      </c>
      <c r="H250" s="6" t="str">
        <v>Prepackaged Software</v>
      </c>
      <c r="I250" s="6" t="str">
        <v>48430T</v>
      </c>
      <c r="J250" s="6" t="str">
        <v>Kaltix Corp</v>
      </c>
      <c r="K250" s="6" t="str">
        <v>Kaltix Corp</v>
      </c>
      <c r="L250" s="7">
        <f>=DATE(2003,9,30)</f>
        <v>37893.99949074074</v>
      </c>
      <c r="M250" s="7">
        <f>=DATE(2003,9,30)</f>
        <v>37893.99949074074</v>
      </c>
      <c r="W250" s="6" t="str">
        <v>Internet Services &amp; Software</v>
      </c>
      <c r="X250" s="6" t="str">
        <v>Communication/Network Software;Internet Services &amp; Software</v>
      </c>
      <c r="Y250" s="6" t="str">
        <v>Communication/Network Software;Internet Services &amp; Software</v>
      </c>
      <c r="Z250" s="6" t="str">
        <v>Communication/Network Software;Internet Services &amp; Software</v>
      </c>
      <c r="AA250" s="6" t="str">
        <v>Computer Consulting Services;Telecommunications Equipment;Primary Business not Hi-Tech;Programming Services;Internet Services &amp; Software</v>
      </c>
      <c r="AB250" s="6" t="str">
        <v>Internet Services &amp; Software;Programming Services;Primary Business not Hi-Tech;Telecommunications Equipment;Computer Consulting Services</v>
      </c>
    </row>
    <row r="251">
      <c r="A251" s="6" t="str">
        <v>38259P</v>
      </c>
      <c r="B251" s="6" t="str">
        <v>United States</v>
      </c>
      <c r="C251" s="6" t="str">
        <v>Google Inc</v>
      </c>
      <c r="D251" s="6" t="str">
        <v>Alphabet Inc</v>
      </c>
      <c r="F251" s="6" t="str">
        <v>United States</v>
      </c>
      <c r="G251" s="6" t="str">
        <v>Sprinks</v>
      </c>
      <c r="H251" s="6" t="str">
        <v>Advertising Services</v>
      </c>
      <c r="I251" s="6" t="str">
        <v>85163C</v>
      </c>
      <c r="J251" s="6" t="str">
        <v>PRIMEDIA Inc</v>
      </c>
      <c r="K251" s="6" t="str">
        <v>PRIMEDIA Inc</v>
      </c>
      <c r="L251" s="7">
        <f>=DATE(2003,10,24)</f>
        <v>37917.99949074074</v>
      </c>
      <c r="M251" s="7">
        <f>=DATE(2003,10,24)</f>
        <v>37917.99949074074</v>
      </c>
      <c r="W251" s="6" t="str">
        <v>Internet Services &amp; Software</v>
      </c>
      <c r="X251" s="6" t="str">
        <v>Internet Services &amp; Software</v>
      </c>
      <c r="Y251" s="6" t="str">
        <v>Primary Business not Hi-Tech;Internet Services &amp; Software</v>
      </c>
      <c r="Z251" s="6" t="str">
        <v>Primary Business not Hi-Tech;Internet Services &amp; Software</v>
      </c>
      <c r="AA251" s="6" t="str">
        <v>Programming Services;Telecommunications Equipment;Internet Services &amp; Software;Primary Business not Hi-Tech;Computer Consulting Services</v>
      </c>
      <c r="AB251" s="6" t="str">
        <v>Primary Business not Hi-Tech;Programming Services;Computer Consulting Services;Internet Services &amp; Software;Telecommunications Equipment</v>
      </c>
    </row>
    <row r="252">
      <c r="A252" s="6" t="str">
        <v>04930W</v>
      </c>
      <c r="B252" s="6" t="str">
        <v>United States</v>
      </c>
      <c r="C252" s="6" t="str">
        <v>Atlas DMT</v>
      </c>
      <c r="D252" s="6" t="str">
        <v>aQuantive Inc</v>
      </c>
      <c r="F252" s="6" t="str">
        <v>United States</v>
      </c>
      <c r="G252" s="6" t="str">
        <v>Go Toast LLC</v>
      </c>
      <c r="H252" s="6" t="str">
        <v>Business Services</v>
      </c>
      <c r="I252" s="6" t="str">
        <v>38018F</v>
      </c>
      <c r="J252" s="6" t="str">
        <v>Go Toast LLC</v>
      </c>
      <c r="K252" s="6" t="str">
        <v>Go Toast LLC</v>
      </c>
      <c r="L252" s="7">
        <f>=DATE(2003,12,15)</f>
        <v>37969.99949074074</v>
      </c>
      <c r="M252" s="7">
        <f>=DATE(2003,12,15)</f>
        <v>37969.99949074074</v>
      </c>
      <c r="W252" s="6" t="str">
        <v>Internet Services &amp; Software</v>
      </c>
      <c r="X252" s="6" t="str">
        <v>Communication/Network Software;Internet Services &amp; Software</v>
      </c>
      <c r="Y252" s="6" t="str">
        <v>Internet Services &amp; Software;Communication/Network Software</v>
      </c>
      <c r="Z252" s="6" t="str">
        <v>Communication/Network Software;Internet Services &amp; Software</v>
      </c>
      <c r="AA252" s="6" t="str">
        <v>Internet Services &amp; Software</v>
      </c>
      <c r="AB252" s="6" t="str">
        <v>Internet Services &amp; Software</v>
      </c>
    </row>
    <row r="253">
      <c r="A253" s="6" t="str">
        <v>38259P</v>
      </c>
      <c r="B253" s="6" t="str">
        <v>United States</v>
      </c>
      <c r="C253" s="6" t="str">
        <v>Google Inc</v>
      </c>
      <c r="D253" s="6" t="str">
        <v>Alphabet Inc</v>
      </c>
      <c r="F253" s="6" t="str">
        <v>United States</v>
      </c>
      <c r="G253" s="6" t="str">
        <v>Neotonic Software</v>
      </c>
      <c r="H253" s="6" t="str">
        <v>Prepackaged Software</v>
      </c>
      <c r="I253" s="6" t="str">
        <v>64230Z</v>
      </c>
      <c r="J253" s="6" t="str">
        <v>Neotonic Software</v>
      </c>
      <c r="K253" s="6" t="str">
        <v>Neotonic Software</v>
      </c>
      <c r="L253" s="7">
        <f>=DATE(2003,12,31)</f>
        <v>37985.99949074074</v>
      </c>
      <c r="M253" s="7">
        <f>=DATE(2003,12,31)</f>
        <v>37985.99949074074</v>
      </c>
      <c r="W253" s="6" t="str">
        <v>Internet Services &amp; Software</v>
      </c>
      <c r="X253" s="6" t="str">
        <v>Other Software (inq. Games);Applications Software(Business</v>
      </c>
      <c r="Y253" s="6" t="str">
        <v>Applications Software(Business;Other Software (inq. Games)</v>
      </c>
      <c r="Z253" s="6" t="str">
        <v>Applications Software(Business;Other Software (inq. Games)</v>
      </c>
      <c r="AA253" s="6" t="str">
        <v>Computer Consulting Services;Primary Business not Hi-Tech;Programming Services;Internet Services &amp; Software;Telecommunications Equipment</v>
      </c>
      <c r="AB253" s="6" t="str">
        <v>Computer Consulting Services;Primary Business not Hi-Tech;Telecommunications Equipment;Internet Services &amp; Software;Programming Services</v>
      </c>
    </row>
    <row r="254">
      <c r="A254" s="6" t="str">
        <v>04930W</v>
      </c>
      <c r="B254" s="6" t="str">
        <v>United States</v>
      </c>
      <c r="C254" s="6" t="str">
        <v>Atlas DMT</v>
      </c>
      <c r="D254" s="6" t="str">
        <v>aQuantive Inc</v>
      </c>
      <c r="F254" s="6" t="str">
        <v>United States</v>
      </c>
      <c r="G254" s="6" t="str">
        <v>NetConversions Inc</v>
      </c>
      <c r="H254" s="6" t="str">
        <v>Business Services</v>
      </c>
      <c r="I254" s="6" t="str">
        <v>64180L</v>
      </c>
      <c r="J254" s="6" t="str">
        <v>NetConversions Inc</v>
      </c>
      <c r="K254" s="6" t="str">
        <v>NetConversions Inc</v>
      </c>
      <c r="L254" s="7">
        <f>=DATE(2004,2,11)</f>
        <v>38027.99949074074</v>
      </c>
      <c r="M254" s="7">
        <f>=DATE(2004,2,11)</f>
        <v>38027.99949074074</v>
      </c>
      <c r="N254" s="8">
        <v>7</v>
      </c>
      <c r="O254" s="8">
        <v>7</v>
      </c>
      <c r="W254" s="6" t="str">
        <v>Internet Services &amp; Software</v>
      </c>
      <c r="X254" s="6" t="str">
        <v>Communication/Network Software;Internet Services &amp; Software</v>
      </c>
      <c r="Y254" s="6" t="str">
        <v>Internet Services &amp; Software;Communication/Network Software</v>
      </c>
      <c r="Z254" s="6" t="str">
        <v>Internet Services &amp; Software;Communication/Network Software</v>
      </c>
      <c r="AA254" s="6" t="str">
        <v>Internet Services &amp; Software</v>
      </c>
      <c r="AB254" s="6" t="str">
        <v>Internet Services &amp; Software</v>
      </c>
      <c r="AC254" s="8">
        <v>7</v>
      </c>
      <c r="AD254" s="7">
        <f>=DATE(2004,2,11)</f>
        <v>38027.99949074074</v>
      </c>
      <c r="AL254" s="8">
        <v>7</v>
      </c>
    </row>
    <row r="255">
      <c r="A255" s="6" t="str">
        <v>59533X</v>
      </c>
      <c r="B255" s="6" t="str">
        <v>United States</v>
      </c>
      <c r="C255" s="6" t="str">
        <v>Microsoft Business Solutions</v>
      </c>
      <c r="D255" s="6" t="str">
        <v>Microsoft Corp</v>
      </c>
      <c r="F255" s="6" t="str">
        <v>United States</v>
      </c>
      <c r="G255" s="6" t="str">
        <v>Encore Business Solutions Inc-IP Assets</v>
      </c>
      <c r="H255" s="6" t="str">
        <v>Business Services</v>
      </c>
      <c r="I255" s="6" t="str">
        <v>29521Z</v>
      </c>
      <c r="J255" s="6" t="str">
        <v>Encore Business Solutions Inc</v>
      </c>
      <c r="K255" s="6" t="str">
        <v>Encore Business Solutions Inc</v>
      </c>
      <c r="L255" s="7">
        <f>=DATE(2004,4,22)</f>
        <v>38098.99949074074</v>
      </c>
      <c r="M255" s="7">
        <f>=DATE(2004,4,22)</f>
        <v>38098.99949074074</v>
      </c>
      <c r="W255" s="6" t="str">
        <v>Communication/Network Software;Internet Services &amp; Software</v>
      </c>
      <c r="X255" s="6" t="str">
        <v>Computer Consulting Services</v>
      </c>
      <c r="Y255" s="6" t="str">
        <v>Computer Consulting Services</v>
      </c>
      <c r="Z255" s="6" t="str">
        <v>Computer Consulting Services</v>
      </c>
      <c r="AA255" s="6" t="str">
        <v>Applications Software(Business;Internet Services &amp; Software;Other Peripherals;Operating Systems;Monitors/Terminals;Computer Consulting Services</v>
      </c>
      <c r="AB255" s="6" t="str">
        <v>Computer Consulting Services;Applications Software(Business;Operating Systems;Other Peripherals;Internet Services &amp; Software;Monitors/Terminals</v>
      </c>
    </row>
    <row r="256">
      <c r="A256" s="6" t="str">
        <v>594918</v>
      </c>
      <c r="B256" s="6" t="str">
        <v>United States</v>
      </c>
      <c r="C256" s="6" t="str">
        <v>Microsoft Corp</v>
      </c>
      <c r="D256" s="6" t="str">
        <v>Microsoft Corp</v>
      </c>
      <c r="F256" s="6" t="str">
        <v>United States</v>
      </c>
      <c r="G256" s="6" t="str">
        <v>ActiveViews Inc</v>
      </c>
      <c r="H256" s="6" t="str">
        <v>Business Services</v>
      </c>
      <c r="I256" s="6" t="str">
        <v>00585J</v>
      </c>
      <c r="J256" s="6" t="str">
        <v>ActiveViews Inc</v>
      </c>
      <c r="K256" s="6" t="str">
        <v>ActiveViews Inc</v>
      </c>
      <c r="L256" s="7">
        <f>=DATE(2004,4,26)</f>
        <v>38102.99949074074</v>
      </c>
      <c r="M256" s="7">
        <f>=DATE(2004,4,26)</f>
        <v>38102.99949074074</v>
      </c>
      <c r="W256" s="6" t="str">
        <v>Internet Services &amp; Software;Applications Software(Business;Operating Systems;Other Peripherals;Monitors/Terminals;Computer Consulting Services</v>
      </c>
      <c r="X256" s="6" t="str">
        <v>Programming Services;Computer Consulting Services;Other Computer Related Svcs</v>
      </c>
      <c r="Y256" s="6" t="str">
        <v>Computer Consulting Services;Programming Services;Other Computer Related Svcs</v>
      </c>
      <c r="Z256" s="6" t="str">
        <v>Programming Services;Other Computer Related Svcs;Computer Consulting Services</v>
      </c>
      <c r="AA256" s="6" t="str">
        <v>Other Peripherals;Operating Systems;Monitors/Terminals;Internet Services &amp; Software;Computer Consulting Services;Applications Software(Business</v>
      </c>
      <c r="AB256" s="6" t="str">
        <v>Internet Services &amp; Software;Operating Systems;Applications Software(Business;Computer Consulting Services;Other Peripherals;Monitors/Terminals</v>
      </c>
    </row>
    <row r="257">
      <c r="A257" s="6" t="str">
        <v>38259P</v>
      </c>
      <c r="B257" s="6" t="str">
        <v>United States</v>
      </c>
      <c r="C257" s="6" t="str">
        <v>Google Inc</v>
      </c>
      <c r="D257" s="6" t="str">
        <v>Alphabet Inc</v>
      </c>
      <c r="F257" s="6" t="str">
        <v>United States</v>
      </c>
      <c r="G257" s="6" t="str">
        <v>Ignite Logic</v>
      </c>
      <c r="H257" s="6" t="str">
        <v>Prepackaged Software</v>
      </c>
      <c r="I257" s="6" t="str">
        <v>46786F</v>
      </c>
      <c r="J257" s="6" t="str">
        <v>Ignite Logic</v>
      </c>
      <c r="K257" s="6" t="str">
        <v>Ignite Logic</v>
      </c>
      <c r="L257" s="7">
        <f>=DATE(2004,5,3)</f>
        <v>38109.99949074074</v>
      </c>
      <c r="M257" s="7">
        <f>=DATE(2004,5,3)</f>
        <v>38109.99949074074</v>
      </c>
      <c r="W257" s="6" t="str">
        <v>Internet Services &amp; Software</v>
      </c>
      <c r="X257" s="6" t="str">
        <v>Internet Services &amp; Software;Communication/Network Software</v>
      </c>
      <c r="Y257" s="6" t="str">
        <v>Communication/Network Software;Internet Services &amp; Software</v>
      </c>
      <c r="Z257" s="6" t="str">
        <v>Communication/Network Software;Internet Services &amp; Software</v>
      </c>
      <c r="AA257" s="6" t="str">
        <v>Primary Business not Hi-Tech;Telecommunications Equipment;Internet Services &amp; Software;Programming Services;Computer Consulting Services</v>
      </c>
      <c r="AB257" s="6" t="str">
        <v>Telecommunications Equipment;Computer Consulting Services;Primary Business not Hi-Tech;Internet Services &amp; Software;Programming Services</v>
      </c>
    </row>
    <row r="258">
      <c r="A258" s="6" t="str">
        <v>38259P</v>
      </c>
      <c r="B258" s="6" t="str">
        <v>United States</v>
      </c>
      <c r="C258" s="6" t="str">
        <v>Google Inc</v>
      </c>
      <c r="D258" s="6" t="str">
        <v>Alphabet Inc</v>
      </c>
      <c r="F258" s="6" t="str">
        <v>China (Mainland)</v>
      </c>
      <c r="G258" s="6" t="str">
        <v>Baidu.com Inc</v>
      </c>
      <c r="H258" s="6" t="str">
        <v>Business Services</v>
      </c>
      <c r="I258" s="6" t="str">
        <v>056752</v>
      </c>
      <c r="J258" s="6" t="str">
        <v>Baidu.com Inc</v>
      </c>
      <c r="K258" s="6" t="str">
        <v>Baidu.com Inc</v>
      </c>
      <c r="L258" s="7">
        <f>=DATE(2004,6,15)</f>
        <v>38152.99949074074</v>
      </c>
      <c r="M258" s="7">
        <f>=DATE(2004,6,15)</f>
        <v>38152.99949074074</v>
      </c>
      <c r="R258" s="8">
        <v>-1.141</v>
      </c>
      <c r="S258" s="8">
        <v>4.962</v>
      </c>
      <c r="T258" s="8">
        <v>0.009</v>
      </c>
      <c r="U258" s="8">
        <v>-1.022</v>
      </c>
      <c r="V258" s="8">
        <v>1.631</v>
      </c>
      <c r="W258" s="6" t="str">
        <v>Internet Services &amp; Software</v>
      </c>
      <c r="X258" s="6" t="str">
        <v>Internet Services &amp; Software</v>
      </c>
      <c r="Y258" s="6" t="str">
        <v>Internet Services &amp; Software</v>
      </c>
      <c r="Z258" s="6" t="str">
        <v>Internet Services &amp; Software</v>
      </c>
      <c r="AA258" s="6" t="str">
        <v>Computer Consulting Services;Programming Services;Primary Business not Hi-Tech;Telecommunications Equipment;Internet Services &amp; Software</v>
      </c>
      <c r="AB258" s="6" t="str">
        <v>Computer Consulting Services;Primary Business not Hi-Tech;Programming Services;Internet Services &amp; Software;Telecommunications Equipment</v>
      </c>
    </row>
    <row r="259">
      <c r="A259" s="6" t="str">
        <v>03839G</v>
      </c>
      <c r="B259" s="6" t="str">
        <v>United States</v>
      </c>
      <c r="C259" s="6" t="str">
        <v>aQuantive Inc</v>
      </c>
      <c r="D259" s="6" t="str">
        <v>aQuantive Inc</v>
      </c>
      <c r="F259" s="6" t="str">
        <v>United States</v>
      </c>
      <c r="G259" s="6" t="str">
        <v>SBI.Razorfish</v>
      </c>
      <c r="H259" s="6" t="str">
        <v>Business Services</v>
      </c>
      <c r="I259" s="6" t="str">
        <v>78740E</v>
      </c>
      <c r="J259" s="6" t="str">
        <v>SBI Group Inc</v>
      </c>
      <c r="K259" s="6" t="str">
        <v>SBI Group Inc</v>
      </c>
      <c r="L259" s="7">
        <f>=DATE(2004,6,28)</f>
        <v>38165.99949074074</v>
      </c>
      <c r="M259" s="7">
        <f>=DATE(2004,7,27)</f>
        <v>38194.99949074074</v>
      </c>
      <c r="N259" s="8">
        <v>160</v>
      </c>
      <c r="O259" s="8">
        <v>160</v>
      </c>
      <c r="R259" s="8">
        <v>-4.284</v>
      </c>
      <c r="S259" s="8">
        <v>45.363</v>
      </c>
      <c r="T259" s="8">
        <v>6.307</v>
      </c>
      <c r="U259" s="8">
        <v>-2.592</v>
      </c>
      <c r="V259" s="8">
        <v>-5.664</v>
      </c>
      <c r="W259" s="6" t="str">
        <v>Internet Services &amp; Software</v>
      </c>
      <c r="X259" s="6" t="str">
        <v>Internet Services &amp; Software;Computer Consulting Services;Other Software (inq. Games);Programming Services;Other Computer Related Svcs;Applications Software(Business;Other Computer Systems;Database Software/Programming;Communication/Network Software</v>
      </c>
      <c r="Y259" s="6" t="str">
        <v>Other Computer Related Svcs;Programming Services;Computer Consulting Services</v>
      </c>
      <c r="Z259" s="6" t="str">
        <v>Programming Services;Computer Consulting Services;Other Computer Related Svcs</v>
      </c>
      <c r="AA259" s="6" t="str">
        <v>Internet Services &amp; Software</v>
      </c>
      <c r="AB259" s="6" t="str">
        <v>Internet Services &amp; Software</v>
      </c>
      <c r="AC259" s="8">
        <v>160</v>
      </c>
      <c r="AD259" s="7">
        <f>=DATE(2004,6,28)</f>
        <v>38165.99949074074</v>
      </c>
      <c r="AL259" s="8">
        <v>160</v>
      </c>
    </row>
    <row r="260">
      <c r="A260" s="6" t="str">
        <v>38259P</v>
      </c>
      <c r="B260" s="6" t="str">
        <v>United States</v>
      </c>
      <c r="C260" s="6" t="str">
        <v>Google Inc</v>
      </c>
      <c r="D260" s="6" t="str">
        <v>Alphabet Inc</v>
      </c>
      <c r="F260" s="6" t="str">
        <v>United States</v>
      </c>
      <c r="G260" s="6" t="str">
        <v>Picasa Inc</v>
      </c>
      <c r="H260" s="6" t="str">
        <v>Prepackaged Software</v>
      </c>
      <c r="I260" s="6" t="str">
        <v>71935W</v>
      </c>
      <c r="J260" s="6" t="str">
        <v>Picasa Inc</v>
      </c>
      <c r="K260" s="6" t="str">
        <v>Picasa Inc</v>
      </c>
      <c r="L260" s="7">
        <f>=DATE(2004,7,13)</f>
        <v>38180.99949074074</v>
      </c>
      <c r="M260" s="7">
        <f>=DATE(2004,7,13)</f>
        <v>38180.99949074074</v>
      </c>
      <c r="W260" s="6" t="str">
        <v>Internet Services &amp; Software</v>
      </c>
      <c r="X260" s="6" t="str">
        <v>Other Software (inq. Games)</v>
      </c>
      <c r="Y260" s="6" t="str">
        <v>Other Software (inq. Games)</v>
      </c>
      <c r="Z260" s="6" t="str">
        <v>Other Software (inq. Games)</v>
      </c>
      <c r="AA260" s="6" t="str">
        <v>Telecommunications Equipment;Computer Consulting Services;Programming Services;Primary Business not Hi-Tech;Internet Services &amp; Software</v>
      </c>
      <c r="AB260" s="6" t="str">
        <v>Programming Services;Internet Services &amp; Software;Telecommunications Equipment;Primary Business not Hi-Tech;Computer Consulting Services</v>
      </c>
    </row>
    <row r="261">
      <c r="A261" s="6" t="str">
        <v>59493Z</v>
      </c>
      <c r="B261" s="6" t="str">
        <v>United States</v>
      </c>
      <c r="C261" s="6" t="str">
        <v>Microsoft Network LLC{MSN}</v>
      </c>
      <c r="D261" s="6" t="str">
        <v>Microsoft Corp</v>
      </c>
      <c r="F261" s="6" t="str">
        <v>United States</v>
      </c>
      <c r="G261" s="6" t="str">
        <v>Lookout Software LLC</v>
      </c>
      <c r="H261" s="6" t="str">
        <v>Prepackaged Software</v>
      </c>
      <c r="I261" s="6" t="str">
        <v>54343J</v>
      </c>
      <c r="J261" s="6" t="str">
        <v>Lookout Software LLC</v>
      </c>
      <c r="K261" s="6" t="str">
        <v>Lookout Software LLC</v>
      </c>
      <c r="L261" s="7">
        <f>=DATE(2004,7,16)</f>
        <v>38183.99949074074</v>
      </c>
      <c r="M261" s="7">
        <f>=DATE(2004,7,16)</f>
        <v>38183.99949074074</v>
      </c>
      <c r="W261" s="6" t="str">
        <v>Internet Services &amp; Software;Communication/Network Software</v>
      </c>
      <c r="X261" s="6" t="str">
        <v>Applications Software(Business</v>
      </c>
      <c r="Y261" s="6" t="str">
        <v>Applications Software(Business</v>
      </c>
      <c r="Z261" s="6" t="str">
        <v>Applications Software(Business</v>
      </c>
      <c r="AA261" s="6" t="str">
        <v>Internet Services &amp; Software;Other Peripherals;Operating Systems;Monitors/Terminals;Applications Software(Business;Computer Consulting Services</v>
      </c>
      <c r="AB261" s="6" t="str">
        <v>Other Peripherals;Monitors/Terminals;Operating Systems;Applications Software(Business;Internet Services &amp; Software;Computer Consulting Services</v>
      </c>
    </row>
    <row r="262">
      <c r="A262" s="6" t="str">
        <v>594918</v>
      </c>
      <c r="B262" s="6" t="str">
        <v>United States</v>
      </c>
      <c r="C262" s="6" t="str">
        <v>Microsoft Corp</v>
      </c>
      <c r="D262" s="6" t="str">
        <v>Microsoft Corp</v>
      </c>
      <c r="F262" s="6" t="str">
        <v>China (Mainland)</v>
      </c>
      <c r="G262" s="6" t="str">
        <v>Jiangmin New Science Technology Co Ltd</v>
      </c>
      <c r="H262" s="6" t="str">
        <v>Prepackaged Software</v>
      </c>
      <c r="I262" s="6" t="str">
        <v>47797N</v>
      </c>
      <c r="J262" s="6" t="str">
        <v>Jiangmin New Science Technology Co Ltd</v>
      </c>
      <c r="K262" s="6" t="str">
        <v>Jiangmin New Science Technology Co Ltd</v>
      </c>
      <c r="L262" s="7">
        <f>=DATE(2004,7,19)</f>
        <v>38186.99949074074</v>
      </c>
      <c r="W262" s="6" t="str">
        <v>Applications Software(Business;Operating Systems;Monitors/Terminals;Computer Consulting Services;Internet Services &amp; Software;Other Peripherals</v>
      </c>
      <c r="X262" s="6" t="str">
        <v>Other Software (inq. Games)</v>
      </c>
      <c r="Y262" s="6" t="str">
        <v>Other Software (inq. Games)</v>
      </c>
      <c r="Z262" s="6" t="str">
        <v>Other Software (inq. Games)</v>
      </c>
      <c r="AA262" s="6" t="str">
        <v>Applications Software(Business;Operating Systems;Internet Services &amp; Software;Other Peripherals;Computer Consulting Services;Monitors/Terminals</v>
      </c>
      <c r="AB262" s="6" t="str">
        <v>Internet Services &amp; Software;Operating Systems;Applications Software(Business;Monitors/Terminals;Other Peripherals;Computer Consulting Services</v>
      </c>
    </row>
    <row r="263">
      <c r="A263" s="6" t="str">
        <v>594918</v>
      </c>
      <c r="B263" s="6" t="str">
        <v>United States</v>
      </c>
      <c r="C263" s="6" t="str">
        <v>Microsoft Corp</v>
      </c>
      <c r="D263" s="6" t="str">
        <v>Microsoft Corp</v>
      </c>
      <c r="F263" s="6" t="str">
        <v>United States</v>
      </c>
      <c r="G263" s="6" t="str">
        <v>Microsoft Corp</v>
      </c>
      <c r="H263" s="6" t="str">
        <v>Prepackaged Software</v>
      </c>
      <c r="I263" s="6" t="str">
        <v>594918</v>
      </c>
      <c r="J263" s="6" t="str">
        <v>Microsoft Corp</v>
      </c>
      <c r="K263" s="6" t="str">
        <v>Microsoft Corp</v>
      </c>
      <c r="L263" s="7">
        <f>=DATE(2004,7,20)</f>
        <v>38187.99949074074</v>
      </c>
      <c r="M263" s="7">
        <f>=DATE(2006,7,20)</f>
        <v>38917.99949074074</v>
      </c>
      <c r="N263" s="8">
        <v>30000</v>
      </c>
      <c r="O263" s="8">
        <v>30000</v>
      </c>
      <c r="R263" s="8">
        <v>8168</v>
      </c>
      <c r="S263" s="8">
        <v>36835</v>
      </c>
      <c r="T263" s="8">
        <v>-2364</v>
      </c>
      <c r="U263" s="8">
        <v>-2745</v>
      </c>
      <c r="V263" s="8">
        <v>14626</v>
      </c>
      <c r="W263" s="6" t="str">
        <v>Other Peripherals;Applications Software(Business;Operating Systems;Monitors/Terminals;Computer Consulting Services;Internet Services &amp; Software</v>
      </c>
      <c r="X263" s="6" t="str">
        <v>Applications Software(Business;Monitors/Terminals;Computer Consulting Services;Other Peripherals;Operating Systems;Internet Services &amp; Software</v>
      </c>
      <c r="Y263" s="6" t="str">
        <v>Computer Consulting Services;Applications Software(Business;Operating Systems;Monitors/Terminals;Internet Services &amp; Software;Other Peripherals</v>
      </c>
      <c r="Z263" s="6" t="str">
        <v>Other Peripherals;Computer Consulting Services;Internet Services &amp; Software;Operating Systems;Applications Software(Business;Monitors/Terminals</v>
      </c>
      <c r="AA263" s="6" t="str">
        <v>Applications Software(Business;Internet Services &amp; Software;Other Peripherals;Monitors/Terminals;Operating Systems;Computer Consulting Services</v>
      </c>
      <c r="AB263" s="6" t="str">
        <v>Applications Software(Business;Monitors/Terminals;Operating Systems;Internet Services &amp; Software;Computer Consulting Services;Other Peripherals</v>
      </c>
      <c r="AC263" s="8">
        <v>30000</v>
      </c>
      <c r="AD263" s="7">
        <f>=DATE(2004,7,20)</f>
        <v>38187.99949074074</v>
      </c>
      <c r="AL263" s="8">
        <v>30000</v>
      </c>
    </row>
    <row r="264">
      <c r="A264" s="6" t="str">
        <v>023135</v>
      </c>
      <c r="B264" s="6" t="str">
        <v>United States</v>
      </c>
      <c r="C264" s="6" t="str">
        <v>Amazon.com Inc</v>
      </c>
      <c r="D264" s="6" t="str">
        <v>Amazon.com Inc</v>
      </c>
      <c r="F264" s="6" t="str">
        <v>China (Mainland)</v>
      </c>
      <c r="G264" s="6" t="str">
        <v>Beijing Dangdang Information Technology Co Ltd</v>
      </c>
      <c r="H264" s="6" t="str">
        <v>Business Services</v>
      </c>
      <c r="I264" s="6" t="str">
        <v>23590Y</v>
      </c>
      <c r="J264" s="6" t="str">
        <v>Beijing Dangdang Information Technology Co Ltd</v>
      </c>
      <c r="K264" s="6" t="str">
        <v>Beijing Dangdang Information Technology Co Ltd</v>
      </c>
      <c r="L264" s="7">
        <f>=DATE(2004,8,5)</f>
        <v>38203.99949074074</v>
      </c>
      <c r="W264" s="6" t="str">
        <v>Primary Business not Hi-Tech</v>
      </c>
      <c r="X264" s="6" t="str">
        <v>Internet Services &amp; Software;Networking Systems (LAN,WAN)</v>
      </c>
      <c r="Y264" s="6" t="str">
        <v>Networking Systems (LAN,WAN);Internet Services &amp; Software</v>
      </c>
      <c r="Z264" s="6" t="str">
        <v>Internet Services &amp; Software;Networking Systems (LAN,WAN)</v>
      </c>
      <c r="AA264" s="6" t="str">
        <v>Primary Business not Hi-Tech</v>
      </c>
      <c r="AB264" s="6" t="str">
        <v>Primary Business not Hi-Tech</v>
      </c>
    </row>
    <row r="265">
      <c r="A265" s="6" t="str">
        <v>023135</v>
      </c>
      <c r="B265" s="6" t="str">
        <v>United States</v>
      </c>
      <c r="C265" s="6" t="str">
        <v>Amazon.com Inc</v>
      </c>
      <c r="D265" s="6" t="str">
        <v>Amazon.com Inc</v>
      </c>
      <c r="F265" s="6" t="str">
        <v>China (Mainland)</v>
      </c>
      <c r="G265" s="6" t="str">
        <v>Joyo.com Ltd</v>
      </c>
      <c r="H265" s="6" t="str">
        <v>Business Services</v>
      </c>
      <c r="I265" s="6" t="str">
        <v>48123P</v>
      </c>
      <c r="J265" s="6" t="str">
        <v>Joyo.com Ltd</v>
      </c>
      <c r="K265" s="6" t="str">
        <v>Joyo.com Ltd</v>
      </c>
      <c r="L265" s="7">
        <f>=DATE(2004,8,19)</f>
        <v>38217.99949074074</v>
      </c>
      <c r="M265" s="7">
        <f>=DATE(2004,9,8)</f>
        <v>38237.99949074074</v>
      </c>
      <c r="N265" s="8">
        <v>74.909264450029</v>
      </c>
      <c r="O265" s="8">
        <v>74.909264450029</v>
      </c>
      <c r="W265" s="6" t="str">
        <v>Primary Business not Hi-Tech</v>
      </c>
      <c r="X265" s="6" t="str">
        <v>Internet Services &amp; Software</v>
      </c>
      <c r="Y265" s="6" t="str">
        <v>Internet Services &amp; Software</v>
      </c>
      <c r="Z265" s="6" t="str">
        <v>Internet Services &amp; Software</v>
      </c>
      <c r="AA265" s="6" t="str">
        <v>Primary Business not Hi-Tech</v>
      </c>
      <c r="AB265" s="6" t="str">
        <v>Primary Business not Hi-Tech</v>
      </c>
      <c r="AC265" s="8">
        <v>74.909264450029</v>
      </c>
      <c r="AD265" s="7">
        <f>=DATE(2004,8,19)</f>
        <v>38217.99949074074</v>
      </c>
      <c r="AL265" s="8">
        <v>74.909264450029</v>
      </c>
    </row>
    <row r="266">
      <c r="A266" s="6" t="str">
        <v>395150</v>
      </c>
      <c r="B266" s="6" t="str">
        <v>United States</v>
      </c>
      <c r="C266" s="6" t="str">
        <v>Greenfield Online Inc</v>
      </c>
      <c r="D266" s="6" t="str">
        <v>Greenfield Online Inc</v>
      </c>
      <c r="F266" s="6" t="str">
        <v>United States</v>
      </c>
      <c r="G266" s="6" t="str">
        <v>OpinionSurveys.com-Online Panel</v>
      </c>
      <c r="H266" s="6" t="str">
        <v>Business Services</v>
      </c>
      <c r="I266" s="6" t="str">
        <v>68427Z</v>
      </c>
      <c r="J266" s="6" t="str">
        <v>Dohring Co</v>
      </c>
      <c r="K266" s="6" t="str">
        <v>OpinionSureveys.com</v>
      </c>
      <c r="L266" s="7">
        <f>=DATE(2004,8,19)</f>
        <v>38217.99949074074</v>
      </c>
      <c r="M266" s="7">
        <f>=DATE(2004,10,22)</f>
        <v>38281.99949074074</v>
      </c>
      <c r="W266" s="6" t="str">
        <v>Internet Services &amp; Software</v>
      </c>
      <c r="X266" s="6" t="str">
        <v>Internet Services &amp; Software</v>
      </c>
      <c r="Y266" s="6" t="str">
        <v>Internet Services &amp; Software</v>
      </c>
      <c r="Z266" s="6" t="str">
        <v>Primary Business not Hi-Tech</v>
      </c>
      <c r="AA266" s="6" t="str">
        <v>Internet Services &amp; Software</v>
      </c>
      <c r="AB266" s="6" t="str">
        <v>Internet Services &amp; Software</v>
      </c>
    </row>
    <row r="267">
      <c r="A267" s="6" t="str">
        <v>35911X</v>
      </c>
      <c r="B267" s="6" t="str">
        <v>United States</v>
      </c>
      <c r="C267" s="6" t="str">
        <v>FrontBridge Technologies Inc</v>
      </c>
      <c r="D267" s="6" t="str">
        <v>FrontBridge Technologies Inc</v>
      </c>
      <c r="F267" s="6" t="str">
        <v>United States</v>
      </c>
      <c r="G267" s="6" t="str">
        <v>MessageRite Inc</v>
      </c>
      <c r="H267" s="6" t="str">
        <v>Business Services</v>
      </c>
      <c r="I267" s="6" t="str">
        <v>59086L</v>
      </c>
      <c r="J267" s="6" t="str">
        <v>MessageRite Inc</v>
      </c>
      <c r="K267" s="6" t="str">
        <v>MessageRite Inc</v>
      </c>
      <c r="L267" s="7">
        <f>=DATE(2004,8,30)</f>
        <v>38228.99949074074</v>
      </c>
      <c r="M267" s="7">
        <f>=DATE(2004,8,30)</f>
        <v>38228.99949074074</v>
      </c>
      <c r="W267" s="6" t="str">
        <v>Other Computer Related Svcs</v>
      </c>
      <c r="X267" s="6" t="str">
        <v>Communication/Network Software;Data Processing Services</v>
      </c>
      <c r="Y267" s="6" t="str">
        <v>Communication/Network Software;Data Processing Services</v>
      </c>
      <c r="Z267" s="6" t="str">
        <v>Data Processing Services;Communication/Network Software</v>
      </c>
      <c r="AA267" s="6" t="str">
        <v>Other Computer Related Svcs</v>
      </c>
      <c r="AB267" s="6" t="str">
        <v>Other Computer Related Svcs</v>
      </c>
    </row>
    <row r="268">
      <c r="A268" s="6" t="str">
        <v>38259P</v>
      </c>
      <c r="B268" s="6" t="str">
        <v>United States</v>
      </c>
      <c r="C268" s="6" t="str">
        <v>Google Inc</v>
      </c>
      <c r="D268" s="6" t="str">
        <v>Alphabet Inc</v>
      </c>
      <c r="F268" s="6" t="str">
        <v>Australia</v>
      </c>
      <c r="G268" s="6" t="str">
        <v>Where 2 Technologies</v>
      </c>
      <c r="H268" s="6" t="str">
        <v>Business Services</v>
      </c>
      <c r="I268" s="6" t="str">
        <v>96330W</v>
      </c>
      <c r="J268" s="6" t="str">
        <v>Where 2 Technologies</v>
      </c>
      <c r="K268" s="6" t="str">
        <v>Where 2 Technologies</v>
      </c>
      <c r="L268" s="7">
        <f>=DATE(2004,10,1)</f>
        <v>38260.99949074074</v>
      </c>
      <c r="M268" s="7">
        <f>=DATE(2004,10,1)</f>
        <v>38260.99949074074</v>
      </c>
      <c r="W268" s="6" t="str">
        <v>Internet Services &amp; Software;Programming Services</v>
      </c>
      <c r="X268" s="6" t="str">
        <v>Other Software (inq. Games);Computer Consulting Services;Other Computer Related Svcs;Data Processing Services</v>
      </c>
      <c r="Y268" s="6" t="str">
        <v>Other Software (inq. Games);Computer Consulting Services;Data Processing Services;Other Computer Related Svcs</v>
      </c>
      <c r="Z268" s="6" t="str">
        <v>Other Software (inq. Games);Data Processing Services;Computer Consulting Services;Other Computer Related Svcs</v>
      </c>
      <c r="AA268" s="6" t="str">
        <v>Programming Services;Primary Business not Hi-Tech;Internet Services &amp; Software;Telecommunications Equipment;Computer Consulting Services</v>
      </c>
      <c r="AB268" s="6" t="str">
        <v>Primary Business not Hi-Tech;Telecommunications Equipment;Programming Services;Internet Services &amp; Software;Computer Consulting Services</v>
      </c>
    </row>
    <row r="269">
      <c r="A269" s="6" t="str">
        <v>38259P</v>
      </c>
      <c r="B269" s="6" t="str">
        <v>United States</v>
      </c>
      <c r="C269" s="6" t="str">
        <v>Google Inc</v>
      </c>
      <c r="D269" s="6" t="str">
        <v>Alphabet Inc</v>
      </c>
      <c r="F269" s="6" t="str">
        <v>United States</v>
      </c>
      <c r="G269" s="6" t="str">
        <v>Keyhole Corp</v>
      </c>
      <c r="H269" s="6" t="str">
        <v>Prepackaged Software</v>
      </c>
      <c r="I269" s="6" t="str">
        <v>48446C</v>
      </c>
      <c r="J269" s="6" t="str">
        <v>Keyhole Corp</v>
      </c>
      <c r="K269" s="6" t="str">
        <v>Keyhole Corp</v>
      </c>
      <c r="L269" s="7">
        <f>=DATE(2004,10,27)</f>
        <v>38286.99949074074</v>
      </c>
      <c r="M269" s="7">
        <f>=DATE(2004,10,27)</f>
        <v>38286.99949074074</v>
      </c>
      <c r="W269" s="6" t="str">
        <v>Internet Services &amp; Software;Programming Services</v>
      </c>
      <c r="X269" s="6" t="str">
        <v>Other Software (inq. Games)</v>
      </c>
      <c r="Y269" s="6" t="str">
        <v>Other Software (inq. Games)</v>
      </c>
      <c r="Z269" s="6" t="str">
        <v>Other Software (inq. Games)</v>
      </c>
      <c r="AA269" s="6" t="str">
        <v>Programming Services;Primary Business not Hi-Tech;Telecommunications Equipment;Internet Services &amp; Software;Computer Consulting Services</v>
      </c>
      <c r="AB269" s="6" t="str">
        <v>Programming Services;Internet Services &amp; Software;Primary Business not Hi-Tech;Computer Consulting Services;Telecommunications Equipment</v>
      </c>
    </row>
    <row r="270">
      <c r="A270" s="6" t="str">
        <v>594918</v>
      </c>
      <c r="B270" s="6" t="str">
        <v>United States</v>
      </c>
      <c r="C270" s="6" t="str">
        <v>Microsoft Corp</v>
      </c>
      <c r="D270" s="6" t="str">
        <v>Microsoft Corp</v>
      </c>
      <c r="F270" s="6" t="str">
        <v>United States</v>
      </c>
      <c r="G270" s="6" t="str">
        <v>GIANT Co Software Inc</v>
      </c>
      <c r="H270" s="6" t="str">
        <v>Business Services</v>
      </c>
      <c r="I270" s="6" t="str">
        <v>37451F</v>
      </c>
      <c r="J270" s="6" t="str">
        <v>GIANT Co Software Inc</v>
      </c>
      <c r="K270" s="6" t="str">
        <v>GIANT Co Software Inc</v>
      </c>
      <c r="L270" s="7">
        <f>=DATE(2004,12,16)</f>
        <v>38336.99949074074</v>
      </c>
      <c r="M270" s="7">
        <f>=DATE(2004,12,16)</f>
        <v>38336.99949074074</v>
      </c>
      <c r="W270" s="6" t="str">
        <v>Computer Consulting Services;Monitors/Terminals;Applications Software(Business;Internet Services &amp; Software;Other Peripherals;Operating Systems</v>
      </c>
      <c r="X270" s="6" t="str">
        <v>Internet Services &amp; Software;Utilities/File Mgmt Software</v>
      </c>
      <c r="Y270" s="6" t="str">
        <v>Internet Services &amp; Software;Utilities/File Mgmt Software</v>
      </c>
      <c r="Z270" s="6" t="str">
        <v>Utilities/File Mgmt Software;Internet Services &amp; Software</v>
      </c>
      <c r="AA270" s="6" t="str">
        <v>Computer Consulting Services;Internet Services &amp; Software;Operating Systems;Applications Software(Business;Other Peripherals;Monitors/Terminals</v>
      </c>
      <c r="AB270" s="6" t="str">
        <v>Internet Services &amp; Software;Computer Consulting Services;Monitors/Terminals;Operating Systems;Other Peripherals;Applications Software(Business</v>
      </c>
    </row>
    <row r="271">
      <c r="A271" s="6" t="str">
        <v>38259P</v>
      </c>
      <c r="B271" s="6" t="str">
        <v>United States</v>
      </c>
      <c r="C271" s="6" t="str">
        <v>Google Inc</v>
      </c>
      <c r="D271" s="6" t="str">
        <v>Alphabet Inc</v>
      </c>
      <c r="F271" s="6" t="str">
        <v>United States</v>
      </c>
      <c r="G271" s="6" t="str">
        <v>PhatBits</v>
      </c>
      <c r="H271" s="6" t="str">
        <v>Prepackaged Software</v>
      </c>
      <c r="I271" s="6" t="str">
        <v>71753P</v>
      </c>
      <c r="J271" s="6" t="str">
        <v>PhatBits</v>
      </c>
      <c r="K271" s="6" t="str">
        <v>PhatBits</v>
      </c>
      <c r="L271" s="7">
        <f>=DATE(2005,1,1)</f>
        <v>38352.99949074074</v>
      </c>
      <c r="M271" s="7">
        <f>=DATE(2005,6,30)</f>
        <v>38532.99949074074</v>
      </c>
      <c r="W271" s="6" t="str">
        <v>Internet Services &amp; Software;Programming Services</v>
      </c>
      <c r="X271" s="6" t="str">
        <v>Other Software (inq. Games)</v>
      </c>
      <c r="Y271" s="6" t="str">
        <v>Other Software (inq. Games)</v>
      </c>
      <c r="Z271" s="6" t="str">
        <v>Other Software (inq. Games)</v>
      </c>
      <c r="AA271" s="6" t="str">
        <v>Computer Consulting Services;Telecommunications Equipment;Primary Business not Hi-Tech;Internet Services &amp; Software;Programming Services</v>
      </c>
      <c r="AB271" s="6" t="str">
        <v>Computer Consulting Services;Primary Business not Hi-Tech;Telecommunications Equipment;Internet Services &amp; Software;Programming Services</v>
      </c>
    </row>
    <row r="272">
      <c r="A272" s="6" t="str">
        <v>395150</v>
      </c>
      <c r="B272" s="6" t="str">
        <v>United States</v>
      </c>
      <c r="C272" s="6" t="str">
        <v>Greenfield Online Inc</v>
      </c>
      <c r="D272" s="6" t="str">
        <v>Greenfield Online Inc</v>
      </c>
      <c r="F272" s="6" t="str">
        <v>United States</v>
      </c>
      <c r="G272" s="6" t="str">
        <v>Rapidata.net Inc</v>
      </c>
      <c r="H272" s="6" t="str">
        <v>Business Services</v>
      </c>
      <c r="I272" s="6" t="str">
        <v>75344E</v>
      </c>
      <c r="J272" s="6" t="str">
        <v>Rapidata.net Inc</v>
      </c>
      <c r="K272" s="6" t="str">
        <v>Rapidata.net Inc</v>
      </c>
      <c r="L272" s="7">
        <f>=DATE(2005,1,26)</f>
        <v>38377.99949074074</v>
      </c>
      <c r="M272" s="7">
        <f>=DATE(2005,1,26)</f>
        <v>38377.99949074074</v>
      </c>
      <c r="N272" s="8">
        <v>5.5</v>
      </c>
      <c r="O272" s="8">
        <v>5.5</v>
      </c>
      <c r="S272" s="8">
        <v>2.1</v>
      </c>
      <c r="W272" s="6" t="str">
        <v>Internet Services &amp; Software</v>
      </c>
      <c r="X272" s="6" t="str">
        <v>Internet Services &amp; Software;Research &amp; Development Firm</v>
      </c>
      <c r="Y272" s="6" t="str">
        <v>Internet Services &amp; Software;Research &amp; Development Firm</v>
      </c>
      <c r="Z272" s="6" t="str">
        <v>Research &amp; Development Firm;Internet Services &amp; Software</v>
      </c>
      <c r="AA272" s="6" t="str">
        <v>Internet Services &amp; Software</v>
      </c>
      <c r="AB272" s="6" t="str">
        <v>Internet Services &amp; Software</v>
      </c>
      <c r="AC272" s="8">
        <v>5.5</v>
      </c>
      <c r="AD272" s="7">
        <f>=DATE(2005,1,26)</f>
        <v>38377.99949074074</v>
      </c>
      <c r="AL272" s="8">
        <v>5.5</v>
      </c>
    </row>
    <row r="273">
      <c r="A273" s="6" t="str">
        <v>594918</v>
      </c>
      <c r="B273" s="6" t="str">
        <v>United States</v>
      </c>
      <c r="C273" s="6" t="str">
        <v>Microsoft Corp</v>
      </c>
      <c r="D273" s="6" t="str">
        <v>Microsoft Corp</v>
      </c>
      <c r="F273" s="6" t="str">
        <v>United States</v>
      </c>
      <c r="G273" s="6" t="str">
        <v>Sybari Software Inc</v>
      </c>
      <c r="H273" s="6" t="str">
        <v>Prepackaged Software</v>
      </c>
      <c r="I273" s="6" t="str">
        <v>871128</v>
      </c>
      <c r="J273" s="6" t="str">
        <v>Sybari Software Inc</v>
      </c>
      <c r="K273" s="6" t="str">
        <v>Sybari Software Inc</v>
      </c>
      <c r="L273" s="7">
        <f>=DATE(2005,2,8)</f>
        <v>38390.99949074074</v>
      </c>
      <c r="M273" s="7">
        <f>=DATE(2005,6,21)</f>
        <v>38523.99949074074</v>
      </c>
      <c r="W273" s="6" t="str">
        <v>Other Peripherals;Computer Consulting Services;Operating Systems;Internet Services &amp; Software;Monitors/Terminals;Applications Software(Business</v>
      </c>
      <c r="X273" s="6" t="str">
        <v>Other Software (inq. Games)</v>
      </c>
      <c r="Y273" s="6" t="str">
        <v>Other Software (inq. Games)</v>
      </c>
      <c r="Z273" s="6" t="str">
        <v>Other Software (inq. Games)</v>
      </c>
      <c r="AA273" s="6" t="str">
        <v>Internet Services &amp; Software;Monitors/Terminals;Computer Consulting Services;Applications Software(Business;Other Peripherals;Operating Systems</v>
      </c>
      <c r="AB273" s="6" t="str">
        <v>Internet Services &amp; Software;Applications Software(Business;Operating Systems;Other Peripherals;Computer Consulting Services;Monitors/Terminals</v>
      </c>
    </row>
    <row r="274">
      <c r="A274" s="6" t="str">
        <v>395150</v>
      </c>
      <c r="B274" s="6" t="str">
        <v>United States</v>
      </c>
      <c r="C274" s="6" t="str">
        <v>Greenfield Online Inc</v>
      </c>
      <c r="D274" s="6" t="str">
        <v>Greenfield Online Inc</v>
      </c>
      <c r="F274" s="6" t="str">
        <v>United States</v>
      </c>
      <c r="G274" s="6" t="str">
        <v>Zing Wireless Inc</v>
      </c>
      <c r="H274" s="6" t="str">
        <v>Business Services</v>
      </c>
      <c r="I274" s="6" t="str">
        <v>99015H</v>
      </c>
      <c r="J274" s="6" t="str">
        <v>Zing Wireless Inc</v>
      </c>
      <c r="K274" s="6" t="str">
        <v>Zing Wireless Inc</v>
      </c>
      <c r="L274" s="7">
        <f>=DATE(2005,2,9)</f>
        <v>38391.99949074074</v>
      </c>
      <c r="M274" s="7">
        <f>=DATE(2005,2,9)</f>
        <v>38391.99949074074</v>
      </c>
      <c r="N274" s="8">
        <v>30</v>
      </c>
      <c r="O274" s="8">
        <v>30</v>
      </c>
      <c r="S274" s="8">
        <v>13</v>
      </c>
      <c r="W274" s="6" t="str">
        <v>Internet Services &amp; Software</v>
      </c>
      <c r="X274" s="6" t="str">
        <v>Internet Services &amp; Software</v>
      </c>
      <c r="Y274" s="6" t="str">
        <v>Internet Services &amp; Software</v>
      </c>
      <c r="Z274" s="6" t="str">
        <v>Internet Services &amp; Software</v>
      </c>
      <c r="AA274" s="6" t="str">
        <v>Internet Services &amp; Software</v>
      </c>
      <c r="AB274" s="6" t="str">
        <v>Internet Services &amp; Software</v>
      </c>
      <c r="AC274" s="8">
        <v>30</v>
      </c>
      <c r="AD274" s="7">
        <f>=DATE(2005,2,9)</f>
        <v>38391.99949074074</v>
      </c>
      <c r="AL274" s="8">
        <v>30</v>
      </c>
    </row>
    <row r="275">
      <c r="A275" s="6" t="str">
        <v>037833</v>
      </c>
      <c r="B275" s="6" t="str">
        <v>United States</v>
      </c>
      <c r="C275" s="6" t="str">
        <v>Apple Computer Inc</v>
      </c>
      <c r="D275" s="6" t="str">
        <v>Apple Computer Inc</v>
      </c>
      <c r="F275" s="6" t="str">
        <v>United States</v>
      </c>
      <c r="G275" s="6" t="str">
        <v>TiVo Inc</v>
      </c>
      <c r="H275" s="6" t="str">
        <v>Radio and Television Broadcasting Stations</v>
      </c>
      <c r="I275" s="6" t="str">
        <v>888706</v>
      </c>
      <c r="J275" s="6" t="str">
        <v>TiVo Inc</v>
      </c>
      <c r="K275" s="6" t="str">
        <v>TiVo Inc</v>
      </c>
      <c r="L275" s="7">
        <f>=DATE(2005,2,23)</f>
        <v>38405.99949074074</v>
      </c>
      <c r="R275" s="8">
        <v>-79.842</v>
      </c>
      <c r="S275" s="8">
        <v>172.055</v>
      </c>
      <c r="T275" s="8">
        <v>4.348</v>
      </c>
      <c r="U275" s="8">
        <v>-18.099</v>
      </c>
      <c r="V275" s="8">
        <v>-37.214</v>
      </c>
      <c r="W275" s="6" t="str">
        <v>Portable Computers;Printers;Disk Drives;Mainframes &amp; Super Computers;Other Peripherals;Micro-Computers (PCs);Other Software (inq. Games);Monitors/Terminals</v>
      </c>
      <c r="X275" s="6" t="str">
        <v>Satellite Communications;Internet Services &amp; Software</v>
      </c>
      <c r="Y275" s="6" t="str">
        <v>Internet Services &amp; Software;Satellite Communications</v>
      </c>
      <c r="Z275" s="6" t="str">
        <v>Satellite Communications;Internet Services &amp; Software</v>
      </c>
      <c r="AA275" s="6" t="str">
        <v>Printers;Portable Computers;Micro-Computers (PCs);Disk Drives;Monitors/Terminals;Mainframes &amp; Super Computers;Other Peripherals;Other Software (inq. Games)</v>
      </c>
      <c r="AB275" s="6" t="str">
        <v>Printers;Monitors/Terminals;Other Peripherals;Disk Drives;Micro-Computers (PCs);Other Software (inq. Games);Portable Computers;Mainframes &amp; Super Computers</v>
      </c>
    </row>
    <row r="276">
      <c r="A276" s="6" t="str">
        <v>01864J</v>
      </c>
      <c r="B276" s="6" t="str">
        <v>United States</v>
      </c>
      <c r="C276" s="6" t="str">
        <v>Avanade Inc</v>
      </c>
      <c r="D276" s="6" t="str">
        <v>Microsoft Corp</v>
      </c>
      <c r="F276" s="6" t="str">
        <v>United States</v>
      </c>
      <c r="G276" s="6" t="str">
        <v>en'tegrate</v>
      </c>
      <c r="H276" s="6" t="str">
        <v>Prepackaged Software</v>
      </c>
      <c r="I276" s="6" t="str">
        <v>29535A</v>
      </c>
      <c r="J276" s="6" t="str">
        <v>en'tegrate</v>
      </c>
      <c r="K276" s="6" t="str">
        <v>en'tegrate</v>
      </c>
      <c r="L276" s="7">
        <f>=DATE(2005,3,2)</f>
        <v>38412.99949074074</v>
      </c>
      <c r="M276" s="7">
        <f>=DATE(2005,3,2)</f>
        <v>38412.99949074074</v>
      </c>
      <c r="W276" s="6" t="str">
        <v>Other Computer Related Svcs;Computer Consulting Services;Other Software (inq. Games)</v>
      </c>
      <c r="X276" s="6" t="str">
        <v>Other Software (inq. Games)</v>
      </c>
      <c r="Y276" s="6" t="str">
        <v>Other Software (inq. Games)</v>
      </c>
      <c r="Z276" s="6" t="str">
        <v>Other Software (inq. Games)</v>
      </c>
      <c r="AA276" s="6" t="str">
        <v>Operating Systems;Computer Consulting Services;Other Peripherals;Internet Services &amp; Software;Applications Software(Business;Monitors/Terminals</v>
      </c>
      <c r="AB276" s="6" t="str">
        <v>Computer Consulting Services;Other Peripherals;Internet Services &amp; Software;Monitors/Terminals;Applications Software(Business;Operating Systems</v>
      </c>
    </row>
    <row r="277">
      <c r="A277" s="6" t="str">
        <v>594918</v>
      </c>
      <c r="B277" s="6" t="str">
        <v>United States</v>
      </c>
      <c r="C277" s="6" t="str">
        <v>Microsoft Corp</v>
      </c>
      <c r="D277" s="6" t="str">
        <v>Microsoft Corp</v>
      </c>
      <c r="F277" s="6" t="str">
        <v>United States</v>
      </c>
      <c r="G277" s="6" t="str">
        <v>Groove Networks Inc</v>
      </c>
      <c r="H277" s="6" t="str">
        <v>Prepackaged Software</v>
      </c>
      <c r="I277" s="6" t="str">
        <v>39882Z</v>
      </c>
      <c r="J277" s="6" t="str">
        <v>Groove Networks Inc</v>
      </c>
      <c r="K277" s="6" t="str">
        <v>Groove Networks Inc</v>
      </c>
      <c r="L277" s="7">
        <f>=DATE(2005,3,10)</f>
        <v>38420.99949074074</v>
      </c>
      <c r="M277" s="7">
        <f>=DATE(2005,4,9)</f>
        <v>38450.99949074074</v>
      </c>
      <c r="S277" s="8">
        <v>59</v>
      </c>
      <c r="W277" s="6" t="str">
        <v>Computer Consulting Services;Operating Systems;Internet Services &amp; Software;Other Peripherals;Applications Software(Business;Monitors/Terminals</v>
      </c>
      <c r="X277" s="6" t="str">
        <v>Applications Software(Business;Applications Software(Home);Communication/Network Software</v>
      </c>
      <c r="Y277" s="6" t="str">
        <v>Applications Software(Business;Communication/Network Software;Applications Software(Home)</v>
      </c>
      <c r="Z277" s="6" t="str">
        <v>Applications Software(Home);Communication/Network Software;Applications Software(Business</v>
      </c>
      <c r="AA277" s="6" t="str">
        <v>Applications Software(Business;Operating Systems;Internet Services &amp; Software;Monitors/Terminals;Computer Consulting Services;Other Peripherals</v>
      </c>
      <c r="AB277" s="6" t="str">
        <v>Computer Consulting Services;Applications Software(Business;Internet Services &amp; Software;Other Peripherals;Monitors/Terminals;Operating Systems</v>
      </c>
    </row>
    <row r="278">
      <c r="A278" s="6" t="str">
        <v>38259P</v>
      </c>
      <c r="B278" s="6" t="str">
        <v>United States</v>
      </c>
      <c r="C278" s="6" t="str">
        <v>Google Inc</v>
      </c>
      <c r="D278" s="6" t="str">
        <v>Alphabet Inc</v>
      </c>
      <c r="F278" s="6" t="str">
        <v>United States</v>
      </c>
      <c r="G278" s="6" t="str">
        <v>Urchin Software Corp</v>
      </c>
      <c r="H278" s="6" t="str">
        <v>Prepackaged Software</v>
      </c>
      <c r="I278" s="6" t="str">
        <v>91706L</v>
      </c>
      <c r="J278" s="6" t="str">
        <v>Urchin Software Corp</v>
      </c>
      <c r="K278" s="6" t="str">
        <v>Urchin Software Corp</v>
      </c>
      <c r="L278" s="7">
        <f>=DATE(2005,3,28)</f>
        <v>38438.99949074074</v>
      </c>
      <c r="M278" s="7">
        <f>=DATE(2005,5,3)</f>
        <v>38474.99949074074</v>
      </c>
      <c r="W278" s="6" t="str">
        <v>Internet Services &amp; Software;Programming Services</v>
      </c>
      <c r="X278" s="6" t="str">
        <v>Other Software (inq. Games)</v>
      </c>
      <c r="Y278" s="6" t="str">
        <v>Other Software (inq. Games)</v>
      </c>
      <c r="Z278" s="6" t="str">
        <v>Other Software (inq. Games)</v>
      </c>
      <c r="AA278" s="6" t="str">
        <v>Telecommunications Equipment;Programming Services;Computer Consulting Services;Primary Business not Hi-Tech;Internet Services &amp; Software</v>
      </c>
      <c r="AB278" s="6" t="str">
        <v>Telecommunications Equipment;Computer Consulting Services;Internet Services &amp; Software;Primary Business not Hi-Tech;Programming Services</v>
      </c>
    </row>
    <row r="279">
      <c r="A279" s="6" t="str">
        <v>023135</v>
      </c>
      <c r="B279" s="6" t="str">
        <v>United States</v>
      </c>
      <c r="C279" s="6" t="str">
        <v>Amazon.com Inc</v>
      </c>
      <c r="D279" s="6" t="str">
        <v>Amazon.com Inc</v>
      </c>
      <c r="F279" s="6" t="str">
        <v>France</v>
      </c>
      <c r="G279" s="6" t="str">
        <v>Mobipocket.com SA</v>
      </c>
      <c r="H279" s="6" t="str">
        <v>Prepackaged Software</v>
      </c>
      <c r="I279" s="6" t="str">
        <v>60746E</v>
      </c>
      <c r="J279" s="6" t="str">
        <v>Mobipocket.com SA</v>
      </c>
      <c r="K279" s="6" t="str">
        <v>Mobipocket.com SA</v>
      </c>
      <c r="L279" s="7">
        <f>=DATE(2005,3,31)</f>
        <v>38441.99949074074</v>
      </c>
      <c r="M279" s="7">
        <f>=DATE(2005,3,31)</f>
        <v>38441.99949074074</v>
      </c>
      <c r="W279" s="6" t="str">
        <v>Primary Business not Hi-Tech</v>
      </c>
      <c r="X279" s="6" t="str">
        <v>Communication/Network Software;Internet Services &amp; Software</v>
      </c>
      <c r="Y279" s="6" t="str">
        <v>Internet Services &amp; Software;Communication/Network Software</v>
      </c>
      <c r="Z279" s="6" t="str">
        <v>Communication/Network Software;Internet Services &amp; Software</v>
      </c>
      <c r="AA279" s="6" t="str">
        <v>Primary Business not Hi-Tech</v>
      </c>
      <c r="AB279" s="6" t="str">
        <v>Primary Business not Hi-Tech</v>
      </c>
    </row>
    <row r="280">
      <c r="A280" s="6" t="str">
        <v>38259P</v>
      </c>
      <c r="B280" s="6" t="str">
        <v>United States</v>
      </c>
      <c r="C280" s="6" t="str">
        <v>Google Inc</v>
      </c>
      <c r="D280" s="6" t="str">
        <v>Alphabet Inc</v>
      </c>
      <c r="F280" s="6" t="str">
        <v>United States</v>
      </c>
      <c r="G280" s="6" t="str">
        <v>Zipdash Inc</v>
      </c>
      <c r="H280" s="6" t="str">
        <v>Prepackaged Software</v>
      </c>
      <c r="I280" s="6" t="str">
        <v>99152J</v>
      </c>
      <c r="J280" s="6" t="str">
        <v>Zipdash Inc</v>
      </c>
      <c r="K280" s="6" t="str">
        <v>Zipdash Inc</v>
      </c>
      <c r="L280" s="7">
        <f>=DATE(2005,3,31)</f>
        <v>38441.99949074074</v>
      </c>
      <c r="M280" s="7">
        <f>=DATE(2005,3,31)</f>
        <v>38441.99949074074</v>
      </c>
      <c r="W280" s="6" t="str">
        <v>Internet Services &amp; Software;Programming Services</v>
      </c>
      <c r="X280" s="6" t="str">
        <v>Internet Services &amp; Software;Communication/Network Software</v>
      </c>
      <c r="Y280" s="6" t="str">
        <v>Internet Services &amp; Software;Communication/Network Software</v>
      </c>
      <c r="Z280" s="6" t="str">
        <v>Internet Services &amp; Software;Communication/Network Software</v>
      </c>
      <c r="AA280" s="6" t="str">
        <v>Programming Services;Internet Services &amp; Software;Telecommunications Equipment;Primary Business not Hi-Tech;Computer Consulting Services</v>
      </c>
      <c r="AB280" s="6" t="str">
        <v>Programming Services;Telecommunications Equipment;Internet Services &amp; Software;Primary Business not Hi-Tech;Computer Consulting Services</v>
      </c>
    </row>
    <row r="281">
      <c r="A281" s="6" t="str">
        <v>395150</v>
      </c>
      <c r="B281" s="6" t="str">
        <v>United States</v>
      </c>
      <c r="C281" s="6" t="str">
        <v>Greenfield Online Inc</v>
      </c>
      <c r="D281" s="6" t="str">
        <v>Greenfield Online Inc</v>
      </c>
      <c r="F281" s="6" t="str">
        <v>Germany</v>
      </c>
      <c r="G281" s="6" t="str">
        <v>CIAO AG</v>
      </c>
      <c r="H281" s="6" t="str">
        <v>Business Services</v>
      </c>
      <c r="I281" s="6" t="str">
        <v>17168W</v>
      </c>
      <c r="J281" s="6" t="str">
        <v>CIAO AG</v>
      </c>
      <c r="K281" s="6" t="str">
        <v>CIAO AG</v>
      </c>
      <c r="L281" s="7">
        <f>=DATE(2005,4,7)</f>
        <v>38448.99949074074</v>
      </c>
      <c r="M281" s="7">
        <f>=DATE(2005,4,7)</f>
        <v>38448.99949074074</v>
      </c>
      <c r="N281" s="8">
        <v>153.745003020682</v>
      </c>
      <c r="O281" s="8">
        <v>153.745003020682</v>
      </c>
      <c r="R281" s="8">
        <v>7.51657469799477</v>
      </c>
      <c r="S281" s="8">
        <v>24.5603807096276</v>
      </c>
      <c r="T281" s="8">
        <v>-2.064638772</v>
      </c>
      <c r="U281" s="8">
        <v>-1.482339726</v>
      </c>
      <c r="V281" s="8">
        <v>8.89812945</v>
      </c>
      <c r="W281" s="6" t="str">
        <v>Internet Services &amp; Software</v>
      </c>
      <c r="X281" s="6" t="str">
        <v>Internet Services &amp; Software;Communication/Network Software</v>
      </c>
      <c r="Y281" s="6" t="str">
        <v>Communication/Network Software;Internet Services &amp; Software</v>
      </c>
      <c r="Z281" s="6" t="str">
        <v>Internet Services &amp; Software;Communication/Network Software</v>
      </c>
      <c r="AA281" s="6" t="str">
        <v>Internet Services &amp; Software</v>
      </c>
      <c r="AB281" s="6" t="str">
        <v>Internet Services &amp; Software</v>
      </c>
      <c r="AC281" s="8">
        <v>153.745003020682</v>
      </c>
      <c r="AD281" s="7">
        <f>=DATE(2005,4,7)</f>
        <v>38448.99949074074</v>
      </c>
      <c r="AL281" s="8">
        <v>153.745003020682</v>
      </c>
    </row>
    <row r="282">
      <c r="A282" s="6" t="str">
        <v>38259P</v>
      </c>
      <c r="B282" s="6" t="str">
        <v>United States</v>
      </c>
      <c r="C282" s="6" t="str">
        <v>Google Inc</v>
      </c>
      <c r="D282" s="6" t="str">
        <v>Alphabet Inc</v>
      </c>
      <c r="F282" s="6" t="str">
        <v>United States</v>
      </c>
      <c r="G282" s="6" t="str">
        <v>Dodgeball.com</v>
      </c>
      <c r="H282" s="6" t="str">
        <v>Telecommunications</v>
      </c>
      <c r="I282" s="6" t="str">
        <v>25654F</v>
      </c>
      <c r="J282" s="6" t="str">
        <v>Dodgeball.com</v>
      </c>
      <c r="K282" s="6" t="str">
        <v>Dodgeball.com</v>
      </c>
      <c r="L282" s="7">
        <f>=DATE(2005,5,11)</f>
        <v>38482.99949074074</v>
      </c>
      <c r="M282" s="7">
        <f>=DATE(2005,5,11)</f>
        <v>38482.99949074074</v>
      </c>
      <c r="W282" s="6" t="str">
        <v>Internet Services &amp; Software;Programming Services</v>
      </c>
      <c r="X282" s="6" t="str">
        <v>Cellular Communications</v>
      </c>
      <c r="Y282" s="6" t="str">
        <v>Cellular Communications</v>
      </c>
      <c r="Z282" s="6" t="str">
        <v>Cellular Communications</v>
      </c>
      <c r="AA282" s="6" t="str">
        <v>Internet Services &amp; Software;Primary Business not Hi-Tech;Programming Services;Computer Consulting Services;Telecommunications Equipment</v>
      </c>
      <c r="AB282" s="6" t="str">
        <v>Internet Services &amp; Software;Programming Services;Computer Consulting Services;Telecommunications Equipment;Primary Business not Hi-Tech</v>
      </c>
    </row>
    <row r="283">
      <c r="A283" s="6" t="str">
        <v>59493Z</v>
      </c>
      <c r="B283" s="6" t="str">
        <v>United States</v>
      </c>
      <c r="C283" s="6" t="str">
        <v>Microsoft Network LLC{MSN}</v>
      </c>
      <c r="D283" s="6" t="str">
        <v>Microsoft Corp</v>
      </c>
      <c r="F283" s="6" t="str">
        <v>United States</v>
      </c>
      <c r="G283" s="6" t="str">
        <v>MessageCast Inc</v>
      </c>
      <c r="H283" s="6" t="str">
        <v>Business Services</v>
      </c>
      <c r="I283" s="6" t="str">
        <v>59089C</v>
      </c>
      <c r="J283" s="6" t="str">
        <v>MessageCast Inc</v>
      </c>
      <c r="K283" s="6" t="str">
        <v>MessageCast Inc</v>
      </c>
      <c r="L283" s="7">
        <f>=DATE(2005,5,11)</f>
        <v>38482.99949074074</v>
      </c>
      <c r="M283" s="7">
        <f>=DATE(2005,5,11)</f>
        <v>38482.99949074074</v>
      </c>
      <c r="N283" s="8">
        <v>7</v>
      </c>
      <c r="O283" s="8">
        <v>7</v>
      </c>
      <c r="W283" s="6" t="str">
        <v>Communication/Network Software;Internet Services &amp; Software</v>
      </c>
      <c r="X283" s="6" t="str">
        <v>Internet Services &amp; Software</v>
      </c>
      <c r="Y283" s="6" t="str">
        <v>Internet Services &amp; Software</v>
      </c>
      <c r="Z283" s="6" t="str">
        <v>Internet Services &amp; Software</v>
      </c>
      <c r="AA283" s="6" t="str">
        <v>Operating Systems;Applications Software(Business;Monitors/Terminals;Other Peripherals;Computer Consulting Services;Internet Services &amp; Software</v>
      </c>
      <c r="AB283" s="6" t="str">
        <v>Operating Systems;Other Peripherals;Monitors/Terminals;Internet Services &amp; Software;Computer Consulting Services;Applications Software(Business</v>
      </c>
      <c r="AC283" s="8">
        <v>7</v>
      </c>
      <c r="AD283" s="7">
        <f>=DATE(2005,9,26)</f>
        <v>38620.99949074074</v>
      </c>
      <c r="AL283" s="8">
        <v>7</v>
      </c>
    </row>
    <row r="284">
      <c r="A284" s="6" t="str">
        <v>594918</v>
      </c>
      <c r="B284" s="6" t="str">
        <v>United States</v>
      </c>
      <c r="C284" s="6" t="str">
        <v>Microsoft Corp</v>
      </c>
      <c r="D284" s="6" t="str">
        <v>Microsoft Corp</v>
      </c>
      <c r="F284" s="6" t="str">
        <v>China (Mainland)</v>
      </c>
      <c r="G284" s="6" t="str">
        <v>Tsinghua-Shenxun Science &amp; Technology Co Ltd-Certain Assets</v>
      </c>
      <c r="H284" s="6" t="str">
        <v>Prepackaged Software</v>
      </c>
      <c r="I284" s="6" t="str">
        <v>89876P</v>
      </c>
      <c r="J284" s="6" t="str">
        <v>Tsinghua-Shenxun Science &amp; Technology Co Ltd</v>
      </c>
      <c r="K284" s="6" t="str">
        <v>Tsinghua-Shenxun Science &amp; Technology Co Ltd</v>
      </c>
      <c r="L284" s="7">
        <f>=DATE(2005,5,11)</f>
        <v>38482.99949074074</v>
      </c>
      <c r="M284" s="7">
        <f>=DATE(2005,5,31)</f>
        <v>38502.99949074074</v>
      </c>
      <c r="N284" s="8">
        <v>14.9819368090376</v>
      </c>
      <c r="O284" s="8">
        <v>14.9819368090376</v>
      </c>
      <c r="W284" s="6" t="str">
        <v>Other Peripherals;Applications Software(Business;Monitors/Terminals;Computer Consulting Services;Operating Systems;Internet Services &amp; Software</v>
      </c>
      <c r="X284" s="6" t="str">
        <v>Communication/Network Software;Internet Services &amp; Software</v>
      </c>
      <c r="Y284" s="6" t="str">
        <v>Internet Services &amp; Software;Communication/Network Software</v>
      </c>
      <c r="Z284" s="6" t="str">
        <v>Communication/Network Software;Internet Services &amp; Software</v>
      </c>
      <c r="AA284" s="6" t="str">
        <v>Monitors/Terminals;Internet Services &amp; Software;Computer Consulting Services;Applications Software(Business;Operating Systems;Other Peripherals</v>
      </c>
      <c r="AB284" s="6" t="str">
        <v>Monitors/Terminals;Internet Services &amp; Software;Computer Consulting Services;Applications Software(Business;Other Peripherals;Operating Systems</v>
      </c>
      <c r="AC284" s="8">
        <v>14.9819368090376</v>
      </c>
      <c r="AD284" s="7">
        <f>=DATE(2005,5,31)</f>
        <v>38502.99949074074</v>
      </c>
      <c r="AL284" s="8">
        <v>14.9819368090376</v>
      </c>
    </row>
    <row r="285">
      <c r="A285" s="6" t="str">
        <v>09362H</v>
      </c>
      <c r="B285" s="6" t="str">
        <v>United States</v>
      </c>
      <c r="C285" s="6" t="str">
        <v>Blizzard Entertainment Inc</v>
      </c>
      <c r="D285" s="6" t="str">
        <v>Activision Inc</v>
      </c>
      <c r="F285" s="6" t="str">
        <v>United States</v>
      </c>
      <c r="G285" s="6" t="str">
        <v>Swingin' Ape Studios</v>
      </c>
      <c r="H285" s="6" t="str">
        <v>Prepackaged Software</v>
      </c>
      <c r="I285" s="6" t="str">
        <v>87524K</v>
      </c>
      <c r="J285" s="6" t="str">
        <v>Swingin' Ape Studios</v>
      </c>
      <c r="K285" s="6" t="str">
        <v>Swingin' Ape Studios</v>
      </c>
      <c r="L285" s="7">
        <f>=DATE(2005,5,16)</f>
        <v>38487.99949074074</v>
      </c>
      <c r="M285" s="7">
        <f>=DATE(2005,5,16)</f>
        <v>38487.99949074074</v>
      </c>
      <c r="W285" s="6" t="str">
        <v>Other Software (inq. Games)</v>
      </c>
      <c r="X285" s="6" t="str">
        <v>Other Software (inq. Games)</v>
      </c>
      <c r="Y285" s="6" t="str">
        <v>Other Software (inq. Games)</v>
      </c>
      <c r="Z285" s="6" t="str">
        <v>Other Software (inq. Games)</v>
      </c>
      <c r="AA285" s="6" t="str">
        <v>Other Software (inq. Games)</v>
      </c>
      <c r="AB285" s="6" t="str">
        <v>Other Software (inq. Games)</v>
      </c>
    </row>
    <row r="286">
      <c r="A286" s="6" t="str">
        <v>38259P</v>
      </c>
      <c r="B286" s="6" t="str">
        <v>United States</v>
      </c>
      <c r="C286" s="6" t="str">
        <v>Google Inc</v>
      </c>
      <c r="D286" s="6" t="str">
        <v>Alphabet Inc</v>
      </c>
      <c r="F286" s="6" t="str">
        <v>United States</v>
      </c>
      <c r="G286" s="6" t="str">
        <v>2Web Technologies</v>
      </c>
      <c r="H286" s="6" t="str">
        <v>Business Services</v>
      </c>
      <c r="I286" s="6" t="str">
        <v>90655W</v>
      </c>
      <c r="J286" s="6" t="str">
        <v>2Web Technologies</v>
      </c>
      <c r="K286" s="6" t="str">
        <v>2Web Technologies</v>
      </c>
      <c r="L286" s="7">
        <f>=DATE(2005,6,6)</f>
        <v>38508.99949074074</v>
      </c>
      <c r="M286" s="7">
        <f>=DATE(2005,6,6)</f>
        <v>38508.99949074074</v>
      </c>
      <c r="W286" s="6" t="str">
        <v>Internet Services &amp; Software;Programming Services</v>
      </c>
      <c r="X286" s="6" t="str">
        <v>Other Software (inq. Games);Computer Consulting Services;Other Computer Related Svcs;Data Processing Services</v>
      </c>
      <c r="Y286" s="6" t="str">
        <v>Computer Consulting Services;Other Computer Related Svcs;Other Software (inq. Games);Data Processing Services</v>
      </c>
      <c r="Z286" s="6" t="str">
        <v>Data Processing Services;Other Software (inq. Games);Other Computer Related Svcs;Computer Consulting Services</v>
      </c>
      <c r="AA286" s="6" t="str">
        <v>Primary Business not Hi-Tech;Programming Services;Internet Services &amp; Software;Computer Consulting Services;Telecommunications Equipment</v>
      </c>
      <c r="AB286" s="6" t="str">
        <v>Programming Services;Telecommunications Equipment;Internet Services &amp; Software;Primary Business not Hi-Tech;Computer Consulting Services</v>
      </c>
    </row>
    <row r="287">
      <c r="A287" s="6" t="str">
        <v>594918</v>
      </c>
      <c r="B287" s="6" t="str">
        <v>United States</v>
      </c>
      <c r="C287" s="6" t="str">
        <v>Microsoft Corp</v>
      </c>
      <c r="D287" s="6" t="str">
        <v>Microsoft Corp</v>
      </c>
      <c r="F287" s="6" t="str">
        <v>China (Mainland)</v>
      </c>
      <c r="G287" s="6" t="str">
        <v>Dalian Hi-Think Computer Technology Corp</v>
      </c>
      <c r="H287" s="6" t="str">
        <v>Prepackaged Software</v>
      </c>
      <c r="I287" s="6" t="str">
        <v>23596N</v>
      </c>
      <c r="J287" s="6" t="str">
        <v>Dalian Hi-Think Computer Technology Corp</v>
      </c>
      <c r="K287" s="6" t="str">
        <v>Dalian Hi-Think Computer Technology Corp</v>
      </c>
      <c r="L287" s="7">
        <f>=DATE(2005,6,30)</f>
        <v>38532.99949074074</v>
      </c>
      <c r="W287" s="6" t="str">
        <v>Monitors/Terminals;Operating Systems;Applications Software(Business;Internet Services &amp; Software;Other Peripherals;Computer Consulting Services</v>
      </c>
      <c r="X287" s="6" t="str">
        <v>Other Software (inq. Games);Programming Services;Other Computer Related Svcs;Applications Software(Business;Computer Consulting Services</v>
      </c>
      <c r="Y287" s="6" t="str">
        <v>Applications Software(Business;Other Software (inq. Games);Other Computer Related Svcs;Programming Services;Computer Consulting Services</v>
      </c>
      <c r="Z287" s="6" t="str">
        <v>Other Computer Related Svcs;Computer Consulting Services;Applications Software(Business;Other Software (inq. Games);Programming Services</v>
      </c>
      <c r="AA287" s="6" t="str">
        <v>Internet Services &amp; Software;Monitors/Terminals;Other Peripherals;Operating Systems;Computer Consulting Services;Applications Software(Business</v>
      </c>
      <c r="AB287" s="6" t="str">
        <v>Internet Services &amp; Software;Monitors/Terminals;Applications Software(Business;Other Peripherals;Computer Consulting Services;Operating Systems</v>
      </c>
    </row>
    <row r="288">
      <c r="A288" s="6" t="str">
        <v>594918</v>
      </c>
      <c r="B288" s="6" t="str">
        <v>United States</v>
      </c>
      <c r="C288" s="6" t="str">
        <v>Microsoft Corp</v>
      </c>
      <c r="D288" s="6" t="str">
        <v>Microsoft Corp</v>
      </c>
      <c r="F288" s="6" t="str">
        <v>China (Mainland)</v>
      </c>
      <c r="G288" s="6" t="str">
        <v>Lang Chao International Ltd</v>
      </c>
      <c r="H288" s="6" t="str">
        <v>Business Services</v>
      </c>
      <c r="I288" s="6" t="str">
        <v>51574A</v>
      </c>
      <c r="J288" s="6" t="str">
        <v>Inspur Group Ltd</v>
      </c>
      <c r="K288" s="6" t="str">
        <v>Lang Chao Electronics Hong Kong Ltd</v>
      </c>
      <c r="L288" s="7">
        <f>=DATE(2005,6,30)</f>
        <v>38532.99949074074</v>
      </c>
      <c r="N288" s="8">
        <v>25.0011582117211</v>
      </c>
      <c r="O288" s="8">
        <v>25.0011582117211</v>
      </c>
      <c r="P288" s="8" t="str">
        <v>73.92</v>
      </c>
      <c r="R288" s="8">
        <v>2.66504517025712</v>
      </c>
      <c r="S288" s="8">
        <v>85.2196741564358</v>
      </c>
      <c r="T288" s="8">
        <v>0.659248132</v>
      </c>
      <c r="U288" s="8">
        <v>-0.143740028</v>
      </c>
      <c r="V288" s="8">
        <v>-0.513963896</v>
      </c>
      <c r="W288" s="6" t="str">
        <v>Operating Systems;Internet Services &amp; Software;Computer Consulting Services;Other Peripherals;Applications Software(Business;Monitors/Terminals</v>
      </c>
      <c r="X288" s="6" t="str">
        <v>Other Computer Related Svcs;Computer Consulting Services;Other Software (inq. Games);Data Processing Services</v>
      </c>
      <c r="Y288" s="6" t="str">
        <v>Primary Business not Hi-Tech</v>
      </c>
      <c r="Z288" s="6" t="str">
        <v>Other Computer Related Svcs;Data Processing Services;Other Software (inq. Games);Computer Consulting Services</v>
      </c>
      <c r="AA288" s="6" t="str">
        <v>Operating Systems;Monitors/Terminals;Computer Consulting Services;Other Peripherals;Applications Software(Business;Internet Services &amp; Software</v>
      </c>
      <c r="AB288" s="6" t="str">
        <v>Other Peripherals;Internet Services &amp; Software;Computer Consulting Services;Monitors/Terminals;Applications Software(Business;Operating Systems</v>
      </c>
      <c r="AC288" s="8">
        <v>25.0011582117211</v>
      </c>
      <c r="AD288" s="7">
        <f>=DATE(2005,6,30)</f>
        <v>38532.99949074074</v>
      </c>
      <c r="AF288" s="8" t="str">
        <v>73.92</v>
      </c>
      <c r="AI288" s="8" t="str">
        <v>82.34</v>
      </c>
      <c r="AL288" s="8">
        <v>25.0011582117211</v>
      </c>
    </row>
    <row r="289">
      <c r="A289" s="6" t="str">
        <v>594918</v>
      </c>
      <c r="B289" s="6" t="str">
        <v>United States</v>
      </c>
      <c r="C289" s="6" t="str">
        <v>Microsoft Corp</v>
      </c>
      <c r="D289" s="6" t="str">
        <v>Microsoft Corp</v>
      </c>
      <c r="F289" s="6" t="str">
        <v>Singapore</v>
      </c>
      <c r="G289" s="6" t="str">
        <v>Creative Technology Ltd</v>
      </c>
      <c r="H289" s="6" t="str">
        <v>Computer and Office Equipment</v>
      </c>
      <c r="I289" s="6" t="str">
        <v>Y1775U</v>
      </c>
      <c r="J289" s="6" t="str">
        <v>Creative Technology Ltd</v>
      </c>
      <c r="K289" s="6" t="str">
        <v>Creative Technology Ltd</v>
      </c>
      <c r="L289" s="7">
        <f>=DATE(2005,7,15)</f>
        <v>38547.99949074074</v>
      </c>
      <c r="R289" s="8">
        <v>38.910831112188</v>
      </c>
      <c r="S289" s="8">
        <v>1136.12490913497</v>
      </c>
      <c r="T289" s="8">
        <v>137.1237354</v>
      </c>
      <c r="U289" s="8">
        <v>33.471276804</v>
      </c>
      <c r="V289" s="8">
        <v>-145.92000948</v>
      </c>
      <c r="W289" s="6" t="str">
        <v>Other Peripherals;Monitors/Terminals;Computer Consulting Services;Internet Services &amp; Software;Operating Systems;Applications Software(Business</v>
      </c>
      <c r="X289" s="6" t="str">
        <v>Other Peripherals;Other Software (inq. Games);Applications Software(Business</v>
      </c>
      <c r="Y289" s="6" t="str">
        <v>Other Peripherals;Applications Software(Business;Other Software (inq. Games)</v>
      </c>
      <c r="Z289" s="6" t="str">
        <v>Applications Software(Business;Other Software (inq. Games);Other Peripherals</v>
      </c>
      <c r="AA289" s="6" t="str">
        <v>Monitors/Terminals;Other Peripherals;Applications Software(Business;Operating Systems;Internet Services &amp; Software;Computer Consulting Services</v>
      </c>
      <c r="AB289" s="6" t="str">
        <v>Monitors/Terminals;Internet Services &amp; Software;Operating Systems;Applications Software(Business;Computer Consulting Services;Other Peripherals</v>
      </c>
    </row>
    <row r="290">
      <c r="A290" s="6" t="str">
        <v>594918</v>
      </c>
      <c r="B290" s="6" t="str">
        <v>United States</v>
      </c>
      <c r="C290" s="6" t="str">
        <v>Microsoft Corp</v>
      </c>
      <c r="D290" s="6" t="str">
        <v>Microsoft Corp</v>
      </c>
      <c r="F290" s="6" t="str">
        <v>United States</v>
      </c>
      <c r="G290" s="6" t="str">
        <v>FrontBridge Technologies Inc</v>
      </c>
      <c r="H290" s="6" t="str">
        <v>Business Services</v>
      </c>
      <c r="I290" s="6" t="str">
        <v>35911X</v>
      </c>
      <c r="J290" s="6" t="str">
        <v>FrontBridge Technologies Inc</v>
      </c>
      <c r="K290" s="6" t="str">
        <v>FrontBridge Technologies Inc</v>
      </c>
      <c r="L290" s="7">
        <f>=DATE(2005,7,20)</f>
        <v>38552.99949074074</v>
      </c>
      <c r="M290" s="7">
        <f>=DATE(2005,8,31)</f>
        <v>38594.99949074074</v>
      </c>
      <c r="W290" s="6" t="str">
        <v>Internet Services &amp; Software;Operating Systems;Other Peripherals;Computer Consulting Services;Applications Software(Business;Monitors/Terminals</v>
      </c>
      <c r="X290" s="6" t="str">
        <v>Other Computer Related Svcs</v>
      </c>
      <c r="Y290" s="6" t="str">
        <v>Other Computer Related Svcs</v>
      </c>
      <c r="Z290" s="6" t="str">
        <v>Other Computer Related Svcs</v>
      </c>
      <c r="AA290" s="6" t="str">
        <v>Operating Systems;Computer Consulting Services;Monitors/Terminals;Internet Services &amp; Software;Other Peripherals;Applications Software(Business</v>
      </c>
      <c r="AB290" s="6" t="str">
        <v>Monitors/Terminals;Other Peripherals;Applications Software(Business;Internet Services &amp; Software;Operating Systems;Computer Consulting Services</v>
      </c>
    </row>
    <row r="291">
      <c r="A291" s="6" t="str">
        <v>38259P</v>
      </c>
      <c r="B291" s="6" t="str">
        <v>United States</v>
      </c>
      <c r="C291" s="6" t="str">
        <v>Google Inc</v>
      </c>
      <c r="D291" s="6" t="str">
        <v>Alphabet Inc</v>
      </c>
      <c r="F291" s="6" t="str">
        <v>United States</v>
      </c>
      <c r="G291" s="6" t="str">
        <v>Android Inc</v>
      </c>
      <c r="H291" s="6" t="str">
        <v>Prepackaged Software</v>
      </c>
      <c r="I291" s="6" t="str">
        <v>03456P</v>
      </c>
      <c r="J291" s="6" t="str">
        <v>Android Inc</v>
      </c>
      <c r="K291" s="6" t="str">
        <v>Android Inc</v>
      </c>
      <c r="L291" s="7">
        <f>=DATE(2005,7,31)</f>
        <v>38563.99949074074</v>
      </c>
      <c r="M291" s="7">
        <f>=DATE(2005,7,31)</f>
        <v>38563.99949074074</v>
      </c>
      <c r="W291" s="6" t="str">
        <v>Internet Services &amp; Software;Programming Services</v>
      </c>
      <c r="X291" s="6" t="str">
        <v>Other Software (inq. Games)</v>
      </c>
      <c r="Y291" s="6" t="str">
        <v>Other Software (inq. Games)</v>
      </c>
      <c r="Z291" s="6" t="str">
        <v>Other Software (inq. Games)</v>
      </c>
      <c r="AA291" s="6" t="str">
        <v>Internet Services &amp; Software;Telecommunications Equipment;Programming Services;Computer Consulting Services;Primary Business not Hi-Tech</v>
      </c>
      <c r="AB291" s="6" t="str">
        <v>Telecommunications Equipment;Computer Consulting Services;Internet Services &amp; Software;Primary Business not Hi-Tech;Programming Services</v>
      </c>
    </row>
    <row r="292">
      <c r="A292" s="6" t="str">
        <v>55126T</v>
      </c>
      <c r="B292" s="6" t="str">
        <v>United States</v>
      </c>
      <c r="C292" s="6" t="str">
        <v>Lynda.com Inc</v>
      </c>
      <c r="D292" s="6" t="str">
        <v>Lynda.com Inc</v>
      </c>
      <c r="F292" s="6" t="str">
        <v>United States</v>
      </c>
      <c r="G292" s="6" t="str">
        <v>Flashforward</v>
      </c>
      <c r="H292" s="6" t="str">
        <v>Prepackaged Software</v>
      </c>
      <c r="I292" s="6" t="str">
        <v>33856J</v>
      </c>
      <c r="J292" s="6" t="str">
        <v>Lynda.com Inc</v>
      </c>
      <c r="K292" s="6" t="str">
        <v>Lynda.com Inc</v>
      </c>
      <c r="L292" s="7">
        <f>=DATE(2005,8,5)</f>
        <v>38568.99949074074</v>
      </c>
      <c r="M292" s="7">
        <f>=DATE(2005,8,5)</f>
        <v>38568.99949074074</v>
      </c>
      <c r="W292" s="6" t="str">
        <v>Internet Services &amp; Software</v>
      </c>
      <c r="X292" s="6" t="str">
        <v>Other Software (inq. Games)</v>
      </c>
      <c r="Y292" s="6" t="str">
        <v>Internet Services &amp; Software</v>
      </c>
      <c r="Z292" s="6" t="str">
        <v>Internet Services &amp; Software</v>
      </c>
      <c r="AA292" s="6" t="str">
        <v>Internet Services &amp; Software</v>
      </c>
      <c r="AB292" s="6" t="str">
        <v>Internet Services &amp; Software</v>
      </c>
    </row>
    <row r="293">
      <c r="A293" s="6" t="str">
        <v>594918</v>
      </c>
      <c r="B293" s="6" t="str">
        <v>United States</v>
      </c>
      <c r="C293" s="6" t="str">
        <v>Microsoft Corp</v>
      </c>
      <c r="D293" s="6" t="str">
        <v>Microsoft Corp</v>
      </c>
      <c r="F293" s="6" t="str">
        <v>United States</v>
      </c>
      <c r="G293" s="6" t="str">
        <v>Teleo Inc</v>
      </c>
      <c r="H293" s="6" t="str">
        <v>Business Services</v>
      </c>
      <c r="I293" s="6" t="str">
        <v>87898W</v>
      </c>
      <c r="J293" s="6" t="str">
        <v>Teleo Inc</v>
      </c>
      <c r="K293" s="6" t="str">
        <v>Teleo Inc</v>
      </c>
      <c r="L293" s="7">
        <f>=DATE(2005,8,29)</f>
        <v>38592.99949074074</v>
      </c>
      <c r="M293" s="7">
        <f>=DATE(2005,8,29)</f>
        <v>38592.99949074074</v>
      </c>
      <c r="W293" s="6" t="str">
        <v>Computer Consulting Services;Applications Software(Business;Other Peripherals;Monitors/Terminals;Operating Systems;Internet Services &amp; Software</v>
      </c>
      <c r="X293" s="6" t="str">
        <v>Internet Services &amp; Software;Networking Systems (LAN,WAN)</v>
      </c>
      <c r="Y293" s="6" t="str">
        <v>Networking Systems (LAN,WAN);Internet Services &amp; Software</v>
      </c>
      <c r="Z293" s="6" t="str">
        <v>Internet Services &amp; Software;Networking Systems (LAN,WAN)</v>
      </c>
      <c r="AA293" s="6" t="str">
        <v>Operating Systems;Other Peripherals;Applications Software(Business;Computer Consulting Services;Monitors/Terminals;Internet Services &amp; Software</v>
      </c>
      <c r="AB293" s="6" t="str">
        <v>Other Peripherals;Operating Systems;Computer Consulting Services;Applications Software(Business;Internet Services &amp; Software;Monitors/Terminals</v>
      </c>
    </row>
    <row r="294">
      <c r="A294" s="6" t="str">
        <v>38259P</v>
      </c>
      <c r="B294" s="6" t="str">
        <v>United States</v>
      </c>
      <c r="C294" s="6" t="str">
        <v>Google Inc</v>
      </c>
      <c r="D294" s="6" t="str">
        <v>Alphabet Inc</v>
      </c>
      <c r="F294" s="6" t="str">
        <v>United States</v>
      </c>
      <c r="G294" s="6" t="str">
        <v>Transformic Inc</v>
      </c>
      <c r="H294" s="6" t="str">
        <v>Business Services</v>
      </c>
      <c r="I294" s="6" t="str">
        <v>89329R</v>
      </c>
      <c r="J294" s="6" t="str">
        <v>Transformic Inc</v>
      </c>
      <c r="K294" s="6" t="str">
        <v>Transformic Inc</v>
      </c>
      <c r="L294" s="7">
        <f>=DATE(2005,9,15)</f>
        <v>38609.99949074074</v>
      </c>
      <c r="M294" s="7">
        <f>=DATE(2005,9,15)</f>
        <v>38609.99949074074</v>
      </c>
      <c r="W294" s="6" t="str">
        <v>Internet Services &amp; Software;Programming Services</v>
      </c>
      <c r="X294" s="6" t="str">
        <v>Internet Services &amp; Software</v>
      </c>
      <c r="Y294" s="6" t="str">
        <v>Internet Services &amp; Software</v>
      </c>
      <c r="Z294" s="6" t="str">
        <v>Internet Services &amp; Software</v>
      </c>
      <c r="AA294" s="6" t="str">
        <v>Telecommunications Equipment;Computer Consulting Services;Programming Services;Internet Services &amp; Software;Primary Business not Hi-Tech</v>
      </c>
      <c r="AB294" s="6" t="str">
        <v>Primary Business not Hi-Tech;Computer Consulting Services;Internet Services &amp; Software;Programming Services;Telecommunications Equipment</v>
      </c>
    </row>
    <row r="295">
      <c r="A295" s="6" t="str">
        <v>594918</v>
      </c>
      <c r="B295" s="6" t="str">
        <v>United States</v>
      </c>
      <c r="C295" s="6" t="str">
        <v>Microsoft Corp</v>
      </c>
      <c r="D295" s="6" t="str">
        <v>Microsoft Corp</v>
      </c>
      <c r="F295" s="6" t="str">
        <v>Canada</v>
      </c>
      <c r="G295" s="6" t="str">
        <v>Alacris Inc</v>
      </c>
      <c r="H295" s="6" t="str">
        <v>Prepackaged Software</v>
      </c>
      <c r="I295" s="6" t="str">
        <v>00644P</v>
      </c>
      <c r="J295" s="6" t="str">
        <v>Alacris Inc</v>
      </c>
      <c r="K295" s="6" t="str">
        <v>Alacris Inc</v>
      </c>
      <c r="L295" s="7">
        <f>=DATE(2005,9,19)</f>
        <v>38613.99949074074</v>
      </c>
      <c r="M295" s="7">
        <f>=DATE(2005,9,19)</f>
        <v>38613.99949074074</v>
      </c>
      <c r="W295" s="6" t="str">
        <v>Internet Services &amp; Software;Computer Consulting Services;Operating Systems;Other Peripherals;Applications Software(Business;Monitors/Terminals</v>
      </c>
      <c r="X295" s="6" t="str">
        <v>Applications Software(Business;Other Software (inq. Games)</v>
      </c>
      <c r="Y295" s="6" t="str">
        <v>Applications Software(Business;Other Software (inq. Games)</v>
      </c>
      <c r="Z295" s="6" t="str">
        <v>Other Software (inq. Games);Applications Software(Business</v>
      </c>
      <c r="AA295" s="6" t="str">
        <v>Monitors/Terminals;Other Peripherals;Operating Systems;Computer Consulting Services;Internet Services &amp; Software;Applications Software(Business</v>
      </c>
      <c r="AB295" s="6" t="str">
        <v>Internet Services &amp; Software;Other Peripherals;Monitors/Terminals;Operating Systems;Applications Software(Business;Computer Consulting Services</v>
      </c>
    </row>
    <row r="296">
      <c r="A296" s="6" t="str">
        <v>38259P</v>
      </c>
      <c r="B296" s="6" t="str">
        <v>United States</v>
      </c>
      <c r="C296" s="6" t="str">
        <v>Google Inc</v>
      </c>
      <c r="D296" s="6" t="str">
        <v>Alphabet Inc</v>
      </c>
      <c r="F296" s="6" t="str">
        <v>United States</v>
      </c>
      <c r="G296" s="6" t="str">
        <v>Skia</v>
      </c>
      <c r="H296" s="6" t="str">
        <v>Prepackaged Software</v>
      </c>
      <c r="I296" s="6" t="str">
        <v>87003K</v>
      </c>
      <c r="J296" s="6" t="str">
        <v>Skia</v>
      </c>
      <c r="K296" s="6" t="str">
        <v>Skia</v>
      </c>
      <c r="L296" s="7">
        <f>=DATE(2005,11,1)</f>
        <v>38656.99949074074</v>
      </c>
      <c r="M296" s="7">
        <f>=DATE(2005,11,1)</f>
        <v>38656.99949074074</v>
      </c>
      <c r="W296" s="6" t="str">
        <v>Programming Services;Internet Services &amp; Software</v>
      </c>
      <c r="X296" s="6" t="str">
        <v>Internet Services &amp; Software;Communication/Network Software</v>
      </c>
      <c r="Y296" s="6" t="str">
        <v>Communication/Network Software;Internet Services &amp; Software</v>
      </c>
      <c r="Z296" s="6" t="str">
        <v>Internet Services &amp; Software;Communication/Network Software</v>
      </c>
      <c r="AA296" s="6" t="str">
        <v>Telecommunications Equipment;Primary Business not Hi-Tech;Computer Consulting Services;Programming Services;Internet Services &amp; Software</v>
      </c>
      <c r="AB296" s="6" t="str">
        <v>Computer Consulting Services;Programming Services;Internet Services &amp; Software;Primary Business not Hi-Tech;Telecommunications Equipment</v>
      </c>
    </row>
    <row r="297">
      <c r="A297" s="6" t="str">
        <v>594918</v>
      </c>
      <c r="B297" s="6" t="str">
        <v>United States</v>
      </c>
      <c r="C297" s="6" t="str">
        <v>Microsoft Corp</v>
      </c>
      <c r="D297" s="6" t="str">
        <v>Microsoft Corp</v>
      </c>
      <c r="F297" s="6" t="str">
        <v>United States</v>
      </c>
      <c r="G297" s="6" t="str">
        <v>ByteTaxi Inc</v>
      </c>
      <c r="H297" s="6" t="str">
        <v>Prepackaged Software</v>
      </c>
      <c r="I297" s="6" t="str">
        <v>12906F</v>
      </c>
      <c r="J297" s="6" t="str">
        <v>ByteTaxi Inc</v>
      </c>
      <c r="K297" s="6" t="str">
        <v>ByteTaxi Inc</v>
      </c>
      <c r="L297" s="7">
        <f>=DATE(2005,11,3)</f>
        <v>38658.99949074074</v>
      </c>
      <c r="M297" s="7">
        <f>=DATE(2005,11,3)</f>
        <v>38658.99949074074</v>
      </c>
      <c r="W297" s="6" t="str">
        <v>Applications Software(Business;Computer Consulting Services;Operating Systems;Monitors/Terminals;Other Peripherals;Internet Services &amp; Software</v>
      </c>
      <c r="X297" s="6" t="str">
        <v>Other Software (inq. Games)</v>
      </c>
      <c r="Y297" s="6" t="str">
        <v>Other Software (inq. Games)</v>
      </c>
      <c r="Z297" s="6" t="str">
        <v>Other Software (inq. Games)</v>
      </c>
      <c r="AA297" s="6" t="str">
        <v>Operating Systems;Applications Software(Business;Monitors/Terminals;Internet Services &amp; Software;Other Peripherals;Computer Consulting Services</v>
      </c>
      <c r="AB297" s="6" t="str">
        <v>Computer Consulting Services;Operating Systems;Applications Software(Business;Internet Services &amp; Software;Monitors/Terminals;Other Peripherals</v>
      </c>
    </row>
    <row r="298">
      <c r="A298" s="6" t="str">
        <v>594918</v>
      </c>
      <c r="B298" s="6" t="str">
        <v>United States</v>
      </c>
      <c r="C298" s="6" t="str">
        <v>Microsoft Corp</v>
      </c>
      <c r="D298" s="6" t="str">
        <v>Microsoft Corp</v>
      </c>
      <c r="F298" s="6" t="str">
        <v>Switzerland</v>
      </c>
      <c r="G298" s="6" t="str">
        <v>media-streams.com AG</v>
      </c>
      <c r="H298" s="6" t="str">
        <v>Prepackaged Software</v>
      </c>
      <c r="I298" s="6" t="str">
        <v>58618E</v>
      </c>
      <c r="J298" s="6" t="str">
        <v>media-streams.com AG</v>
      </c>
      <c r="K298" s="6" t="str">
        <v>media-streams.com AG</v>
      </c>
      <c r="L298" s="7">
        <f>=DATE(2005,11,3)</f>
        <v>38658.99949074074</v>
      </c>
      <c r="M298" s="7">
        <f>=DATE(2005,11,3)</f>
        <v>38658.99949074074</v>
      </c>
      <c r="W298" s="6" t="str">
        <v>Internet Services &amp; Software;Applications Software(Business;Operating Systems;Computer Consulting Services;Other Peripherals;Monitors/Terminals</v>
      </c>
      <c r="X298" s="6" t="str">
        <v>Other Software (inq. Games)</v>
      </c>
      <c r="Y298" s="6" t="str">
        <v>Other Software (inq. Games)</v>
      </c>
      <c r="Z298" s="6" t="str">
        <v>Other Software (inq. Games)</v>
      </c>
      <c r="AA298" s="6" t="str">
        <v>Internet Services &amp; Software;Other Peripherals;Operating Systems;Applications Software(Business;Monitors/Terminals;Computer Consulting Services</v>
      </c>
      <c r="AB298" s="6" t="str">
        <v>Monitors/Terminals;Computer Consulting Services;Internet Services &amp; Software;Operating Systems;Other Peripherals;Applications Software(Business</v>
      </c>
    </row>
    <row r="299">
      <c r="A299" s="6" t="str">
        <v>594918</v>
      </c>
      <c r="B299" s="6" t="str">
        <v>United States</v>
      </c>
      <c r="C299" s="6" t="str">
        <v>Microsoft Corp</v>
      </c>
      <c r="D299" s="6" t="str">
        <v>Microsoft Corp</v>
      </c>
      <c r="F299" s="6" t="str">
        <v>United States</v>
      </c>
      <c r="G299" s="6" t="str">
        <v>UMT-Software and IP Assets</v>
      </c>
      <c r="H299" s="6" t="str">
        <v>Prepackaged Software</v>
      </c>
      <c r="I299" s="6" t="str">
        <v>90588E</v>
      </c>
      <c r="J299" s="6" t="str">
        <v>UMT</v>
      </c>
      <c r="K299" s="6" t="str">
        <v>UMT</v>
      </c>
      <c r="L299" s="7">
        <f>=DATE(2005,12,16)</f>
        <v>38701.99949074074</v>
      </c>
      <c r="M299" s="7">
        <f>=DATE(2006,1,19)</f>
        <v>38735.99949074074</v>
      </c>
      <c r="W299" s="6" t="str">
        <v>Monitors/Terminals;Computer Consulting Services;Applications Software(Business;Internet Services &amp; Software;Other Peripherals;Operating Systems</v>
      </c>
      <c r="X299" s="6" t="str">
        <v>Other Software (inq. Games)</v>
      </c>
      <c r="Y299" s="6" t="str">
        <v>Computer Consulting Services</v>
      </c>
      <c r="Z299" s="6" t="str">
        <v>Computer Consulting Services</v>
      </c>
      <c r="AA299" s="6" t="str">
        <v>Other Peripherals;Monitors/Terminals;Applications Software(Business;Computer Consulting Services;Internet Services &amp; Software;Operating Systems</v>
      </c>
      <c r="AB299" s="6" t="str">
        <v>Computer Consulting Services;Other Peripherals;Operating Systems;Monitors/Terminals;Applications Software(Business;Internet Services &amp; Software</v>
      </c>
    </row>
    <row r="300">
      <c r="A300" s="6" t="str">
        <v>38259P</v>
      </c>
      <c r="B300" s="6" t="str">
        <v>United States</v>
      </c>
      <c r="C300" s="6" t="str">
        <v>Google Inc</v>
      </c>
      <c r="D300" s="6" t="str">
        <v>Alphabet Inc</v>
      </c>
      <c r="F300" s="6" t="str">
        <v>United States</v>
      </c>
      <c r="G300" s="6" t="str">
        <v>America Online Inc</v>
      </c>
      <c r="H300" s="6" t="str">
        <v>Business Services</v>
      </c>
      <c r="I300" s="6" t="str">
        <v>02363V</v>
      </c>
      <c r="J300" s="6" t="str">
        <v>Time Warner Inc</v>
      </c>
      <c r="K300" s="6" t="str">
        <v>Time Warner Inc</v>
      </c>
      <c r="L300" s="7">
        <f>=DATE(2005,12,20)</f>
        <v>38705.99949074074</v>
      </c>
      <c r="M300" s="7">
        <f>=DATE(2006,4,1)</f>
        <v>38807.99949074074</v>
      </c>
      <c r="N300" s="8">
        <v>1000</v>
      </c>
      <c r="O300" s="8">
        <v>1000</v>
      </c>
      <c r="P300" s="8" t="str">
        <v>20,000.00</v>
      </c>
      <c r="S300" s="8">
        <v>6121</v>
      </c>
      <c r="W300" s="6" t="str">
        <v>Programming Services;Internet Services &amp; Software</v>
      </c>
      <c r="X300" s="6" t="str">
        <v>Other Computer Related Svcs</v>
      </c>
      <c r="Y300" s="6" t="str">
        <v>Satellite Communications;Internet Services &amp; Software;Communication/Network Software</v>
      </c>
      <c r="Z300" s="6" t="str">
        <v>Communication/Network Software;Satellite Communications;Internet Services &amp; Software</v>
      </c>
      <c r="AA300" s="6" t="str">
        <v>Programming Services;Telecommunications Equipment;Internet Services &amp; Software;Computer Consulting Services;Primary Business not Hi-Tech</v>
      </c>
      <c r="AB300" s="6" t="str">
        <v>Primary Business not Hi-Tech;Computer Consulting Services;Telecommunications Equipment;Internet Services &amp; Software;Programming Services</v>
      </c>
      <c r="AC300" s="8">
        <v>1000</v>
      </c>
      <c r="AD300" s="7">
        <f>=DATE(2005,12,20)</f>
        <v>38705.99949074074</v>
      </c>
      <c r="AF300" s="8" t="str">
        <v>20,000.00</v>
      </c>
      <c r="AG300" s="8" t="str">
        <v>20,000.00</v>
      </c>
      <c r="AH300" s="8" t="str">
        <v>20,000.00</v>
      </c>
      <c r="AI300" s="8" t="str">
        <v>20,000.00</v>
      </c>
      <c r="AL300" s="8">
        <v>1000</v>
      </c>
    </row>
    <row r="301">
      <c r="A301" s="6" t="str">
        <v>893929</v>
      </c>
      <c r="B301" s="6" t="str">
        <v>United States</v>
      </c>
      <c r="C301" s="6" t="str">
        <v>Transcend Services Inc</v>
      </c>
      <c r="D301" s="6" t="str">
        <v>Transcend Services Inc</v>
      </c>
      <c r="F301" s="6" t="str">
        <v>United States</v>
      </c>
      <c r="G301" s="6" t="str">
        <v>PracticeXpert Inc- Transcription Business Unit</v>
      </c>
      <c r="H301" s="6" t="str">
        <v>Business Services</v>
      </c>
      <c r="I301" s="6" t="str">
        <v>73958W</v>
      </c>
      <c r="J301" s="6" t="str">
        <v>PracticeXpert Inc</v>
      </c>
      <c r="K301" s="6" t="str">
        <v>PracticeXpert Inc</v>
      </c>
      <c r="L301" s="7">
        <f>=DATE(2005,12,30)</f>
        <v>38715.99949074074</v>
      </c>
      <c r="M301" s="7">
        <f>=DATE(2006,1,3)</f>
        <v>38719.99949074074</v>
      </c>
      <c r="N301" s="8">
        <v>0.54</v>
      </c>
      <c r="O301" s="8">
        <v>0.54</v>
      </c>
      <c r="W301" s="6" t="str">
        <v>Other Computer Related Svcs;Data Processing Services</v>
      </c>
      <c r="X301" s="6" t="str">
        <v>Other Software (inq. Games)</v>
      </c>
      <c r="Y301" s="6" t="str">
        <v>Other Software (inq. Games)</v>
      </c>
      <c r="Z301" s="6" t="str">
        <v>Other Software (inq. Games)</v>
      </c>
      <c r="AA301" s="6" t="str">
        <v>Data Processing Services;Other Computer Related Svcs</v>
      </c>
      <c r="AB301" s="6" t="str">
        <v>Other Computer Related Svcs;Data Processing Services</v>
      </c>
      <c r="AC301" s="8">
        <v>0.54</v>
      </c>
      <c r="AD301" s="7">
        <f>=DATE(2005,12,30)</f>
        <v>38715.99949074074</v>
      </c>
      <c r="AL301" s="8">
        <v>0.54</v>
      </c>
    </row>
    <row r="302">
      <c r="A302" s="6" t="str">
        <v>38259P</v>
      </c>
      <c r="B302" s="6" t="str">
        <v>United States</v>
      </c>
      <c r="C302" s="6" t="str">
        <v>Google Inc</v>
      </c>
      <c r="D302" s="6" t="str">
        <v>Alphabet Inc</v>
      </c>
      <c r="F302" s="6" t="str">
        <v>Canada</v>
      </c>
      <c r="G302" s="6" t="str">
        <v>Reqwireless Inc</v>
      </c>
      <c r="H302" s="6" t="str">
        <v>Prepackaged Software</v>
      </c>
      <c r="I302" s="6" t="str">
        <v>75429J</v>
      </c>
      <c r="J302" s="6" t="str">
        <v>Reqwireless Inc</v>
      </c>
      <c r="K302" s="6" t="str">
        <v>Reqwireless Inc</v>
      </c>
      <c r="L302" s="7">
        <f>=DATE(2006,1,6)</f>
        <v>38722.99949074074</v>
      </c>
      <c r="M302" s="7">
        <f>=DATE(2006,1,6)</f>
        <v>38722.99949074074</v>
      </c>
      <c r="W302" s="6" t="str">
        <v>Internet Services &amp; Software;Programming Services</v>
      </c>
      <c r="X302" s="6" t="str">
        <v>Communication/Network Software;Internet Services &amp; Software</v>
      </c>
      <c r="Y302" s="6" t="str">
        <v>Internet Services &amp; Software;Communication/Network Software</v>
      </c>
      <c r="Z302" s="6" t="str">
        <v>Communication/Network Software;Internet Services &amp; Software</v>
      </c>
      <c r="AA302" s="6" t="str">
        <v>Computer Consulting Services;Programming Services;Internet Services &amp; Software;Telecommunications Equipment;Primary Business not Hi-Tech</v>
      </c>
      <c r="AB302" s="6" t="str">
        <v>Telecommunications Equipment;Primary Business not Hi-Tech;Internet Services &amp; Software;Programming Services;Computer Consulting Services</v>
      </c>
    </row>
    <row r="303">
      <c r="A303" s="6" t="str">
        <v>38259P</v>
      </c>
      <c r="B303" s="6" t="str">
        <v>United States</v>
      </c>
      <c r="C303" s="6" t="str">
        <v>Google Inc</v>
      </c>
      <c r="D303" s="6" t="str">
        <v>Alphabet Inc</v>
      </c>
      <c r="F303" s="6" t="str">
        <v>United States</v>
      </c>
      <c r="G303" s="6" t="str">
        <v>dMarc Broadcasting Inc</v>
      </c>
      <c r="H303" s="6" t="str">
        <v>Prepackaged Software</v>
      </c>
      <c r="I303" s="6" t="str">
        <v>23554V</v>
      </c>
      <c r="J303" s="6" t="str">
        <v>dMarc Broadcasting Inc</v>
      </c>
      <c r="K303" s="6" t="str">
        <v>dMarc Broadcasting Inc</v>
      </c>
      <c r="L303" s="7">
        <f>=DATE(2006,1,16)</f>
        <v>38732.99949074074</v>
      </c>
      <c r="M303" s="7">
        <f>=DATE(2006,2,28)</f>
        <v>38775.99949074074</v>
      </c>
      <c r="N303" s="8">
        <v>102</v>
      </c>
      <c r="O303" s="8">
        <v>102</v>
      </c>
      <c r="W303" s="6" t="str">
        <v>Programming Services;Internet Services &amp; Software</v>
      </c>
      <c r="X303" s="6" t="str">
        <v>Networking Systems (LAN,WAN);Other Peripherals;Communication/Network Software;Other Computer Systems</v>
      </c>
      <c r="Y303" s="6" t="str">
        <v>Other Computer Systems;Networking Systems (LAN,WAN);Other Peripherals;Communication/Network Software</v>
      </c>
      <c r="Z303" s="6" t="str">
        <v>Other Peripherals;Other Computer Systems;Communication/Network Software;Networking Systems (LAN,WAN)</v>
      </c>
      <c r="AA303" s="6" t="str">
        <v>Computer Consulting Services;Programming Services;Internet Services &amp; Software;Primary Business not Hi-Tech;Telecommunications Equipment</v>
      </c>
      <c r="AB303" s="6" t="str">
        <v>Telecommunications Equipment;Internet Services &amp; Software;Primary Business not Hi-Tech;Programming Services;Computer Consulting Services</v>
      </c>
      <c r="AC303" s="8">
        <v>102</v>
      </c>
      <c r="AD303" s="7">
        <f>=DATE(2006,1,16)</f>
        <v>38732.99949074074</v>
      </c>
      <c r="AF303" s="8" t="str">
        <v>102.00</v>
      </c>
      <c r="AG303" s="8" t="str">
        <v>102.00</v>
      </c>
      <c r="AH303" s="8" t="str">
        <v>102.00</v>
      </c>
      <c r="AI303" s="8" t="str">
        <v>102.00</v>
      </c>
      <c r="AL303" s="8">
        <v>102</v>
      </c>
    </row>
    <row r="304">
      <c r="A304" s="6" t="str">
        <v>594918</v>
      </c>
      <c r="B304" s="6" t="str">
        <v>United States</v>
      </c>
      <c r="C304" s="6" t="str">
        <v>Microsoft Corp</v>
      </c>
      <c r="D304" s="6" t="str">
        <v>Microsoft Corp</v>
      </c>
      <c r="F304" s="6" t="str">
        <v>United States</v>
      </c>
      <c r="G304" s="6" t="str">
        <v>Seadragon Software</v>
      </c>
      <c r="H304" s="6" t="str">
        <v>Prepackaged Software</v>
      </c>
      <c r="I304" s="6" t="str">
        <v>81133K</v>
      </c>
      <c r="J304" s="6" t="str">
        <v>Seadragon Software</v>
      </c>
      <c r="K304" s="6" t="str">
        <v>Seadragon Software</v>
      </c>
      <c r="L304" s="7">
        <f>=DATE(2006,1,28)</f>
        <v>38744.99949074074</v>
      </c>
      <c r="M304" s="7">
        <f>=DATE(2006,2,13)</f>
        <v>38760.99949074074</v>
      </c>
      <c r="W304" s="6" t="str">
        <v>Applications Software(Business;Operating Systems;Internet Services &amp; Software;Other Peripherals;Computer Consulting Services;Monitors/Terminals</v>
      </c>
      <c r="X304" s="6" t="str">
        <v>Other Software (inq. Games)</v>
      </c>
      <c r="Y304" s="6" t="str">
        <v>Other Software (inq. Games)</v>
      </c>
      <c r="Z304" s="6" t="str">
        <v>Other Software (inq. Games)</v>
      </c>
      <c r="AA304" s="6" t="str">
        <v>Internet Services &amp; Software;Other Peripherals;Computer Consulting Services;Operating Systems;Applications Software(Business;Monitors/Terminals</v>
      </c>
      <c r="AB304" s="6" t="str">
        <v>Internet Services &amp; Software;Applications Software(Business;Other Peripherals;Operating Systems;Computer Consulting Services;Monitors/Terminals</v>
      </c>
    </row>
    <row r="305">
      <c r="A305" s="6" t="str">
        <v>01157Z</v>
      </c>
      <c r="B305" s="6" t="str">
        <v>United States</v>
      </c>
      <c r="C305" s="6" t="str">
        <v>Atrua Technologies Inc</v>
      </c>
      <c r="D305" s="6" t="str">
        <v>Atrua Technologies Inc</v>
      </c>
      <c r="F305" s="6" t="str">
        <v>United States</v>
      </c>
      <c r="G305" s="6" t="str">
        <v>Varatouch Technology Inc</v>
      </c>
      <c r="H305" s="6" t="str">
        <v>Prepackaged Software</v>
      </c>
      <c r="I305" s="6" t="str">
        <v>92312A</v>
      </c>
      <c r="J305" s="6" t="str">
        <v>Varatouch Technology Inc</v>
      </c>
      <c r="K305" s="6" t="str">
        <v>Varatouch Technology Inc</v>
      </c>
      <c r="L305" s="7">
        <f>=DATE(2006,2,1)</f>
        <v>38748.99949074074</v>
      </c>
      <c r="M305" s="7">
        <f>=DATE(2006,2,14)</f>
        <v>38761.99949074074</v>
      </c>
      <c r="W305" s="6" t="str">
        <v>Semiconductors;Applications Software(Business;Communication/Network Software</v>
      </c>
      <c r="X305" s="6" t="str">
        <v>Communication/Network Software</v>
      </c>
      <c r="Y305" s="6" t="str">
        <v>Communication/Network Software</v>
      </c>
      <c r="Z305" s="6" t="str">
        <v>Communication/Network Software</v>
      </c>
      <c r="AA305" s="6" t="str">
        <v>Communication/Network Software;Applications Software(Business;Semiconductors</v>
      </c>
      <c r="AB305" s="6" t="str">
        <v>Semiconductors;Applications Software(Business;Communication/Network Software</v>
      </c>
    </row>
    <row r="306">
      <c r="A306" s="6" t="str">
        <v>67020Y</v>
      </c>
      <c r="B306" s="6" t="str">
        <v>United States</v>
      </c>
      <c r="C306" s="6" t="str">
        <v>Nuance Communications Inc</v>
      </c>
      <c r="D306" s="6" t="str">
        <v>Nuance Communications Inc</v>
      </c>
      <c r="F306" s="6" t="str">
        <v>United States</v>
      </c>
      <c r="G306" s="6" t="str">
        <v>Dictaphone Corp</v>
      </c>
      <c r="H306" s="6" t="str">
        <v>Communications Equipment</v>
      </c>
      <c r="I306" s="6" t="str">
        <v>253579</v>
      </c>
      <c r="J306" s="6" t="str">
        <v>Dictaphone Corp</v>
      </c>
      <c r="K306" s="6" t="str">
        <v>Dictaphone Corp</v>
      </c>
      <c r="L306" s="7">
        <f>=DATE(2006,2,8)</f>
        <v>38755.99949074074</v>
      </c>
      <c r="M306" s="7">
        <f>=DATE(2006,3,31)</f>
        <v>38806.99949074074</v>
      </c>
      <c r="N306" s="8">
        <v>357</v>
      </c>
      <c r="O306" s="8">
        <v>357</v>
      </c>
      <c r="R306" s="8">
        <v>12.58</v>
      </c>
      <c r="S306" s="8">
        <v>70.456</v>
      </c>
      <c r="T306" s="8">
        <v>-34.332</v>
      </c>
      <c r="U306" s="8">
        <v>29.563</v>
      </c>
      <c r="V306" s="8">
        <v>16.462</v>
      </c>
      <c r="W306" s="6" t="str">
        <v>Other Software (inq. Games);Applications Software(Home);Other Computer Related Svcs;Applications Software(Business;Primary Business not Hi-Tech;Computer Consulting Services;Desktop Publishing;Communication/Network Software;Networking Systems (LAN,WAN);Internet Services &amp; Software;Programming Services;Database Software/Programming;Utilities/File Mgmt Software</v>
      </c>
      <c r="X306" s="6" t="str">
        <v>Messaging Systems;Data Commun(Exclude networking;Telephone Interconnect Equip;Other Telecommunications Equip;Modems</v>
      </c>
      <c r="Y306" s="6" t="str">
        <v>Messaging Systems;Data Commun(Exclude networking;Modems;Telephone Interconnect Equip;Other Telecommunications Equip</v>
      </c>
      <c r="Z306" s="6" t="str">
        <v>Telephone Interconnect Equip;Messaging Systems;Modems;Data Commun(Exclude networking;Other Telecommunications Equip</v>
      </c>
      <c r="AA306" s="6" t="str">
        <v>Database Software/Programming;Programming Services;Primary Business not Hi-Tech;Other Computer Related Svcs;Internet Services &amp; Software;Computer Consulting Services;Applications Software(Business;Other Software (inq. Games);Utilities/File Mgmt Software;Desktop Publishing;Communication/Network Software;Applications Software(Home);Networking Systems (LAN,WAN)</v>
      </c>
      <c r="AB306" s="6" t="str">
        <v>Internet Services &amp; Software;Applications Software(Business;Utilities/File Mgmt Software;Other Computer Related Svcs;Computer Consulting Services;Other Software (inq. Games);Programming Services;Database Software/Programming;Primary Business not Hi-Tech;Networking Systems (LAN,WAN);Desktop Publishing;Communication/Network Software;Applications Software(Home)</v>
      </c>
      <c r="AC306" s="8">
        <v>357</v>
      </c>
      <c r="AD306" s="7">
        <f>=DATE(2006,2,8)</f>
        <v>38755.99949074074</v>
      </c>
      <c r="AL306" s="8">
        <v>357</v>
      </c>
    </row>
    <row r="307">
      <c r="A307" s="6" t="str">
        <v>594918</v>
      </c>
      <c r="B307" s="6" t="str">
        <v>United States</v>
      </c>
      <c r="C307" s="6" t="str">
        <v>Microsoft Corp</v>
      </c>
      <c r="D307" s="6" t="str">
        <v>Microsoft Corp</v>
      </c>
      <c r="F307" s="6" t="str">
        <v>France</v>
      </c>
      <c r="G307" s="6" t="str">
        <v>MotionBridge SA</v>
      </c>
      <c r="H307" s="6" t="str">
        <v>Prepackaged Software</v>
      </c>
      <c r="I307" s="6" t="str">
        <v>61994E</v>
      </c>
      <c r="J307" s="6" t="str">
        <v>MotionBridge SA</v>
      </c>
      <c r="K307" s="6" t="str">
        <v>MotionBridge SA</v>
      </c>
      <c r="L307" s="7">
        <f>=DATE(2006,2,13)</f>
        <v>38760.99949074074</v>
      </c>
      <c r="M307" s="7">
        <f>=DATE(2006,2,13)</f>
        <v>38760.99949074074</v>
      </c>
      <c r="N307" s="8">
        <v>17.8545922011141</v>
      </c>
      <c r="O307" s="8">
        <v>17.8545922011141</v>
      </c>
      <c r="W307" s="6" t="str">
        <v>Monitors/Terminals;Other Peripherals;Computer Consulting Services;Operating Systems;Applications Software(Business;Internet Services &amp; Software</v>
      </c>
      <c r="X307" s="6" t="str">
        <v>Applications Software(Business;Internet Services &amp; Software;Communication/Network Software</v>
      </c>
      <c r="Y307" s="6" t="str">
        <v>Internet Services &amp; Software;Applications Software(Business;Communication/Network Software</v>
      </c>
      <c r="Z307" s="6" t="str">
        <v>Applications Software(Business;Internet Services &amp; Software;Communication/Network Software</v>
      </c>
      <c r="AA307" s="6" t="str">
        <v>Monitors/Terminals;Other Peripherals;Internet Services &amp; Software;Operating Systems;Applications Software(Business;Computer Consulting Services</v>
      </c>
      <c r="AB307" s="6" t="str">
        <v>Monitors/Terminals;Applications Software(Business;Internet Services &amp; Software;Operating Systems;Computer Consulting Services;Other Peripherals</v>
      </c>
      <c r="AC307" s="8">
        <v>17.8545922011141</v>
      </c>
      <c r="AD307" s="7">
        <f>=DATE(2006,12,5)</f>
        <v>39055.99949074074</v>
      </c>
      <c r="AJ307" s="8" t="str">
        <v>17.85</v>
      </c>
      <c r="AK307" s="6" t="str">
        <v>Euro</v>
      </c>
      <c r="AL307" s="8">
        <v>17.8545922011141</v>
      </c>
    </row>
    <row r="308">
      <c r="A308" s="6" t="str">
        <v>05069A</v>
      </c>
      <c r="B308" s="6" t="str">
        <v>United States</v>
      </c>
      <c r="C308" s="6" t="str">
        <v>Audible Inc</v>
      </c>
      <c r="D308" s="6" t="str">
        <v>Audible Inc</v>
      </c>
      <c r="F308" s="6" t="str">
        <v>United States</v>
      </c>
      <c r="G308" s="6" t="str">
        <v>Audible Inc</v>
      </c>
      <c r="H308" s="6" t="str">
        <v>Business Services</v>
      </c>
      <c r="I308" s="6" t="str">
        <v>05069A</v>
      </c>
      <c r="J308" s="6" t="str">
        <v>Audible Inc</v>
      </c>
      <c r="K308" s="6" t="str">
        <v>Audible Inc</v>
      </c>
      <c r="L308" s="7">
        <f>=DATE(2006,2,17)</f>
        <v>38764.99949074074</v>
      </c>
      <c r="N308" s="8">
        <v>25</v>
      </c>
      <c r="O308" s="8">
        <v>25</v>
      </c>
      <c r="R308" s="8">
        <v>-0.653</v>
      </c>
      <c r="S308" s="8">
        <v>63.237</v>
      </c>
      <c r="T308" s="8">
        <v>0.864</v>
      </c>
      <c r="U308" s="8">
        <v>-14.392</v>
      </c>
      <c r="V308" s="8">
        <v>11.779</v>
      </c>
      <c r="W308" s="6" t="str">
        <v>Internet Services &amp; Software</v>
      </c>
      <c r="X308" s="6" t="str">
        <v>Internet Services &amp; Software</v>
      </c>
      <c r="Y308" s="6" t="str">
        <v>Internet Services &amp; Software</v>
      </c>
      <c r="Z308" s="6" t="str">
        <v>Internet Services &amp; Software</v>
      </c>
      <c r="AA308" s="6" t="str">
        <v>Internet Services &amp; Software</v>
      </c>
      <c r="AB308" s="6" t="str">
        <v>Internet Services &amp; Software</v>
      </c>
      <c r="AC308" s="8">
        <v>25</v>
      </c>
      <c r="AD308" s="7">
        <f>=DATE(2006,2,17)</f>
        <v>38764.99949074074</v>
      </c>
      <c r="AJ308" s="8" t="str">
        <v>25.00</v>
      </c>
      <c r="AK308" s="6" t="str">
        <v>US Dollar</v>
      </c>
      <c r="AL308" s="8">
        <v>25</v>
      </c>
    </row>
    <row r="309">
      <c r="A309" s="6" t="str">
        <v>38259P</v>
      </c>
      <c r="B309" s="6" t="str">
        <v>United States</v>
      </c>
      <c r="C309" s="6" t="str">
        <v>Google Inc</v>
      </c>
      <c r="D309" s="6" t="str">
        <v>Alphabet Inc</v>
      </c>
      <c r="F309" s="6" t="str">
        <v>United States</v>
      </c>
      <c r="G309" s="6" t="str">
        <v>Measure Map</v>
      </c>
      <c r="H309" s="6" t="str">
        <v>Business Services</v>
      </c>
      <c r="I309" s="6" t="str">
        <v>58341X</v>
      </c>
      <c r="J309" s="6" t="str">
        <v>Measure Map</v>
      </c>
      <c r="K309" s="6" t="str">
        <v>Measure Map</v>
      </c>
      <c r="L309" s="7">
        <f>=DATE(2006,2,20)</f>
        <v>38767.99949074074</v>
      </c>
      <c r="M309" s="7">
        <f>=DATE(2006,2,20)</f>
        <v>38767.99949074074</v>
      </c>
      <c r="W309" s="6" t="str">
        <v>Programming Services;Internet Services &amp; Software</v>
      </c>
      <c r="X309" s="6" t="str">
        <v>Internet Services &amp; Software</v>
      </c>
      <c r="Y309" s="6" t="str">
        <v>Internet Services &amp; Software</v>
      </c>
      <c r="Z309" s="6" t="str">
        <v>Internet Services &amp; Software</v>
      </c>
      <c r="AA309" s="6" t="str">
        <v>Telecommunications Equipment;Programming Services;Computer Consulting Services;Primary Business not Hi-Tech;Internet Services &amp; Software</v>
      </c>
      <c r="AB309" s="6" t="str">
        <v>Programming Services;Primary Business not Hi-Tech;Telecommunications Equipment;Computer Consulting Services;Internet Services &amp; Software</v>
      </c>
    </row>
    <row r="310">
      <c r="A310" s="6" t="str">
        <v>023135</v>
      </c>
      <c r="B310" s="6" t="str">
        <v>United States</v>
      </c>
      <c r="C310" s="6" t="str">
        <v>Amazon.com Inc</v>
      </c>
      <c r="D310" s="6" t="str">
        <v>Amazon.com Inc</v>
      </c>
      <c r="F310" s="6" t="str">
        <v>United States</v>
      </c>
      <c r="G310" s="6" t="str">
        <v>Shopbop.com</v>
      </c>
      <c r="H310" s="6" t="str">
        <v>Business Services</v>
      </c>
      <c r="I310" s="6" t="str">
        <v>83111R</v>
      </c>
      <c r="J310" s="6" t="str">
        <v>Shopbop.com</v>
      </c>
      <c r="K310" s="6" t="str">
        <v>Shopbop.com</v>
      </c>
      <c r="L310" s="7">
        <f>=DATE(2006,2,27)</f>
        <v>38774.99949074074</v>
      </c>
      <c r="M310" s="7">
        <f>=DATE(2006,2,27)</f>
        <v>38774.99949074074</v>
      </c>
      <c r="W310" s="6" t="str">
        <v>Primary Business not Hi-Tech</v>
      </c>
      <c r="X310" s="6" t="str">
        <v>Internet Services &amp; Software;Networking Systems (LAN,WAN)</v>
      </c>
      <c r="Y310" s="6" t="str">
        <v>Internet Services &amp; Software;Networking Systems (LAN,WAN)</v>
      </c>
      <c r="Z310" s="6" t="str">
        <v>Internet Services &amp; Software;Networking Systems (LAN,WAN)</v>
      </c>
      <c r="AA310" s="6" t="str">
        <v>Primary Business not Hi-Tech</v>
      </c>
      <c r="AB310" s="6" t="str">
        <v>Primary Business not Hi-Tech</v>
      </c>
    </row>
    <row r="311">
      <c r="A311" s="6" t="str">
        <v>594918</v>
      </c>
      <c r="B311" s="6" t="str">
        <v>United States</v>
      </c>
      <c r="C311" s="6" t="str">
        <v>Microsoft Corp</v>
      </c>
      <c r="D311" s="6" t="str">
        <v>Microsoft Corp</v>
      </c>
      <c r="F311" s="6" t="str">
        <v>United States</v>
      </c>
      <c r="G311" s="6" t="str">
        <v>Apptimum Inc</v>
      </c>
      <c r="H311" s="6" t="str">
        <v>Prepackaged Software</v>
      </c>
      <c r="I311" s="6" t="str">
        <v>03807C</v>
      </c>
      <c r="J311" s="6" t="str">
        <v>Apptimum Inc</v>
      </c>
      <c r="K311" s="6" t="str">
        <v>Apptimum Inc</v>
      </c>
      <c r="L311" s="7">
        <f>=DATE(2006,3,7)</f>
        <v>38782.99949074074</v>
      </c>
      <c r="M311" s="7">
        <f>=DATE(2006,3,7)</f>
        <v>38782.99949074074</v>
      </c>
      <c r="W311" s="6" t="str">
        <v>Operating Systems;Other Peripherals;Applications Software(Business;Monitors/Terminals;Internet Services &amp; Software;Computer Consulting Services</v>
      </c>
      <c r="X311" s="6" t="str">
        <v>Other Software (inq. Games)</v>
      </c>
      <c r="Y311" s="6" t="str">
        <v>Other Software (inq. Games)</v>
      </c>
      <c r="Z311" s="6" t="str">
        <v>Other Software (inq. Games)</v>
      </c>
      <c r="AA311" s="6" t="str">
        <v>Other Peripherals;Internet Services &amp; Software;Monitors/Terminals;Operating Systems;Computer Consulting Services;Applications Software(Business</v>
      </c>
      <c r="AB311" s="6" t="str">
        <v>Computer Consulting Services;Applications Software(Business;Operating Systems;Other Peripherals;Monitors/Terminals;Internet Services &amp; Software</v>
      </c>
    </row>
    <row r="312">
      <c r="A312" s="6" t="str">
        <v>594918</v>
      </c>
      <c r="B312" s="6" t="str">
        <v>United States</v>
      </c>
      <c r="C312" s="6" t="str">
        <v>Microsoft Corp</v>
      </c>
      <c r="D312" s="6" t="str">
        <v>Microsoft Corp</v>
      </c>
      <c r="F312" s="6" t="str">
        <v>United States</v>
      </c>
      <c r="G312" s="6" t="str">
        <v>Onfolio Inc</v>
      </c>
      <c r="H312" s="6" t="str">
        <v>Prepackaged Software</v>
      </c>
      <c r="I312" s="6" t="str">
        <v>68298X</v>
      </c>
      <c r="J312" s="6" t="str">
        <v>Onfolio Inc</v>
      </c>
      <c r="K312" s="6" t="str">
        <v>Onfolio Inc</v>
      </c>
      <c r="L312" s="7">
        <f>=DATE(2006,3,7)</f>
        <v>38782.99949074074</v>
      </c>
      <c r="M312" s="7">
        <f>=DATE(2006,3,7)</f>
        <v>38782.99949074074</v>
      </c>
      <c r="W312" s="6" t="str">
        <v>Other Peripherals;Applications Software(Business;Internet Services &amp; Software;Operating Systems;Monitors/Terminals;Computer Consulting Services</v>
      </c>
      <c r="X312" s="6" t="str">
        <v>Communication/Network Software;Internet Services &amp; Software</v>
      </c>
      <c r="Y312" s="6" t="str">
        <v>Communication/Network Software;Internet Services &amp; Software</v>
      </c>
      <c r="Z312" s="6" t="str">
        <v>Communication/Network Software;Internet Services &amp; Software</v>
      </c>
      <c r="AA312" s="6" t="str">
        <v>Applications Software(Business;Operating Systems;Other Peripherals;Monitors/Terminals;Internet Services &amp; Software;Computer Consulting Services</v>
      </c>
      <c r="AB312" s="6" t="str">
        <v>Monitors/Terminals;Operating Systems;Applications Software(Business;Internet Services &amp; Software;Computer Consulting Services;Other Peripherals</v>
      </c>
    </row>
    <row r="313">
      <c r="A313" s="6" t="str">
        <v>38259P</v>
      </c>
      <c r="B313" s="6" t="str">
        <v>United States</v>
      </c>
      <c r="C313" s="6" t="str">
        <v>Google Inc</v>
      </c>
      <c r="D313" s="6" t="str">
        <v>Alphabet Inc</v>
      </c>
      <c r="F313" s="6" t="str">
        <v>United States</v>
      </c>
      <c r="G313" s="6" t="str">
        <v>Upstartle LLC</v>
      </c>
      <c r="H313" s="6" t="str">
        <v>Prepackaged Software</v>
      </c>
      <c r="I313" s="6" t="str">
        <v>91678J</v>
      </c>
      <c r="J313" s="6" t="str">
        <v>Upstartle LLC</v>
      </c>
      <c r="K313" s="6" t="str">
        <v>Upstartle LLC</v>
      </c>
      <c r="L313" s="7">
        <f>=DATE(2006,3,9)</f>
        <v>38784.99949074074</v>
      </c>
      <c r="M313" s="7">
        <f>=DATE(2006,3,9)</f>
        <v>38784.99949074074</v>
      </c>
      <c r="W313" s="6" t="str">
        <v>Internet Services &amp; Software;Programming Services</v>
      </c>
      <c r="X313" s="6" t="str">
        <v>Internet Services &amp; Software;Communication/Network Software</v>
      </c>
      <c r="Y313" s="6" t="str">
        <v>Communication/Network Software;Internet Services &amp; Software</v>
      </c>
      <c r="Z313" s="6" t="str">
        <v>Internet Services &amp; Software;Communication/Network Software</v>
      </c>
      <c r="AA313" s="6" t="str">
        <v>Internet Services &amp; Software;Computer Consulting Services;Programming Services;Primary Business not Hi-Tech;Telecommunications Equipment</v>
      </c>
      <c r="AB313" s="6" t="str">
        <v>Telecommunications Equipment;Internet Services &amp; Software;Primary Business not Hi-Tech;Programming Services;Computer Consulting Services</v>
      </c>
    </row>
    <row r="314">
      <c r="A314" s="6" t="str">
        <v>38259P</v>
      </c>
      <c r="B314" s="6" t="str">
        <v>United States</v>
      </c>
      <c r="C314" s="6" t="str">
        <v>Google Inc</v>
      </c>
      <c r="D314" s="6" t="str">
        <v>Alphabet Inc</v>
      </c>
      <c r="F314" s="6" t="str">
        <v>United States</v>
      </c>
      <c r="G314" s="6" t="str">
        <v>@Last Software</v>
      </c>
      <c r="H314" s="6" t="str">
        <v>Prepackaged Software</v>
      </c>
      <c r="I314" s="6" t="str">
        <v>04676W</v>
      </c>
      <c r="J314" s="6" t="str">
        <v>@Last Software</v>
      </c>
      <c r="K314" s="6" t="str">
        <v>@Last Software</v>
      </c>
      <c r="L314" s="7">
        <f>=DATE(2006,3,15)</f>
        <v>38790.99949074074</v>
      </c>
      <c r="M314" s="7">
        <f>=DATE(2006,3,15)</f>
        <v>38790.99949074074</v>
      </c>
      <c r="W314" s="6" t="str">
        <v>Internet Services &amp; Software;Programming Services</v>
      </c>
      <c r="X314" s="6" t="str">
        <v>Other Software (inq. Games)</v>
      </c>
      <c r="Y314" s="6" t="str">
        <v>Other Software (inq. Games)</v>
      </c>
      <c r="Z314" s="6" t="str">
        <v>Other Software (inq. Games)</v>
      </c>
      <c r="AA314" s="6" t="str">
        <v>Primary Business not Hi-Tech;Programming Services;Computer Consulting Services;Telecommunications Equipment;Internet Services &amp; Software</v>
      </c>
      <c r="AB314" s="6" t="str">
        <v>Primary Business not Hi-Tech;Internet Services &amp; Software;Computer Consulting Services;Programming Services;Telecommunications Equipment</v>
      </c>
    </row>
    <row r="315">
      <c r="A315" s="6" t="str">
        <v>594918</v>
      </c>
      <c r="B315" s="6" t="str">
        <v>United States</v>
      </c>
      <c r="C315" s="6" t="str">
        <v>Microsoft Corp</v>
      </c>
      <c r="D315" s="6" t="str">
        <v>Microsoft Corp</v>
      </c>
      <c r="F315" s="6" t="str">
        <v>United States</v>
      </c>
      <c r="G315" s="6" t="str">
        <v>Vexcel Corp</v>
      </c>
      <c r="H315" s="6" t="str">
        <v>Prepackaged Software</v>
      </c>
      <c r="I315" s="6" t="str">
        <v>92198Q</v>
      </c>
      <c r="J315" s="6" t="str">
        <v>Vexcel Corp</v>
      </c>
      <c r="K315" s="6" t="str">
        <v>Vexcel Corp</v>
      </c>
      <c r="L315" s="7">
        <f>=DATE(2006,3,20)</f>
        <v>38795.99949074074</v>
      </c>
      <c r="M315" s="7">
        <f>=DATE(2006,5,4)</f>
        <v>38840.99949074074</v>
      </c>
      <c r="W315" s="6" t="str">
        <v>Other Peripherals;Applications Software(Business;Monitors/Terminals;Operating Systems;Internet Services &amp; Software;Computer Consulting Services</v>
      </c>
      <c r="X315" s="6" t="str">
        <v>Other Software (inq. Games)</v>
      </c>
      <c r="Y315" s="6" t="str">
        <v>Other Software (inq. Games)</v>
      </c>
      <c r="Z315" s="6" t="str">
        <v>Other Software (inq. Games)</v>
      </c>
      <c r="AA315" s="6" t="str">
        <v>Monitors/Terminals;Internet Services &amp; Software;Computer Consulting Services;Applications Software(Business;Operating Systems;Other Peripherals</v>
      </c>
      <c r="AB315" s="6" t="str">
        <v>Applications Software(Business;Internet Services &amp; Software;Operating Systems;Computer Consulting Services;Other Peripherals;Monitors/Terminals</v>
      </c>
    </row>
    <row r="316">
      <c r="A316" s="6" t="str">
        <v>594918</v>
      </c>
      <c r="B316" s="6" t="str">
        <v>United States</v>
      </c>
      <c r="C316" s="6" t="str">
        <v>Microsoft Corp</v>
      </c>
      <c r="D316" s="6" t="str">
        <v>Microsoft Corp</v>
      </c>
      <c r="F316" s="6" t="str">
        <v>United States</v>
      </c>
      <c r="G316" s="6" t="str">
        <v>ProClarity Corp</v>
      </c>
      <c r="H316" s="6" t="str">
        <v>Prepackaged Software</v>
      </c>
      <c r="I316" s="6" t="str">
        <v>74508T</v>
      </c>
      <c r="J316" s="6" t="str">
        <v>ProClarity Corp</v>
      </c>
      <c r="K316" s="6" t="str">
        <v>ProClarity Corp</v>
      </c>
      <c r="L316" s="7">
        <f>=DATE(2006,4,3)</f>
        <v>38809.99949074074</v>
      </c>
      <c r="M316" s="7">
        <f>=DATE(2006,6,6)</f>
        <v>38873.99949074074</v>
      </c>
      <c r="W316" s="6" t="str">
        <v>Monitors/Terminals;Computer Consulting Services;Other Peripherals;Internet Services &amp; Software;Operating Systems;Applications Software(Business</v>
      </c>
      <c r="X316" s="6" t="str">
        <v>Other Software (inq. Games)</v>
      </c>
      <c r="Y316" s="6" t="str">
        <v>Other Software (inq. Games)</v>
      </c>
      <c r="Z316" s="6" t="str">
        <v>Other Software (inq. Games)</v>
      </c>
      <c r="AA316" s="6" t="str">
        <v>Operating Systems;Internet Services &amp; Software;Computer Consulting Services;Monitors/Terminals;Applications Software(Business;Other Peripherals</v>
      </c>
      <c r="AB316" s="6" t="str">
        <v>Operating Systems;Other Peripherals;Applications Software(Business;Computer Consulting Services;Monitors/Terminals;Internet Services &amp; Software</v>
      </c>
    </row>
    <row r="317">
      <c r="A317" s="6" t="str">
        <v>59476P</v>
      </c>
      <c r="B317" s="6" t="str">
        <v>United States</v>
      </c>
      <c r="C317" s="6" t="str">
        <v>Microsoft Game Studios</v>
      </c>
      <c r="D317" s="6" t="str">
        <v>Microsoft Corp</v>
      </c>
      <c r="F317" s="6" t="str">
        <v>United Kingdom</v>
      </c>
      <c r="G317" s="6" t="str">
        <v>Lionhead Studios</v>
      </c>
      <c r="H317" s="6" t="str">
        <v>Prepackaged Software</v>
      </c>
      <c r="I317" s="6" t="str">
        <v>53641Y</v>
      </c>
      <c r="J317" s="6" t="str">
        <v>Lionhead Studios</v>
      </c>
      <c r="K317" s="6" t="str">
        <v>Lionhead Studios</v>
      </c>
      <c r="L317" s="7">
        <f>=DATE(2006,4,6)</f>
        <v>38812.99949074074</v>
      </c>
      <c r="M317" s="7">
        <f>=DATE(2006,4,6)</f>
        <v>38812.99949074074</v>
      </c>
      <c r="W317" s="6" t="str">
        <v>Utilities/File Mgmt Software;Internet Services &amp; Software;Desktop Publishing;Communication/Network Software;Applications Software(Home);Applications Software(Business;Other Software (inq. Games)</v>
      </c>
      <c r="X317" s="6" t="str">
        <v>Other Software (inq. Games)</v>
      </c>
      <c r="Y317" s="6" t="str">
        <v>Other Software (inq. Games)</v>
      </c>
      <c r="Z317" s="6" t="str">
        <v>Other Software (inq. Games)</v>
      </c>
      <c r="AA317" s="6" t="str">
        <v>Applications Software(Business;Computer Consulting Services;Operating Systems;Monitors/Terminals;Internet Services &amp; Software;Other Peripherals</v>
      </c>
      <c r="AB317" s="6" t="str">
        <v>Monitors/Terminals;Computer Consulting Services;Other Peripherals;Internet Services &amp; Software;Applications Software(Business;Operating Systems</v>
      </c>
    </row>
    <row r="318">
      <c r="A318" s="6" t="str">
        <v>594918</v>
      </c>
      <c r="B318" s="6" t="str">
        <v>United States</v>
      </c>
      <c r="C318" s="6" t="str">
        <v>Microsoft Corp</v>
      </c>
      <c r="D318" s="6" t="str">
        <v>Microsoft Corp</v>
      </c>
      <c r="F318" s="6" t="str">
        <v>Canada</v>
      </c>
      <c r="G318" s="6" t="str">
        <v>AssetMetrix Corp</v>
      </c>
      <c r="H318" s="6" t="str">
        <v>Prepackaged Software</v>
      </c>
      <c r="I318" s="6" t="str">
        <v>04606E</v>
      </c>
      <c r="J318" s="6" t="str">
        <v>AssetMetrix Corp</v>
      </c>
      <c r="K318" s="6" t="str">
        <v>AssetMetrix Corp</v>
      </c>
      <c r="L318" s="7">
        <f>=DATE(2006,4,26)</f>
        <v>38832.99949074074</v>
      </c>
      <c r="M318" s="7">
        <f>=DATE(2006,4,26)</f>
        <v>38832.99949074074</v>
      </c>
      <c r="W318" s="6" t="str">
        <v>Applications Software(Business;Operating Systems;Other Peripherals;Internet Services &amp; Software;Computer Consulting Services;Monitors/Terminals</v>
      </c>
      <c r="X318" s="6" t="str">
        <v>Other Software (inq. Games)</v>
      </c>
      <c r="Y318" s="6" t="str">
        <v>Other Software (inq. Games)</v>
      </c>
      <c r="Z318" s="6" t="str">
        <v>Other Software (inq. Games)</v>
      </c>
      <c r="AA318" s="6" t="str">
        <v>Monitors/Terminals;Computer Consulting Services;Operating Systems;Internet Services &amp; Software;Applications Software(Business;Other Peripherals</v>
      </c>
      <c r="AB318" s="6" t="str">
        <v>Operating Systems;Internet Services &amp; Software;Applications Software(Business;Other Peripherals;Monitors/Terminals;Computer Consulting Services</v>
      </c>
    </row>
    <row r="319">
      <c r="A319" s="6" t="str">
        <v>594918</v>
      </c>
      <c r="B319" s="6" t="str">
        <v>United States</v>
      </c>
      <c r="C319" s="6" t="str">
        <v>Microsoft Corp</v>
      </c>
      <c r="D319" s="6" t="str">
        <v>Microsoft Corp</v>
      </c>
      <c r="F319" s="6" t="str">
        <v>United States</v>
      </c>
      <c r="G319" s="6" t="str">
        <v>Massive Inc</v>
      </c>
      <c r="H319" s="6" t="str">
        <v>Advertising Services</v>
      </c>
      <c r="I319" s="6" t="str">
        <v>57625C</v>
      </c>
      <c r="J319" s="6" t="str">
        <v>Massive Inc</v>
      </c>
      <c r="K319" s="6" t="str">
        <v>Massive Inc</v>
      </c>
      <c r="L319" s="7">
        <f>=DATE(2006,4,26)</f>
        <v>38832.99949074074</v>
      </c>
      <c r="M319" s="7">
        <f>=DATE(2006,5,4)</f>
        <v>38840.99949074074</v>
      </c>
      <c r="W319" s="6" t="str">
        <v>Monitors/Terminals;Internet Services &amp; Software;Other Peripherals;Operating Systems;Applications Software(Business;Computer Consulting Services</v>
      </c>
      <c r="X319" s="6" t="str">
        <v>Internet Services &amp; Software</v>
      </c>
      <c r="Y319" s="6" t="str">
        <v>Internet Services &amp; Software</v>
      </c>
      <c r="Z319" s="6" t="str">
        <v>Internet Services &amp; Software</v>
      </c>
      <c r="AA319" s="6" t="str">
        <v>Computer Consulting Services;Other Peripherals;Applications Software(Business;Operating Systems;Monitors/Terminals;Internet Services &amp; Software</v>
      </c>
      <c r="AB319" s="6" t="str">
        <v>Operating Systems;Computer Consulting Services;Internet Services &amp; Software;Applications Software(Business;Other Peripherals;Monitors/Terminals</v>
      </c>
    </row>
    <row r="320">
      <c r="A320" s="6" t="str">
        <v>594918</v>
      </c>
      <c r="B320" s="6" t="str">
        <v>United States</v>
      </c>
      <c r="C320" s="6" t="str">
        <v>Microsoft Corp</v>
      </c>
      <c r="D320" s="6" t="str">
        <v>Microsoft Corp</v>
      </c>
      <c r="F320" s="6" t="str">
        <v>Canada</v>
      </c>
      <c r="G320" s="6" t="str">
        <v>DeepMetrix Corp</v>
      </c>
      <c r="H320" s="6" t="str">
        <v>Prepackaged Software</v>
      </c>
      <c r="I320" s="6" t="str">
        <v>24381X</v>
      </c>
      <c r="J320" s="6" t="str">
        <v>DeepMetrix Corp</v>
      </c>
      <c r="K320" s="6" t="str">
        <v>DeepMetrix Corp</v>
      </c>
      <c r="L320" s="7">
        <f>=DATE(2006,5,15)</f>
        <v>38851.99949074074</v>
      </c>
      <c r="M320" s="7">
        <f>=DATE(2006,5,15)</f>
        <v>38851.99949074074</v>
      </c>
      <c r="W320" s="6" t="str">
        <v>Operating Systems;Other Peripherals;Internet Services &amp; Software;Monitors/Terminals;Computer Consulting Services;Applications Software(Business</v>
      </c>
      <c r="X320" s="6" t="str">
        <v>Other Software (inq. Games)</v>
      </c>
      <c r="Y320" s="6" t="str">
        <v>Other Software (inq. Games)</v>
      </c>
      <c r="Z320" s="6" t="str">
        <v>Other Software (inq. Games)</v>
      </c>
      <c r="AA320" s="6" t="str">
        <v>Computer Consulting Services;Internet Services &amp; Software;Applications Software(Business;Monitors/Terminals;Operating Systems;Other Peripherals</v>
      </c>
      <c r="AB320" s="6" t="str">
        <v>Applications Software(Business;Computer Consulting Services;Internet Services &amp; Software;Operating Systems;Other Peripherals;Monitors/Terminals</v>
      </c>
    </row>
    <row r="321">
      <c r="A321" s="6" t="str">
        <v>03839G</v>
      </c>
      <c r="B321" s="6" t="str">
        <v>United States</v>
      </c>
      <c r="C321" s="6" t="str">
        <v>aQuantive Inc</v>
      </c>
      <c r="D321" s="6" t="str">
        <v>aQuantive Inc</v>
      </c>
      <c r="F321" s="6" t="str">
        <v>United States</v>
      </c>
      <c r="G321" s="6" t="str">
        <v>Franchise Gator LLC</v>
      </c>
      <c r="H321" s="6" t="str">
        <v>Business Services</v>
      </c>
      <c r="I321" s="6" t="str">
        <v>35196H</v>
      </c>
      <c r="J321" s="6" t="str">
        <v>Franchise Gator LLC</v>
      </c>
      <c r="K321" s="6" t="str">
        <v>Franchise Gator LLC</v>
      </c>
      <c r="L321" s="7">
        <f>=DATE(2006,5,17)</f>
        <v>38853.99949074074</v>
      </c>
      <c r="M321" s="7">
        <f>=DATE(2006,5,17)</f>
        <v>38853.99949074074</v>
      </c>
      <c r="N321" s="8">
        <v>21.5</v>
      </c>
      <c r="O321" s="8">
        <v>21.5</v>
      </c>
      <c r="W321" s="6" t="str">
        <v>Internet Services &amp; Software</v>
      </c>
      <c r="X321" s="6" t="str">
        <v>Communication/Network Software;Internet Services &amp; Software</v>
      </c>
      <c r="Y321" s="6" t="str">
        <v>Communication/Network Software;Internet Services &amp; Software</v>
      </c>
      <c r="Z321" s="6" t="str">
        <v>Communication/Network Software;Internet Services &amp; Software</v>
      </c>
      <c r="AA321" s="6" t="str">
        <v>Internet Services &amp; Software</v>
      </c>
      <c r="AB321" s="6" t="str">
        <v>Internet Services &amp; Software</v>
      </c>
      <c r="AC321" s="8">
        <v>21.5</v>
      </c>
      <c r="AD321" s="7">
        <f>=DATE(2006,5,17)</f>
        <v>38853.99949074074</v>
      </c>
      <c r="AL321" s="8">
        <v>21.5</v>
      </c>
    </row>
    <row r="322">
      <c r="A322" s="6" t="str">
        <v>594918</v>
      </c>
      <c r="B322" s="6" t="str">
        <v>United States</v>
      </c>
      <c r="C322" s="6" t="str">
        <v>Microsoft Corp</v>
      </c>
      <c r="D322" s="6" t="str">
        <v>Microsoft Corp</v>
      </c>
      <c r="F322" s="6" t="str">
        <v>United States</v>
      </c>
      <c r="G322" s="6" t="str">
        <v>Whale Communications Ltd</v>
      </c>
      <c r="H322" s="6" t="str">
        <v>Business Services</v>
      </c>
      <c r="I322" s="6" t="str">
        <v>96222J</v>
      </c>
      <c r="J322" s="6" t="str">
        <v>Whale Communications Ltd</v>
      </c>
      <c r="K322" s="6" t="str">
        <v>Whale Communications Ltd</v>
      </c>
      <c r="L322" s="7">
        <f>=DATE(2006,5,18)</f>
        <v>38854.99949074074</v>
      </c>
      <c r="M322" s="7">
        <f>=DATE(2006,7,26)</f>
        <v>38923.99949074074</v>
      </c>
      <c r="W322" s="6" t="str">
        <v>Operating Systems;Internet Services &amp; Software;Computer Consulting Services;Monitors/Terminals;Applications Software(Business;Other Peripherals</v>
      </c>
      <c r="X322" s="6" t="str">
        <v>Programming Services;Other Computer Related Svcs;Computer Consulting Services</v>
      </c>
      <c r="Y322" s="6" t="str">
        <v>Computer Consulting Services;Programming Services;Other Computer Related Svcs</v>
      </c>
      <c r="Z322" s="6" t="str">
        <v>Programming Services;Computer Consulting Services;Other Computer Related Svcs</v>
      </c>
      <c r="AA322" s="6" t="str">
        <v>Monitors/Terminals;Computer Consulting Services;Internet Services &amp; Software;Applications Software(Business;Other Peripherals;Operating Systems</v>
      </c>
      <c r="AB322" s="6" t="str">
        <v>Computer Consulting Services;Internet Services &amp; Software;Applications Software(Business;Other Peripherals;Monitors/Terminals;Operating Systems</v>
      </c>
    </row>
    <row r="323">
      <c r="A323" s="6" t="str">
        <v>594918</v>
      </c>
      <c r="B323" s="6" t="str">
        <v>United States</v>
      </c>
      <c r="C323" s="6" t="str">
        <v>Microsoft Corp</v>
      </c>
      <c r="D323" s="6" t="str">
        <v>Microsoft Corp</v>
      </c>
      <c r="F323" s="6" t="str">
        <v>United States</v>
      </c>
      <c r="G323" s="6" t="str">
        <v>Softricity Inc</v>
      </c>
      <c r="H323" s="6" t="str">
        <v>Prepackaged Software</v>
      </c>
      <c r="I323" s="6" t="str">
        <v>83527A</v>
      </c>
      <c r="J323" s="6" t="str">
        <v>Softricity Inc</v>
      </c>
      <c r="K323" s="6" t="str">
        <v>Softricity Inc</v>
      </c>
      <c r="L323" s="7">
        <f>=DATE(2006,5,22)</f>
        <v>38858.99949074074</v>
      </c>
      <c r="M323" s="7">
        <f>=DATE(2006,7,17)</f>
        <v>38914.99949074074</v>
      </c>
      <c r="W323" s="6" t="str">
        <v>Internet Services &amp; Software;Operating Systems;Applications Software(Business;Monitors/Terminals;Other Peripherals;Computer Consulting Services</v>
      </c>
      <c r="X323" s="6" t="str">
        <v>Applications Software(Business;Other Software (inq. Games)</v>
      </c>
      <c r="Y323" s="6" t="str">
        <v>Other Software (inq. Games);Applications Software(Business</v>
      </c>
      <c r="Z323" s="6" t="str">
        <v>Other Software (inq. Games);Applications Software(Business</v>
      </c>
      <c r="AA323" s="6" t="str">
        <v>Computer Consulting Services;Monitors/Terminals;Applications Software(Business;Other Peripherals;Internet Services &amp; Software;Operating Systems</v>
      </c>
      <c r="AB323" s="6" t="str">
        <v>Applications Software(Business;Monitors/Terminals;Computer Consulting Services;Internet Services &amp; Software;Other Peripherals;Operating Systems</v>
      </c>
    </row>
    <row r="324">
      <c r="A324" s="6" t="str">
        <v>594918</v>
      </c>
      <c r="B324" s="6" t="str">
        <v>United States</v>
      </c>
      <c r="C324" s="6" t="str">
        <v>Microsoft Corp</v>
      </c>
      <c r="D324" s="6" t="str">
        <v>Microsoft Corp</v>
      </c>
      <c r="F324" s="6" t="str">
        <v>United Kingdom</v>
      </c>
      <c r="G324" s="6" t="str">
        <v>iView Multimedia Ltd</v>
      </c>
      <c r="H324" s="6" t="str">
        <v>Business Services</v>
      </c>
      <c r="I324" s="6" t="str">
        <v>44793H</v>
      </c>
      <c r="J324" s="6" t="str">
        <v>iView Multimedia Ltd</v>
      </c>
      <c r="K324" s="6" t="str">
        <v>iView Multimedia Ltd</v>
      </c>
      <c r="L324" s="7">
        <f>=DATE(2006,6,27)</f>
        <v>38894.99949074074</v>
      </c>
      <c r="M324" s="7">
        <f>=DATE(2006,6,27)</f>
        <v>38894.99949074074</v>
      </c>
      <c r="W324" s="6" t="str">
        <v>Applications Software(Business;Other Peripherals;Computer Consulting Services;Operating Systems;Internet Services &amp; Software;Monitors/Terminals</v>
      </c>
      <c r="X324" s="6" t="str">
        <v>Internet Services &amp; Software;Other Computer Related Svcs</v>
      </c>
      <c r="Y324" s="6" t="str">
        <v>Other Computer Related Svcs;Internet Services &amp; Software</v>
      </c>
      <c r="Z324" s="6" t="str">
        <v>Internet Services &amp; Software;Other Computer Related Svcs</v>
      </c>
      <c r="AA324" s="6" t="str">
        <v>Applications Software(Business;Operating Systems;Monitors/Terminals;Computer Consulting Services;Internet Services &amp; Software;Other Peripherals</v>
      </c>
      <c r="AB324" s="6" t="str">
        <v>Applications Software(Business;Computer Consulting Services;Monitors/Terminals;Internet Services &amp; Software;Operating Systems;Other Peripherals</v>
      </c>
    </row>
    <row r="325">
      <c r="A325" s="6" t="str">
        <v>594918</v>
      </c>
      <c r="B325" s="6" t="str">
        <v>United States</v>
      </c>
      <c r="C325" s="6" t="str">
        <v>Microsoft Corp</v>
      </c>
      <c r="D325" s="6" t="str">
        <v>Microsoft Corp</v>
      </c>
      <c r="F325" s="6" t="str">
        <v>United States</v>
      </c>
      <c r="G325" s="6" t="str">
        <v>Winternals Software LP</v>
      </c>
      <c r="H325" s="6" t="str">
        <v>Prepackaged Software</v>
      </c>
      <c r="I325" s="6" t="str">
        <v>97630C</v>
      </c>
      <c r="J325" s="6" t="str">
        <v>Winternals Software LP</v>
      </c>
      <c r="K325" s="6" t="str">
        <v>Winternals Software LP</v>
      </c>
      <c r="L325" s="7">
        <f>=DATE(2006,7,18)</f>
        <v>38915.99949074074</v>
      </c>
      <c r="M325" s="7">
        <f>=DATE(2006,7,18)</f>
        <v>38915.99949074074</v>
      </c>
      <c r="W325" s="6" t="str">
        <v>Other Peripherals;Applications Software(Business;Monitors/Terminals;Computer Consulting Services;Internet Services &amp; Software;Operating Systems</v>
      </c>
      <c r="X325" s="6" t="str">
        <v>Other Software (inq. Games)</v>
      </c>
      <c r="Y325" s="6" t="str">
        <v>Other Software (inq. Games)</v>
      </c>
      <c r="Z325" s="6" t="str">
        <v>Other Software (inq. Games)</v>
      </c>
      <c r="AA325" s="6" t="str">
        <v>Computer Consulting Services;Internet Services &amp; Software;Operating Systems;Monitors/Terminals;Applications Software(Business;Other Peripherals</v>
      </c>
      <c r="AB325" s="6" t="str">
        <v>Monitors/Terminals;Applications Software(Business;Internet Services &amp; Software;Computer Consulting Services;Operating Systems;Other Peripherals</v>
      </c>
    </row>
    <row r="326">
      <c r="A326" s="6" t="str">
        <v>594918</v>
      </c>
      <c r="B326" s="6" t="str">
        <v>United States</v>
      </c>
      <c r="C326" s="6" t="str">
        <v>Microsoft Corp</v>
      </c>
      <c r="D326" s="6" t="str">
        <v>Microsoft Corp</v>
      </c>
      <c r="E326" s="6" t="str">
        <v>Microsoft Corp</v>
      </c>
      <c r="F326" s="6" t="str">
        <v>United States</v>
      </c>
      <c r="G326" s="6" t="str">
        <v>Microsoft Corp</v>
      </c>
      <c r="H326" s="6" t="str">
        <v>Prepackaged Software</v>
      </c>
      <c r="I326" s="6" t="str">
        <v>594918</v>
      </c>
      <c r="J326" s="6" t="str">
        <v>Microsoft Corp</v>
      </c>
      <c r="K326" s="6" t="str">
        <v>Microsoft Corp</v>
      </c>
      <c r="L326" s="7">
        <f>=DATE(2006,7,20)</f>
        <v>38917.99949074074</v>
      </c>
      <c r="M326" s="7">
        <f>=DATE(2006,8,24)</f>
        <v>38952.99949074074</v>
      </c>
      <c r="N326" s="8">
        <v>3.824</v>
      </c>
      <c r="O326" s="8">
        <v>3.824</v>
      </c>
      <c r="P326" s="8" t="str">
        <v>214,873.50</v>
      </c>
      <c r="Q326" s="8" t="str">
        <v>36,200.00</v>
      </c>
      <c r="R326" s="8">
        <v>12599</v>
      </c>
      <c r="S326" s="8">
        <v>44282</v>
      </c>
      <c r="T326" s="8">
        <v>-20562</v>
      </c>
      <c r="U326" s="8">
        <v>8003</v>
      </c>
      <c r="V326" s="8">
        <v>14404</v>
      </c>
      <c r="W326" s="6" t="str">
        <v>Internet Services &amp; Software;Operating Systems;Computer Consulting Services;Other Peripherals;Monitors/Terminals;Applications Software(Business</v>
      </c>
      <c r="X326" s="6" t="str">
        <v>Monitors/Terminals;Applications Software(Business;Operating Systems;Computer Consulting Services;Other Peripherals;Internet Services &amp; Software</v>
      </c>
      <c r="Y326" s="6" t="str">
        <v>Applications Software(Business;Internet Services &amp; Software;Computer Consulting Services;Operating Systems;Monitors/Terminals;Other Peripherals</v>
      </c>
      <c r="Z326" s="6" t="str">
        <v>Computer Consulting Services;Other Peripherals;Monitors/Terminals;Operating Systems;Applications Software(Business;Internet Services &amp; Software</v>
      </c>
      <c r="AA326" s="6" t="str">
        <v>Operating Systems;Computer Consulting Services;Monitors/Terminals;Applications Software(Business;Internet Services &amp; Software;Other Peripherals</v>
      </c>
      <c r="AB326" s="6" t="str">
        <v>Other Peripherals;Internet Services &amp; Software;Computer Consulting Services;Monitors/Terminals;Applications Software(Business;Operating Systems</v>
      </c>
      <c r="AC326" s="8">
        <v>3.824</v>
      </c>
      <c r="AD326" s="7">
        <f>=DATE(2006,7,20)</f>
        <v>38917.99949074074</v>
      </c>
      <c r="AE326" s="8">
        <v>252479.77120575</v>
      </c>
      <c r="AF326" s="8" t="str">
        <v>218,318.77</v>
      </c>
      <c r="AG326" s="8" t="str">
        <v>214,873.50</v>
      </c>
      <c r="AH326" s="8" t="str">
        <v>249,034.50</v>
      </c>
      <c r="AI326" s="8" t="str">
        <v>252,479.77</v>
      </c>
      <c r="AK326" s="6" t="str">
        <v>US Dollar</v>
      </c>
      <c r="AL326" s="8">
        <v>3.824</v>
      </c>
    </row>
    <row r="327">
      <c r="A327" s="6" t="str">
        <v>594918</v>
      </c>
      <c r="B327" s="6" t="str">
        <v>United States</v>
      </c>
      <c r="C327" s="6" t="str">
        <v>Microsoft Corp</v>
      </c>
      <c r="D327" s="6" t="str">
        <v>Microsoft Corp</v>
      </c>
      <c r="E327" s="6" t="str">
        <v>Microsoft Corp</v>
      </c>
      <c r="F327" s="6" t="str">
        <v>United States</v>
      </c>
      <c r="G327" s="6" t="str">
        <v>Microsoft Corp</v>
      </c>
      <c r="H327" s="6" t="str">
        <v>Prepackaged Software</v>
      </c>
      <c r="I327" s="6" t="str">
        <v>594918</v>
      </c>
      <c r="J327" s="6" t="str">
        <v>Microsoft Corp</v>
      </c>
      <c r="K327" s="6" t="str">
        <v>Microsoft Corp</v>
      </c>
      <c r="L327" s="7">
        <f>=DATE(2006,7,20)</f>
        <v>38917.99949074074</v>
      </c>
      <c r="M327" s="7">
        <f>=DATE(2008,9,22)</f>
        <v>39712.99949074074</v>
      </c>
      <c r="N327" s="8">
        <v>36200</v>
      </c>
      <c r="O327" s="8">
        <v>36200</v>
      </c>
      <c r="Q327" s="8" t="str">
        <v>3.82</v>
      </c>
      <c r="R327" s="8">
        <v>12599</v>
      </c>
      <c r="S327" s="8">
        <v>44282</v>
      </c>
      <c r="T327" s="8">
        <v>-20562</v>
      </c>
      <c r="U327" s="8">
        <v>8003</v>
      </c>
      <c r="V327" s="8">
        <v>14404</v>
      </c>
      <c r="W327" s="6" t="str">
        <v>Internet Services &amp; Software;Applications Software(Business;Other Peripherals;Computer Consulting Services;Operating Systems;Monitors/Terminals</v>
      </c>
      <c r="X327" s="6" t="str">
        <v>Internet Services &amp; Software;Monitors/Terminals;Other Peripherals;Computer Consulting Services;Operating Systems;Applications Software(Business</v>
      </c>
      <c r="Y327" s="6" t="str">
        <v>Other Peripherals;Monitors/Terminals;Operating Systems;Internet Services &amp; Software;Applications Software(Business;Computer Consulting Services</v>
      </c>
      <c r="Z327" s="6" t="str">
        <v>Applications Software(Business;Operating Systems;Other Peripherals;Internet Services &amp; Software;Computer Consulting Services;Monitors/Terminals</v>
      </c>
      <c r="AA327" s="6" t="str">
        <v>Operating Systems;Monitors/Terminals;Internet Services &amp; Software;Computer Consulting Services;Other Peripherals;Applications Software(Business</v>
      </c>
      <c r="AB327" s="6" t="str">
        <v>Other Peripherals;Operating Systems;Internet Services &amp; Software;Computer Consulting Services;Applications Software(Business;Monitors/Terminals</v>
      </c>
      <c r="AC327" s="8">
        <v>36200</v>
      </c>
      <c r="AD327" s="7">
        <f>=DATE(2006,8,18)</f>
        <v>38946.99949074074</v>
      </c>
      <c r="AL327" s="8">
        <v>36200</v>
      </c>
    </row>
    <row r="328">
      <c r="A328" s="6" t="str">
        <v>594918</v>
      </c>
      <c r="B328" s="6" t="str">
        <v>United States</v>
      </c>
      <c r="C328" s="6" t="str">
        <v>Microsoft Corp</v>
      </c>
      <c r="D328" s="6" t="str">
        <v>Microsoft Corp</v>
      </c>
      <c r="F328" s="6" t="str">
        <v>United States</v>
      </c>
      <c r="G328" s="6" t="str">
        <v>Azyxxi Software</v>
      </c>
      <c r="H328" s="6" t="str">
        <v>Business Services</v>
      </c>
      <c r="I328" s="6" t="str">
        <v>01148Z</v>
      </c>
      <c r="J328" s="6" t="str">
        <v>Azyxxi Software</v>
      </c>
      <c r="K328" s="6" t="str">
        <v>Azyxxi Software</v>
      </c>
      <c r="L328" s="7">
        <f>=DATE(2006,7,26)</f>
        <v>38923.99949074074</v>
      </c>
      <c r="W328" s="6" t="str">
        <v>Internet Services &amp; Software;Other Peripherals;Monitors/Terminals;Computer Consulting Services;Applications Software(Business;Operating Systems</v>
      </c>
      <c r="X328" s="6" t="str">
        <v>Programming Services;Computer Consulting Services;Other Computer Related Svcs</v>
      </c>
      <c r="Y328" s="6" t="str">
        <v>Programming Services;Computer Consulting Services;Other Computer Related Svcs</v>
      </c>
      <c r="Z328" s="6" t="str">
        <v>Computer Consulting Services;Other Computer Related Svcs;Programming Services</v>
      </c>
      <c r="AA328" s="6" t="str">
        <v>Operating Systems;Applications Software(Business;Monitors/Terminals;Other Peripherals;Computer Consulting Services;Internet Services &amp; Software</v>
      </c>
      <c r="AB328" s="6" t="str">
        <v>Other Peripherals;Computer Consulting Services;Internet Services &amp; Software;Applications Software(Business;Operating Systems;Monitors/Terminals</v>
      </c>
    </row>
    <row r="329">
      <c r="A329" s="6" t="str">
        <v>38259P</v>
      </c>
      <c r="B329" s="6" t="str">
        <v>United States</v>
      </c>
      <c r="C329" s="6" t="str">
        <v>Google Inc</v>
      </c>
      <c r="D329" s="6" t="str">
        <v>Alphabet Inc</v>
      </c>
      <c r="F329" s="6" t="str">
        <v>United States</v>
      </c>
      <c r="G329" s="6" t="str">
        <v>Neven Vision Inc</v>
      </c>
      <c r="H329" s="6" t="str">
        <v>Prepackaged Software</v>
      </c>
      <c r="I329" s="6" t="str">
        <v>64183K</v>
      </c>
      <c r="J329" s="6" t="str">
        <v>Neven Vision Inc</v>
      </c>
      <c r="K329" s="6" t="str">
        <v>Neven Vision Inc</v>
      </c>
      <c r="L329" s="7">
        <f>=DATE(2006,8,15)</f>
        <v>38943.99949074074</v>
      </c>
      <c r="M329" s="7">
        <f>=DATE(2006,8,15)</f>
        <v>38943.99949074074</v>
      </c>
      <c r="W329" s="6" t="str">
        <v>Internet Services &amp; Software;Programming Services</v>
      </c>
      <c r="X329" s="6" t="str">
        <v>Applications Software(Business;Other Software (inq. Games);Internet Services &amp; Software</v>
      </c>
      <c r="Y329" s="6" t="str">
        <v>Applications Software(Business;Other Software (inq. Games);Internet Services &amp; Software</v>
      </c>
      <c r="Z329" s="6" t="str">
        <v>Applications Software(Business;Other Software (inq. Games);Internet Services &amp; Software</v>
      </c>
      <c r="AA329" s="6" t="str">
        <v>Computer Consulting Services;Telecommunications Equipment;Primary Business not Hi-Tech;Internet Services &amp; Software;Programming Services</v>
      </c>
      <c r="AB329" s="6" t="str">
        <v>Internet Services &amp; Software;Primary Business not Hi-Tech;Telecommunications Equipment;Computer Consulting Services;Programming Services</v>
      </c>
    </row>
    <row r="330">
      <c r="A330" s="6" t="str">
        <v>00453N</v>
      </c>
      <c r="B330" s="6" t="str">
        <v>United States</v>
      </c>
      <c r="C330" s="6" t="str">
        <v>Accipiter Solutions Inc</v>
      </c>
      <c r="D330" s="6" t="str">
        <v>Accipiter Solutions Inc</v>
      </c>
      <c r="F330" s="6" t="str">
        <v>United States</v>
      </c>
      <c r="G330" s="6" t="str">
        <v>BidClix Inc</v>
      </c>
      <c r="H330" s="6" t="str">
        <v>Business Services</v>
      </c>
      <c r="I330" s="6" t="str">
        <v>08897C</v>
      </c>
      <c r="J330" s="6" t="str">
        <v>BidClix Inc</v>
      </c>
      <c r="K330" s="6" t="str">
        <v>BidClix Inc</v>
      </c>
      <c r="L330" s="7">
        <f>=DATE(2006,9,5)</f>
        <v>38964.99949074074</v>
      </c>
      <c r="M330" s="7">
        <f>=DATE(2006,9,5)</f>
        <v>38964.99949074074</v>
      </c>
      <c r="W330" s="6" t="str">
        <v>Internet Services &amp; Software</v>
      </c>
      <c r="X330" s="6" t="str">
        <v>Computer Consulting Services</v>
      </c>
      <c r="Y330" s="6" t="str">
        <v>Computer Consulting Services</v>
      </c>
      <c r="Z330" s="6" t="str">
        <v>Computer Consulting Services</v>
      </c>
      <c r="AA330" s="6" t="str">
        <v>Internet Services &amp; Software</v>
      </c>
      <c r="AB330" s="6" t="str">
        <v>Internet Services &amp; Software</v>
      </c>
    </row>
    <row r="331">
      <c r="A331" s="6" t="str">
        <v>594918</v>
      </c>
      <c r="B331" s="6" t="str">
        <v>United States</v>
      </c>
      <c r="C331" s="6" t="str">
        <v>Microsoft Corp</v>
      </c>
      <c r="D331" s="6" t="str">
        <v>Microsoft Corp</v>
      </c>
      <c r="F331" s="6" t="str">
        <v>Israel</v>
      </c>
      <c r="G331" s="6" t="str">
        <v>Gteko Ltd</v>
      </c>
      <c r="H331" s="6" t="str">
        <v>Business Services</v>
      </c>
      <c r="I331" s="6" t="str">
        <v>36406X</v>
      </c>
      <c r="J331" s="6" t="str">
        <v>Gteko Ltd</v>
      </c>
      <c r="K331" s="6" t="str">
        <v>Gteko Ltd</v>
      </c>
      <c r="L331" s="7">
        <f>=DATE(2006,9,26)</f>
        <v>38985.99949074074</v>
      </c>
      <c r="M331" s="7">
        <f>=DATE(2006,9,26)</f>
        <v>38985.99949074074</v>
      </c>
      <c r="W331" s="6" t="str">
        <v>Computer Consulting Services;Internet Services &amp; Software;Monitors/Terminals;Operating Systems;Applications Software(Business;Other Peripherals</v>
      </c>
      <c r="X331" s="6" t="str">
        <v>Other Computer Related Svcs;Programming Services;Computer Consulting Services</v>
      </c>
      <c r="Y331" s="6" t="str">
        <v>Other Computer Related Svcs;Programming Services;Computer Consulting Services</v>
      </c>
      <c r="Z331" s="6" t="str">
        <v>Computer Consulting Services;Programming Services;Other Computer Related Svcs</v>
      </c>
      <c r="AA331" s="6" t="str">
        <v>Monitors/Terminals;Computer Consulting Services;Operating Systems;Internet Services &amp; Software;Other Peripherals;Applications Software(Business</v>
      </c>
      <c r="AB331" s="6" t="str">
        <v>Monitors/Terminals;Operating Systems;Applications Software(Business;Computer Consulting Services;Other Peripherals;Internet Services &amp; Software</v>
      </c>
    </row>
    <row r="332">
      <c r="A332" s="6" t="str">
        <v>594918</v>
      </c>
      <c r="B332" s="6" t="str">
        <v>United States</v>
      </c>
      <c r="C332" s="6" t="str">
        <v>Microsoft Corp</v>
      </c>
      <c r="D332" s="6" t="str">
        <v>Microsoft Corp</v>
      </c>
      <c r="F332" s="6" t="str">
        <v>United States</v>
      </c>
      <c r="G332" s="6" t="str">
        <v>DesktopStandard Corp</v>
      </c>
      <c r="H332" s="6" t="str">
        <v>Business Services</v>
      </c>
      <c r="I332" s="6" t="str">
        <v>25076A</v>
      </c>
      <c r="J332" s="6" t="str">
        <v>DesktopStandard Corp</v>
      </c>
      <c r="K332" s="6" t="str">
        <v>DesktopStandard Corp</v>
      </c>
      <c r="L332" s="7">
        <f>=DATE(2006,10,2)</f>
        <v>38991.99949074074</v>
      </c>
      <c r="M332" s="7">
        <f>=DATE(2006,10,2)</f>
        <v>38991.99949074074</v>
      </c>
      <c r="W332" s="6" t="str">
        <v>Computer Consulting Services;Internet Services &amp; Software;Other Peripherals;Applications Software(Business;Operating Systems;Monitors/Terminals</v>
      </c>
      <c r="X332" s="6" t="str">
        <v>Other Computer Related Svcs;Computer Consulting Services;Programming Services</v>
      </c>
      <c r="Y332" s="6" t="str">
        <v>Computer Consulting Services;Other Computer Related Svcs;Programming Services</v>
      </c>
      <c r="Z332" s="6" t="str">
        <v>Computer Consulting Services;Other Computer Related Svcs;Programming Services</v>
      </c>
      <c r="AA332" s="6" t="str">
        <v>Other Peripherals;Applications Software(Business;Computer Consulting Services;Monitors/Terminals;Operating Systems;Internet Services &amp; Software</v>
      </c>
      <c r="AB332" s="6" t="str">
        <v>Other Peripherals;Operating Systems;Internet Services &amp; Software;Applications Software(Business;Computer Consulting Services;Monitors/Terminals</v>
      </c>
    </row>
    <row r="333">
      <c r="A333" s="6" t="str">
        <v>38259P</v>
      </c>
      <c r="B333" s="6" t="str">
        <v>United States</v>
      </c>
      <c r="C333" s="6" t="str">
        <v>Google Inc</v>
      </c>
      <c r="D333" s="6" t="str">
        <v>Alphabet Inc</v>
      </c>
      <c r="F333" s="6" t="str">
        <v>United States</v>
      </c>
      <c r="G333" s="6" t="str">
        <v>YouTube Inc</v>
      </c>
      <c r="H333" s="6" t="str">
        <v>Business Services</v>
      </c>
      <c r="I333" s="6" t="str">
        <v>98787H</v>
      </c>
      <c r="J333" s="6" t="str">
        <v>YouTube Inc</v>
      </c>
      <c r="K333" s="6" t="str">
        <v>YouTube Inc</v>
      </c>
      <c r="L333" s="7">
        <f>=DATE(2006,10,9)</f>
        <v>38998.99949074074</v>
      </c>
      <c r="M333" s="7">
        <f>=DATE(2006,10,19)</f>
        <v>39008.99949074074</v>
      </c>
      <c r="N333" s="8">
        <v>1650</v>
      </c>
      <c r="O333" s="8">
        <v>1650</v>
      </c>
      <c r="W333" s="6" t="str">
        <v>Internet Services &amp; Software;Programming Services</v>
      </c>
      <c r="X333" s="6" t="str">
        <v>Internet Services &amp; Software</v>
      </c>
      <c r="Y333" s="6" t="str">
        <v>Internet Services &amp; Software</v>
      </c>
      <c r="Z333" s="6" t="str">
        <v>Internet Services &amp; Software</v>
      </c>
      <c r="AA333" s="6" t="str">
        <v>Telecommunications Equipment;Computer Consulting Services;Internet Services &amp; Software;Programming Services;Primary Business not Hi-Tech</v>
      </c>
      <c r="AB333" s="6" t="str">
        <v>Internet Services &amp; Software;Programming Services;Primary Business not Hi-Tech;Computer Consulting Services;Telecommunications Equipment</v>
      </c>
      <c r="AC333" s="8">
        <v>1650</v>
      </c>
      <c r="AD333" s="7">
        <f>=DATE(2006,10,9)</f>
        <v>38998.99949074074</v>
      </c>
      <c r="AF333" s="8" t="str">
        <v>1,650.00</v>
      </c>
      <c r="AH333" s="8" t="str">
        <v>1,650.00</v>
      </c>
      <c r="AI333" s="8" t="str">
        <v>1,650.00</v>
      </c>
      <c r="AL333" s="8">
        <v>1650</v>
      </c>
    </row>
    <row r="334">
      <c r="A334" s="6" t="str">
        <v>594918</v>
      </c>
      <c r="B334" s="6" t="str">
        <v>United States</v>
      </c>
      <c r="C334" s="6" t="str">
        <v>Microsoft Corp</v>
      </c>
      <c r="D334" s="6" t="str">
        <v>Microsoft Corp</v>
      </c>
      <c r="F334" s="6" t="str">
        <v>United States</v>
      </c>
      <c r="G334" s="6" t="str">
        <v>Colloquis Inc</v>
      </c>
      <c r="H334" s="6" t="str">
        <v>Prepackaged Software</v>
      </c>
      <c r="I334" s="6" t="str">
        <v>19426T</v>
      </c>
      <c r="J334" s="6" t="str">
        <v>Colloquis Inc</v>
      </c>
      <c r="K334" s="6" t="str">
        <v>Colloquis Inc</v>
      </c>
      <c r="L334" s="7">
        <f>=DATE(2006,10,12)</f>
        <v>39001.99949074074</v>
      </c>
      <c r="M334" s="7">
        <f>=DATE(2006,10,12)</f>
        <v>39001.99949074074</v>
      </c>
      <c r="W334" s="6" t="str">
        <v>Operating Systems;Other Peripherals;Applications Software(Business;Computer Consulting Services;Internet Services &amp; Software;Monitors/Terminals</v>
      </c>
      <c r="X334" s="6" t="str">
        <v>Other Software (inq. Games)</v>
      </c>
      <c r="Y334" s="6" t="str">
        <v>Other Software (inq. Games)</v>
      </c>
      <c r="Z334" s="6" t="str">
        <v>Other Software (inq. Games)</v>
      </c>
      <c r="AA334" s="6" t="str">
        <v>Applications Software(Business;Internet Services &amp; Software;Monitors/Terminals;Operating Systems;Other Peripherals;Computer Consulting Services</v>
      </c>
      <c r="AB334" s="6" t="str">
        <v>Internet Services &amp; Software;Computer Consulting Services;Applications Software(Business;Other Peripherals;Operating Systems;Monitors/Terminals</v>
      </c>
    </row>
    <row r="335">
      <c r="A335" s="6" t="str">
        <v>037833</v>
      </c>
      <c r="B335" s="6" t="str">
        <v>United States</v>
      </c>
      <c r="C335" s="6" t="str">
        <v>Apple Computer Inc</v>
      </c>
      <c r="D335" s="6" t="str">
        <v>Apple Computer Inc</v>
      </c>
      <c r="F335" s="6" t="str">
        <v>United States</v>
      </c>
      <c r="G335" s="6" t="str">
        <v>Silicon Color Inc</v>
      </c>
      <c r="H335" s="6" t="str">
        <v>Prepackaged Software</v>
      </c>
      <c r="I335" s="6" t="str">
        <v>82414A</v>
      </c>
      <c r="J335" s="6" t="str">
        <v>Silicon Color Inc</v>
      </c>
      <c r="K335" s="6" t="str">
        <v>Silicon Color Inc</v>
      </c>
      <c r="L335" s="7">
        <f>=DATE(2006,10,16)</f>
        <v>39005.99949074074</v>
      </c>
      <c r="M335" s="7">
        <f>=DATE(2006,10,16)</f>
        <v>39005.99949074074</v>
      </c>
      <c r="W335" s="6" t="str">
        <v>Portable Computers;Printers;Other Peripherals;Monitors/Terminals;Micro-Computers (PCs);Disk Drives;Other Software (inq. Games);Mainframes &amp; Super Computers</v>
      </c>
      <c r="X335" s="6" t="str">
        <v>Other Software (inq. Games)</v>
      </c>
      <c r="Y335" s="6" t="str">
        <v>Other Software (inq. Games)</v>
      </c>
      <c r="Z335" s="6" t="str">
        <v>Other Software (inq. Games)</v>
      </c>
      <c r="AA335" s="6" t="str">
        <v>Monitors/Terminals;Micro-Computers (PCs);Mainframes &amp; Super Computers;Printers;Disk Drives;Portable Computers;Other Peripherals;Other Software (inq. Games)</v>
      </c>
      <c r="AB335" s="6" t="str">
        <v>Portable Computers;Monitors/Terminals;Printers;Micro-Computers (PCs);Other Peripherals;Other Software (inq. Games);Disk Drives;Mainframes &amp; Super Computers</v>
      </c>
    </row>
    <row r="336">
      <c r="A336" s="6" t="str">
        <v>38259P</v>
      </c>
      <c r="B336" s="6" t="str">
        <v>United States</v>
      </c>
      <c r="C336" s="6" t="str">
        <v>Google Inc</v>
      </c>
      <c r="D336" s="6" t="str">
        <v>Alphabet Inc</v>
      </c>
      <c r="F336" s="6" t="str">
        <v>United States</v>
      </c>
      <c r="G336" s="6" t="str">
        <v>JotSpot Inc</v>
      </c>
      <c r="H336" s="6" t="str">
        <v>Prepackaged Software</v>
      </c>
      <c r="I336" s="6" t="str">
        <v>46732L</v>
      </c>
      <c r="J336" s="6" t="str">
        <v>JotSpot Inc</v>
      </c>
      <c r="K336" s="6" t="str">
        <v>JotSpot Inc</v>
      </c>
      <c r="L336" s="7">
        <f>=DATE(2006,10,30)</f>
        <v>39019.99949074074</v>
      </c>
      <c r="M336" s="7">
        <f>=DATE(2006,10,30)</f>
        <v>39019.99949074074</v>
      </c>
      <c r="W336" s="6" t="str">
        <v>Internet Services &amp; Software;Programming Services</v>
      </c>
      <c r="X336" s="6" t="str">
        <v>Communication/Network Software;Internet Services &amp; Software</v>
      </c>
      <c r="Y336" s="6" t="str">
        <v>Communication/Network Software;Internet Services &amp; Software</v>
      </c>
      <c r="Z336" s="6" t="str">
        <v>Communication/Network Software;Internet Services &amp; Software</v>
      </c>
      <c r="AA336" s="6" t="str">
        <v>Primary Business not Hi-Tech;Computer Consulting Services;Internet Services &amp; Software;Telecommunications Equipment;Programming Services</v>
      </c>
      <c r="AB336" s="6" t="str">
        <v>Primary Business not Hi-Tech;Telecommunications Equipment;Programming Services;Computer Consulting Services;Internet Services &amp; Software</v>
      </c>
    </row>
    <row r="337">
      <c r="A337" s="6" t="str">
        <v>594918</v>
      </c>
      <c r="B337" s="6" t="str">
        <v>United States</v>
      </c>
      <c r="C337" s="6" t="str">
        <v>Microsoft Corp</v>
      </c>
      <c r="D337" s="6" t="str">
        <v>Microsoft Corp</v>
      </c>
      <c r="F337" s="6" t="str">
        <v>China (Mainland)</v>
      </c>
      <c r="G337" s="6" t="str">
        <v>Tata Information Technology (Shanghai)Co Ltd</v>
      </c>
      <c r="H337" s="6" t="str">
        <v>Business Services</v>
      </c>
      <c r="I337" s="6" t="str">
        <v>87733E</v>
      </c>
      <c r="J337" s="6" t="str">
        <v>Tata Sons Pvt Ltd</v>
      </c>
      <c r="K337" s="6" t="str">
        <v>Tata Consultancy Services Ltd</v>
      </c>
      <c r="L337" s="7">
        <f>=DATE(2006,11,23)</f>
        <v>39043.99949074074</v>
      </c>
      <c r="W337" s="6" t="str">
        <v>Other Peripherals;Internet Services &amp; Software;Operating Systems;Computer Consulting Services;Applications Software(Business;Monitors/Terminals</v>
      </c>
      <c r="X337" s="6" t="str">
        <v>Other Computer Related Svcs;Data Processing Services;Computer Consulting Services;Other Software (inq. Games)</v>
      </c>
      <c r="Y337" s="6" t="str">
        <v>Database Software/Programming;Internet Services &amp; Software;Operating Systems;Programming Services;Other Computer Systems;Turnkey Systems;Applications Software(Business</v>
      </c>
      <c r="Z337" s="6" t="str">
        <v>CAD/CAM/CAE/Graphics Systems;Messaging Systems;Internet Services &amp; Software;Communication/Network Software;Data Commun(Exclude networking;Other Computer Systems;Operating Systems;Primary Business not Hi-Tech;Networking Systems (LAN,WAN);Process Control Systems;Other Telecommunications Equip</v>
      </c>
      <c r="AA337" s="6" t="str">
        <v>Operating Systems;Monitors/Terminals;Internet Services &amp; Software;Computer Consulting Services;Other Peripherals;Applications Software(Business</v>
      </c>
      <c r="AB337" s="6" t="str">
        <v>Other Peripherals;Monitors/Terminals;Operating Systems;Applications Software(Business;Computer Consulting Services;Internet Services &amp; Software</v>
      </c>
    </row>
    <row r="338">
      <c r="A338" s="6" t="str">
        <v>67020Y</v>
      </c>
      <c r="B338" s="6" t="str">
        <v>United States</v>
      </c>
      <c r="C338" s="6" t="str">
        <v>Nuance Communications Inc</v>
      </c>
      <c r="D338" s="6" t="str">
        <v>Nuance Communications Inc</v>
      </c>
      <c r="F338" s="6" t="str">
        <v>United States</v>
      </c>
      <c r="G338" s="6" t="str">
        <v>MobileVoiceControl Inc</v>
      </c>
      <c r="H338" s="6" t="str">
        <v>Prepackaged Software</v>
      </c>
      <c r="I338" s="6" t="str">
        <v>60809Y</v>
      </c>
      <c r="J338" s="6" t="str">
        <v>MobileVoiceControl Inc</v>
      </c>
      <c r="K338" s="6" t="str">
        <v>MobileVoiceControl Inc</v>
      </c>
      <c r="L338" s="7">
        <f>=DATE(2006,12,7)</f>
        <v>39057.99949074074</v>
      </c>
      <c r="M338" s="7">
        <f>=DATE(2007,1,3)</f>
        <v>39084.99949074074</v>
      </c>
      <c r="W338" s="6" t="str">
        <v>Other Computer Related Svcs;Applications Software(Business;Networking Systems (LAN,WAN);Programming Services;Applications Software(Home);Other Software (inq. Games);Internet Services &amp; Software;Primary Business not Hi-Tech;Database Software/Programming;Utilities/File Mgmt Software;Computer Consulting Services;Communication/Network Software;Desktop Publishing</v>
      </c>
      <c r="X338" s="6" t="str">
        <v>Communication/Network Software;Other Software (inq. Games);Applications Software(Business</v>
      </c>
      <c r="Y338" s="6" t="str">
        <v>Other Software (inq. Games);Communication/Network Software;Applications Software(Business</v>
      </c>
      <c r="Z338" s="6" t="str">
        <v>Communication/Network Software;Other Software (inq. Games);Applications Software(Business</v>
      </c>
      <c r="AA338" s="6" t="str">
        <v>Internet Services &amp; Software;Programming Services;Other Software (inq. Games);Networking Systems (LAN,WAN);Computer Consulting Services;Communication/Network Software;Applications Software(Home);Primary Business not Hi-Tech;Database Software/Programming;Utilities/File Mgmt Software;Applications Software(Business;Desktop Publishing;Other Computer Related Svcs</v>
      </c>
      <c r="AB338" s="6" t="str">
        <v>Other Software (inq. Games);Networking Systems (LAN,WAN);Internet Services &amp; Software;Applications Software(Business;Desktop Publishing;Utilities/File Mgmt Software;Computer Consulting Services;Communication/Network Software;Applications Software(Home);Other Computer Related Svcs;Primary Business not Hi-Tech;Database Software/Programming;Programming Services</v>
      </c>
    </row>
    <row r="339">
      <c r="A339" s="6" t="str">
        <v>04943Q</v>
      </c>
      <c r="B339" s="6" t="str">
        <v>United States</v>
      </c>
      <c r="C339" s="6" t="str">
        <v>Atlas Advertiser Suite</v>
      </c>
      <c r="D339" s="6" t="str">
        <v>aQuantive Inc</v>
      </c>
      <c r="F339" s="6" t="str">
        <v>United States</v>
      </c>
      <c r="G339" s="6" t="str">
        <v>Accipiter Solutions Inc</v>
      </c>
      <c r="H339" s="6" t="str">
        <v>Business Services</v>
      </c>
      <c r="I339" s="6" t="str">
        <v>00453N</v>
      </c>
      <c r="J339" s="6" t="str">
        <v>Accipiter Solutions Inc</v>
      </c>
      <c r="K339" s="6" t="str">
        <v>Accipiter Solutions Inc</v>
      </c>
      <c r="L339" s="7">
        <f>=DATE(2006,12,11)</f>
        <v>39061.99949074074</v>
      </c>
      <c r="M339" s="7">
        <f>=DATE(2006,12,11)</f>
        <v>39061.99949074074</v>
      </c>
      <c r="N339" s="8">
        <v>30.3</v>
      </c>
      <c r="O339" s="8">
        <v>30.3</v>
      </c>
      <c r="W339" s="6" t="str">
        <v>Internet Services &amp; Software</v>
      </c>
      <c r="X339" s="6" t="str">
        <v>Internet Services &amp; Software</v>
      </c>
      <c r="Y339" s="6" t="str">
        <v>Internet Services &amp; Software</v>
      </c>
      <c r="Z339" s="6" t="str">
        <v>Internet Services &amp; Software</v>
      </c>
      <c r="AA339" s="6" t="str">
        <v>Internet Services &amp; Software</v>
      </c>
      <c r="AB339" s="6" t="str">
        <v>Internet Services &amp; Software</v>
      </c>
      <c r="AC339" s="8">
        <v>30.3</v>
      </c>
      <c r="AD339" s="7">
        <f>=DATE(2006,12,11)</f>
        <v>39061.99949074074</v>
      </c>
      <c r="AL339" s="8">
        <v>30.3</v>
      </c>
    </row>
    <row r="340">
      <c r="A340" s="6" t="str">
        <v>38259P</v>
      </c>
      <c r="B340" s="6" t="str">
        <v>United States</v>
      </c>
      <c r="C340" s="6" t="str">
        <v>Google Inc</v>
      </c>
      <c r="D340" s="6" t="str">
        <v>Alphabet Inc</v>
      </c>
      <c r="F340" s="6" t="str">
        <v>Switzerland</v>
      </c>
      <c r="G340" s="6" t="str">
        <v>Endoxon AG-European Mapping Business</v>
      </c>
      <c r="H340" s="6" t="str">
        <v>Business Services</v>
      </c>
      <c r="I340" s="6" t="str">
        <v>29577T</v>
      </c>
      <c r="J340" s="6" t="str">
        <v>Endoxon AG</v>
      </c>
      <c r="K340" s="6" t="str">
        <v>Endoxon AG</v>
      </c>
      <c r="L340" s="7">
        <f>=DATE(2006,12,18)</f>
        <v>39068.99949074074</v>
      </c>
      <c r="M340" s="7">
        <f>=DATE(2006,12,18)</f>
        <v>39068.99949074074</v>
      </c>
      <c r="W340" s="6" t="str">
        <v>Programming Services;Internet Services &amp; Software</v>
      </c>
      <c r="X340" s="6" t="str">
        <v>Internet Services &amp; Software</v>
      </c>
      <c r="Y340" s="6" t="str">
        <v>Internet Services &amp; Software</v>
      </c>
      <c r="Z340" s="6" t="str">
        <v>Internet Services &amp; Software</v>
      </c>
      <c r="AA340" s="6" t="str">
        <v>Programming Services;Computer Consulting Services;Internet Services &amp; Software;Primary Business not Hi-Tech;Telecommunications Equipment</v>
      </c>
      <c r="AB340" s="6" t="str">
        <v>Primary Business not Hi-Tech;Computer Consulting Services;Programming Services;Internet Services &amp; Software;Telecommunications Equipment</v>
      </c>
    </row>
    <row r="341">
      <c r="A341" s="6" t="str">
        <v>38259P</v>
      </c>
      <c r="B341" s="6" t="str">
        <v>United States</v>
      </c>
      <c r="C341" s="6" t="str">
        <v>Google Inc</v>
      </c>
      <c r="D341" s="6" t="str">
        <v>Alphabet Inc</v>
      </c>
      <c r="F341" s="6" t="str">
        <v>China (Mainland)</v>
      </c>
      <c r="G341" s="6" t="str">
        <v>Shenzhen Xunlei Network Technology Co Ltd</v>
      </c>
      <c r="H341" s="6" t="str">
        <v>Business Services</v>
      </c>
      <c r="I341" s="6" t="str">
        <v>82373H</v>
      </c>
      <c r="J341" s="6" t="str">
        <v>Shenzhen Xunlei Network Technology Co Ltd</v>
      </c>
      <c r="K341" s="6" t="str">
        <v>Shenzhen Xunlei Network Technology Co Ltd</v>
      </c>
      <c r="L341" s="7">
        <f>=DATE(2007,1,4)</f>
        <v>39085.99949074074</v>
      </c>
      <c r="W341" s="6" t="str">
        <v>Internet Services &amp; Software;Programming Services</v>
      </c>
      <c r="X341" s="6" t="str">
        <v>Internet Services &amp; Software</v>
      </c>
      <c r="Y341" s="6" t="str">
        <v>Internet Services &amp; Software</v>
      </c>
      <c r="Z341" s="6" t="str">
        <v>Internet Services &amp; Software</v>
      </c>
      <c r="AA341" s="6" t="str">
        <v>Primary Business not Hi-Tech;Computer Consulting Services;Telecommunications Equipment;Internet Services &amp; Software;Programming Services</v>
      </c>
      <c r="AB341" s="6" t="str">
        <v>Computer Consulting Services;Internet Services &amp; Software;Primary Business not Hi-Tech;Telecommunications Equipment;Programming Services</v>
      </c>
    </row>
    <row r="342">
      <c r="A342" s="6" t="str">
        <v>594918</v>
      </c>
      <c r="B342" s="6" t="str">
        <v>United States</v>
      </c>
      <c r="C342" s="6" t="str">
        <v>Microsoft Corp</v>
      </c>
      <c r="D342" s="6" t="str">
        <v>Microsoft Corp</v>
      </c>
      <c r="F342" s="6" t="str">
        <v>Israel</v>
      </c>
      <c r="G342" s="6" t="str">
        <v>Secured Dimensions</v>
      </c>
      <c r="H342" s="6" t="str">
        <v>Prepackaged Software</v>
      </c>
      <c r="I342" s="6" t="str">
        <v>81357X</v>
      </c>
      <c r="J342" s="6" t="str">
        <v>Microsoft Corp</v>
      </c>
      <c r="K342" s="6" t="str">
        <v>Microsoft Corp</v>
      </c>
      <c r="L342" s="7">
        <f>=DATE(2007,1,5)</f>
        <v>39086.99949074074</v>
      </c>
      <c r="M342" s="7">
        <f>=DATE(2007,1,5)</f>
        <v>39086.99949074074</v>
      </c>
      <c r="W342" s="6" t="str">
        <v>Other Peripherals;Applications Software(Business;Computer Consulting Services;Operating Systems;Internet Services &amp; Software;Monitors/Terminals</v>
      </c>
      <c r="X342" s="6" t="str">
        <v>Applications Software(Home)</v>
      </c>
      <c r="Y342" s="6" t="str">
        <v>Operating Systems;Internet Services &amp; Software;Computer Consulting Services;Other Peripherals;Monitors/Terminals;Applications Software(Business</v>
      </c>
      <c r="Z342" s="6" t="str">
        <v>Internet Services &amp; Software;Applications Software(Business;Monitors/Terminals;Computer Consulting Services;Operating Systems;Other Peripherals</v>
      </c>
      <c r="AA342" s="6" t="str">
        <v>Other Peripherals;Operating Systems;Monitors/Terminals;Internet Services &amp; Software;Applications Software(Business;Computer Consulting Services</v>
      </c>
      <c r="AB342" s="6" t="str">
        <v>Operating Systems;Applications Software(Business;Other Peripherals;Internet Services &amp; Software;Monitors/Terminals;Computer Consulting Services</v>
      </c>
    </row>
    <row r="343">
      <c r="A343" s="6" t="str">
        <v>05896Z</v>
      </c>
      <c r="B343" s="6" t="str">
        <v>United States</v>
      </c>
      <c r="C343" s="6" t="str">
        <v>Avenue A Razorfish</v>
      </c>
      <c r="D343" s="6" t="str">
        <v>aQuantive Inc</v>
      </c>
      <c r="F343" s="6" t="str">
        <v>Japan</v>
      </c>
      <c r="G343" s="6" t="str">
        <v>Digital Palette Inc</v>
      </c>
      <c r="H343" s="6" t="str">
        <v>Business Services</v>
      </c>
      <c r="I343" s="6" t="str">
        <v>25425W</v>
      </c>
      <c r="J343" s="6" t="str">
        <v>Dentsu Inc</v>
      </c>
      <c r="K343" s="6" t="str">
        <v>Dentsu Tec Inc</v>
      </c>
      <c r="L343" s="7">
        <f>=DATE(2007,1,16)</f>
        <v>39097.99949074074</v>
      </c>
      <c r="W343" s="6" t="str">
        <v>Primary Business not Hi-Tech</v>
      </c>
      <c r="X343" s="6" t="str">
        <v>Computer Consulting Services</v>
      </c>
      <c r="Y343" s="6" t="str">
        <v>Primary Business not Hi-Tech</v>
      </c>
      <c r="Z343" s="6" t="str">
        <v>Primary Business not Hi-Tech;Internet Services &amp; Software;Data Commun(Exclude networking;Turnkey Systems;Other Computer Systems</v>
      </c>
      <c r="AA343" s="6" t="str">
        <v>Internet Services &amp; Software</v>
      </c>
      <c r="AB343" s="6" t="str">
        <v>Internet Services &amp; Software</v>
      </c>
    </row>
    <row r="344">
      <c r="A344" s="6" t="str">
        <v>38259P</v>
      </c>
      <c r="B344" s="6" t="str">
        <v>United States</v>
      </c>
      <c r="C344" s="6" t="str">
        <v>Google Inc</v>
      </c>
      <c r="D344" s="6" t="str">
        <v>Alphabet Inc</v>
      </c>
      <c r="F344" s="6" t="str">
        <v>United States</v>
      </c>
      <c r="G344" s="6" t="str">
        <v>Adscape Media Inc</v>
      </c>
      <c r="H344" s="6" t="str">
        <v>Prepackaged Software</v>
      </c>
      <c r="I344" s="6" t="str">
        <v>38126L</v>
      </c>
      <c r="J344" s="6" t="str">
        <v>Adscape Media Inc</v>
      </c>
      <c r="K344" s="6" t="str">
        <v>Adscape Media Inc</v>
      </c>
      <c r="L344" s="7">
        <f>=DATE(2007,1,20)</f>
        <v>39101.99949074074</v>
      </c>
      <c r="M344" s="7">
        <f>=DATE(2007,3,19)</f>
        <v>39159.99949074074</v>
      </c>
      <c r="W344" s="6" t="str">
        <v>Internet Services &amp; Software;Programming Services</v>
      </c>
      <c r="X344" s="6" t="str">
        <v>Other Software (inq. Games)</v>
      </c>
      <c r="Y344" s="6" t="str">
        <v>Other Software (inq. Games)</v>
      </c>
      <c r="Z344" s="6" t="str">
        <v>Other Software (inq. Games)</v>
      </c>
      <c r="AA344" s="6" t="str">
        <v>Programming Services;Internet Services &amp; Software;Primary Business not Hi-Tech;Telecommunications Equipment;Computer Consulting Services</v>
      </c>
      <c r="AB344" s="6" t="str">
        <v>Internet Services &amp; Software;Programming Services;Primary Business not Hi-Tech;Computer Consulting Services;Telecommunications Equipment</v>
      </c>
    </row>
    <row r="345">
      <c r="A345" s="6" t="str">
        <v>38259P</v>
      </c>
      <c r="B345" s="6" t="str">
        <v>United States</v>
      </c>
      <c r="C345" s="6" t="str">
        <v>Google Inc</v>
      </c>
      <c r="D345" s="6" t="str">
        <v>Alphabet Inc</v>
      </c>
      <c r="F345" s="6" t="str">
        <v>China (Mainland)</v>
      </c>
      <c r="G345" s="6" t="str">
        <v>Maxthon International Ltd</v>
      </c>
      <c r="H345" s="6" t="str">
        <v>Prepackaged Software</v>
      </c>
      <c r="I345" s="6" t="str">
        <v>57817A</v>
      </c>
      <c r="J345" s="6" t="str">
        <v>Maxthon International Ltd</v>
      </c>
      <c r="K345" s="6" t="str">
        <v>Maxthon International Ltd</v>
      </c>
      <c r="L345" s="7">
        <f>=DATE(2007,2,1)</f>
        <v>39113.99949074074</v>
      </c>
      <c r="W345" s="6" t="str">
        <v>Programming Services;Internet Services &amp; Software</v>
      </c>
      <c r="X345" s="6" t="str">
        <v>Internet Services &amp; Software;Communication/Network Software</v>
      </c>
      <c r="Y345" s="6" t="str">
        <v>Communication/Network Software;Internet Services &amp; Software</v>
      </c>
      <c r="Z345" s="6" t="str">
        <v>Communication/Network Software;Internet Services &amp; Software</v>
      </c>
      <c r="AA345" s="6" t="str">
        <v>Programming Services;Primary Business not Hi-Tech;Telecommunications Equipment;Computer Consulting Services;Internet Services &amp; Software</v>
      </c>
      <c r="AB345" s="6" t="str">
        <v>Internet Services &amp; Software;Telecommunications Equipment;Computer Consulting Services;Programming Services;Primary Business not Hi-Tech</v>
      </c>
    </row>
    <row r="346">
      <c r="A346" s="6" t="str">
        <v>67020Y</v>
      </c>
      <c r="B346" s="6" t="str">
        <v>United States</v>
      </c>
      <c r="C346" s="6" t="str">
        <v>Nuance Communications Inc</v>
      </c>
      <c r="D346" s="6" t="str">
        <v>Nuance Communications Inc</v>
      </c>
      <c r="F346" s="6" t="str">
        <v>United States</v>
      </c>
      <c r="G346" s="6" t="str">
        <v>BeVocal Inc</v>
      </c>
      <c r="H346" s="6" t="str">
        <v>Prepackaged Software</v>
      </c>
      <c r="I346" s="6" t="str">
        <v>06133V</v>
      </c>
      <c r="J346" s="6" t="str">
        <v>BeVocal Inc</v>
      </c>
      <c r="K346" s="6" t="str">
        <v>BeVocal Inc</v>
      </c>
      <c r="L346" s="7">
        <f>=DATE(2007,2,22)</f>
        <v>39134.99949074074</v>
      </c>
      <c r="M346" s="7">
        <f>=DATE(2007,4,25)</f>
        <v>39196.99949074074</v>
      </c>
      <c r="N346" s="8">
        <v>208.547</v>
      </c>
      <c r="O346" s="8">
        <v>199.334</v>
      </c>
      <c r="W346" s="6" t="str">
        <v>Utilities/File Mgmt Software;Applications Software(Home);Programming Services;Database Software/Programming;Primary Business not Hi-Tech;Internet Services &amp; Software;Computer Consulting Services;Communication/Network Software;Applications Software(Business;Desktop Publishing;Networking Systems (LAN,WAN);Other Computer Related Svcs;Other Software (inq. Games)</v>
      </c>
      <c r="X346" s="6" t="str">
        <v>Internet Services &amp; Software;Communication/Network Software</v>
      </c>
      <c r="Y346" s="6" t="str">
        <v>Internet Services &amp; Software;Communication/Network Software</v>
      </c>
      <c r="Z346" s="6" t="str">
        <v>Internet Services &amp; Software;Communication/Network Software</v>
      </c>
      <c r="AA346" s="6" t="str">
        <v>Programming Services;Applications Software(Business;Internet Services &amp; Software;Primary Business not Hi-Tech;Computer Consulting Services;Applications Software(Home);Networking Systems (LAN,WAN);Utilities/File Mgmt Software;Communication/Network Software;Database Software/Programming;Other Computer Related Svcs;Desktop Publishing;Other Software (inq. Games)</v>
      </c>
      <c r="AB346" s="6" t="str">
        <v>Database Software/Programming;Applications Software(Business;Programming Services;Networking Systems (LAN,WAN);Desktop Publishing;Other Software (inq. Games);Other Computer Related Svcs;Primary Business not Hi-Tech;Communication/Network Software;Utilities/File Mgmt Software;Internet Services &amp; Software;Applications Software(Home);Computer Consulting Services</v>
      </c>
      <c r="AC346" s="8">
        <v>199.334</v>
      </c>
      <c r="AD346" s="7">
        <f>=DATE(2007,2,22)</f>
        <v>39134.99949074074</v>
      </c>
      <c r="AL346" s="8">
        <v>199.334</v>
      </c>
    </row>
    <row r="347">
      <c r="A347" s="6" t="str">
        <v>594918</v>
      </c>
      <c r="B347" s="6" t="str">
        <v>United States</v>
      </c>
      <c r="C347" s="6" t="str">
        <v>Microsoft Corp</v>
      </c>
      <c r="D347" s="6" t="str">
        <v>Microsoft Corp</v>
      </c>
      <c r="F347" s="6" t="str">
        <v>United States</v>
      </c>
      <c r="G347" s="6" t="str">
        <v>Medstory Inc</v>
      </c>
      <c r="H347" s="6" t="str">
        <v>Business Services</v>
      </c>
      <c r="I347" s="6" t="str">
        <v>58637V</v>
      </c>
      <c r="J347" s="6" t="str">
        <v>Medstory Inc</v>
      </c>
      <c r="K347" s="6" t="str">
        <v>Medstory Inc</v>
      </c>
      <c r="L347" s="7">
        <f>=DATE(2007,2,23)</f>
        <v>39135.99949074074</v>
      </c>
      <c r="M347" s="7">
        <f>=DATE(2007,3,9)</f>
        <v>39149.99949074074</v>
      </c>
      <c r="W347" s="6" t="str">
        <v>Other Peripherals;Internet Services &amp; Software;Monitors/Terminals;Applications Software(Business;Operating Systems;Computer Consulting Services</v>
      </c>
      <c r="X347" s="6" t="str">
        <v>Internet Services &amp; Software</v>
      </c>
      <c r="Y347" s="6" t="str">
        <v>Internet Services &amp; Software</v>
      </c>
      <c r="Z347" s="6" t="str">
        <v>Internet Services &amp; Software</v>
      </c>
      <c r="AA347" s="6" t="str">
        <v>Applications Software(Business;Computer Consulting Services;Other Peripherals;Internet Services &amp; Software;Operating Systems;Monitors/Terminals</v>
      </c>
      <c r="AB347" s="6" t="str">
        <v>Internet Services &amp; Software;Computer Consulting Services;Operating Systems;Other Peripherals;Monitors/Terminals;Applications Software(Business</v>
      </c>
    </row>
    <row r="348">
      <c r="A348" s="6" t="str">
        <v>05896Z</v>
      </c>
      <c r="B348" s="6" t="str">
        <v>United States</v>
      </c>
      <c r="C348" s="6" t="str">
        <v>Avenue A Razorfish</v>
      </c>
      <c r="D348" s="6" t="str">
        <v>aQuantive Inc</v>
      </c>
      <c r="F348" s="6" t="str">
        <v>France</v>
      </c>
      <c r="G348" s="6" t="str">
        <v>Duke SA</v>
      </c>
      <c r="H348" s="6" t="str">
        <v>Business Services</v>
      </c>
      <c r="I348" s="6" t="str">
        <v>26426C</v>
      </c>
      <c r="J348" s="6" t="str">
        <v>Duke SA</v>
      </c>
      <c r="K348" s="6" t="str">
        <v>Duke SA</v>
      </c>
      <c r="L348" s="7">
        <f>=DATE(2007,3,6)</f>
        <v>39146.99949074074</v>
      </c>
      <c r="M348" s="7">
        <f>=DATE(2007,3,6)</f>
        <v>39146.99949074074</v>
      </c>
      <c r="N348" s="8">
        <v>7.87504921905762</v>
      </c>
      <c r="O348" s="8">
        <v>7.87504921905762</v>
      </c>
      <c r="W348" s="6" t="str">
        <v>Primary Business not Hi-Tech</v>
      </c>
      <c r="X348" s="6" t="str">
        <v>Programming Services;Data Processing Services;Primary Business not Hi-Tech</v>
      </c>
      <c r="Y348" s="6" t="str">
        <v>Primary Business not Hi-Tech;Programming Services;Data Processing Services</v>
      </c>
      <c r="Z348" s="6" t="str">
        <v>Primary Business not Hi-Tech;Data Processing Services;Programming Services</v>
      </c>
      <c r="AA348" s="6" t="str">
        <v>Internet Services &amp; Software</v>
      </c>
      <c r="AB348" s="6" t="str">
        <v>Internet Services &amp; Software</v>
      </c>
      <c r="AC348" s="8">
        <v>7.87504921905762</v>
      </c>
      <c r="AD348" s="7">
        <f>=DATE(2007,3,6)</f>
        <v>39146.99949074074</v>
      </c>
      <c r="AL348" s="8">
        <v>7.87504921905762</v>
      </c>
    </row>
    <row r="349">
      <c r="A349" s="6" t="str">
        <v>594918</v>
      </c>
      <c r="B349" s="6" t="str">
        <v>United States</v>
      </c>
      <c r="C349" s="6" t="str">
        <v>Microsoft Corp</v>
      </c>
      <c r="D349" s="6" t="str">
        <v>Microsoft Corp</v>
      </c>
      <c r="F349" s="6" t="str">
        <v>United States</v>
      </c>
      <c r="G349" s="6" t="str">
        <v>Tellme Networks Inc</v>
      </c>
      <c r="H349" s="6" t="str">
        <v>Prepackaged Software</v>
      </c>
      <c r="I349" s="6" t="str">
        <v>87914H</v>
      </c>
      <c r="J349" s="6" t="str">
        <v>Tellme Networks Inc</v>
      </c>
      <c r="K349" s="6" t="str">
        <v>Tellme Networks Inc</v>
      </c>
      <c r="L349" s="7">
        <f>=DATE(2007,3,14)</f>
        <v>39154.99949074074</v>
      </c>
      <c r="M349" s="7">
        <f>=DATE(2007,5,3)</f>
        <v>39204.99949074074</v>
      </c>
      <c r="W349" s="6" t="str">
        <v>Internet Services &amp; Software;Applications Software(Business;Monitors/Terminals;Computer Consulting Services;Other Peripherals;Operating Systems</v>
      </c>
      <c r="X349" s="6" t="str">
        <v>Applications Software(Business;Other Software (inq. Games);Internet Services &amp; Software;Communication/Network Software</v>
      </c>
      <c r="Y349" s="6" t="str">
        <v>Internet Services &amp; Software;Other Software (inq. Games);Communication/Network Software;Applications Software(Business</v>
      </c>
      <c r="Z349" s="6" t="str">
        <v>Internet Services &amp; Software;Applications Software(Business;Communication/Network Software;Other Software (inq. Games)</v>
      </c>
      <c r="AA349" s="6" t="str">
        <v>Computer Consulting Services;Internet Services &amp; Software;Operating Systems;Monitors/Terminals;Applications Software(Business;Other Peripherals</v>
      </c>
      <c r="AB349" s="6" t="str">
        <v>Internet Services &amp; Software;Applications Software(Business;Other Peripherals;Operating Systems;Monitors/Terminals;Computer Consulting Services</v>
      </c>
    </row>
    <row r="350">
      <c r="A350" s="6" t="str">
        <v>67020Y</v>
      </c>
      <c r="B350" s="6" t="str">
        <v>United States</v>
      </c>
      <c r="C350" s="6" t="str">
        <v>Nuance Communications Inc</v>
      </c>
      <c r="D350" s="6" t="str">
        <v>Nuance Communications Inc</v>
      </c>
      <c r="F350" s="6" t="str">
        <v>United States</v>
      </c>
      <c r="G350" s="6" t="str">
        <v>Focus Informatics Inc</v>
      </c>
      <c r="H350" s="6" t="str">
        <v>Business Services</v>
      </c>
      <c r="I350" s="6" t="str">
        <v>34428P</v>
      </c>
      <c r="J350" s="6" t="str">
        <v>Focus Informatics Inc</v>
      </c>
      <c r="K350" s="6" t="str">
        <v>Focus Informatics Inc</v>
      </c>
      <c r="L350" s="7">
        <f>=DATE(2007,3,15)</f>
        <v>39155.99949074074</v>
      </c>
      <c r="M350" s="7">
        <f>=DATE(2007,3,28)</f>
        <v>39168.99949074074</v>
      </c>
      <c r="N350" s="8">
        <v>58</v>
      </c>
      <c r="O350" s="8">
        <v>58</v>
      </c>
      <c r="W350" s="6" t="str">
        <v>Other Computer Related Svcs;Internet Services &amp; Software;Computer Consulting Services;Desktop Publishing;Networking Systems (LAN,WAN);Database Software/Programming;Utilities/File Mgmt Software;Applications Software(Business;Primary Business not Hi-Tech;Applications Software(Home);Communication/Network Software;Other Software (inq. Games);Programming Services</v>
      </c>
      <c r="X350" s="6" t="str">
        <v>Programming Services;Computer Consulting Services;Other Computer Related Svcs</v>
      </c>
      <c r="Y350" s="6" t="str">
        <v>Other Computer Related Svcs;Computer Consulting Services;Programming Services</v>
      </c>
      <c r="Z350" s="6" t="str">
        <v>Computer Consulting Services;Other Computer Related Svcs;Programming Services</v>
      </c>
      <c r="AA350" s="6" t="str">
        <v>Computer Consulting Services;Networking Systems (LAN,WAN);Other Computer Related Svcs;Utilities/File Mgmt Software;Programming Services;Database Software/Programming;Desktop Publishing;Communication/Network Software;Internet Services &amp; Software;Primary Business not Hi-Tech;Applications Software(Business;Other Software (inq. Games);Applications Software(Home)</v>
      </c>
      <c r="AB350" s="6" t="str">
        <v>Communication/Network Software;Applications Software(Home);Programming Services;Primary Business not Hi-Tech;Internet Services &amp; Software;Desktop Publishing;Database Software/Programming;Computer Consulting Services;Networking Systems (LAN,WAN);Utilities/File Mgmt Software;Applications Software(Business;Other Software (inq. Games);Other Computer Related Svcs</v>
      </c>
      <c r="AC350" s="8">
        <v>58</v>
      </c>
      <c r="AD350" s="7">
        <f>=DATE(2007,3,15)</f>
        <v>39155.99949074074</v>
      </c>
      <c r="AL350" s="8">
        <v>58</v>
      </c>
    </row>
    <row r="351">
      <c r="A351" s="6" t="str">
        <v>594918</v>
      </c>
      <c r="B351" s="6" t="str">
        <v>United States</v>
      </c>
      <c r="C351" s="6" t="str">
        <v>Microsoft Corp</v>
      </c>
      <c r="D351" s="6" t="str">
        <v>Microsoft Corp</v>
      </c>
      <c r="F351" s="6" t="str">
        <v>United States</v>
      </c>
      <c r="G351" s="6" t="str">
        <v>devBiz Business Solutions LLC</v>
      </c>
      <c r="H351" s="6" t="str">
        <v>Prepackaged Software</v>
      </c>
      <c r="I351" s="6" t="str">
        <v>36015F</v>
      </c>
      <c r="J351" s="6" t="str">
        <v>devBiz Business Solutions LLC</v>
      </c>
      <c r="K351" s="6" t="str">
        <v>devBiz Business Solutions LLC</v>
      </c>
      <c r="L351" s="7">
        <f>=DATE(2007,3,26)</f>
        <v>39166.99949074074</v>
      </c>
      <c r="M351" s="7">
        <f>=DATE(2007,3,26)</f>
        <v>39166.99949074074</v>
      </c>
      <c r="W351" s="6" t="str">
        <v>Internet Services &amp; Software;Applications Software(Business;Other Peripherals;Monitors/Terminals;Operating Systems;Computer Consulting Services</v>
      </c>
      <c r="X351" s="6" t="str">
        <v>Applications Software(Business</v>
      </c>
      <c r="Y351" s="6" t="str">
        <v>Applications Software(Business</v>
      </c>
      <c r="Z351" s="6" t="str">
        <v>Applications Software(Business</v>
      </c>
      <c r="AA351" s="6" t="str">
        <v>Applications Software(Business;Other Peripherals;Operating Systems;Computer Consulting Services;Internet Services &amp; Software;Monitors/Terminals</v>
      </c>
      <c r="AB351" s="6" t="str">
        <v>Computer Consulting Services;Internet Services &amp; Software;Other Peripherals;Operating Systems;Applications Software(Business;Monitors/Terminals</v>
      </c>
    </row>
    <row r="352">
      <c r="A352" s="6" t="str">
        <v>38259P</v>
      </c>
      <c r="B352" s="6" t="str">
        <v>United States</v>
      </c>
      <c r="C352" s="6" t="str">
        <v>Google Inc</v>
      </c>
      <c r="D352" s="6" t="str">
        <v>Alphabet Inc</v>
      </c>
      <c r="F352" s="6" t="str">
        <v>United States</v>
      </c>
      <c r="G352" s="6" t="str">
        <v>DoubleClick Inc</v>
      </c>
      <c r="H352" s="6" t="str">
        <v>Business Services</v>
      </c>
      <c r="I352" s="6" t="str">
        <v>258609</v>
      </c>
      <c r="J352" s="6" t="str">
        <v>Hellman &amp; Friedman LLC</v>
      </c>
      <c r="K352" s="6" t="str">
        <v>Hellman &amp; Friedman LLC</v>
      </c>
      <c r="L352" s="7">
        <f>=DATE(2007,4,13)</f>
        <v>39184.99949074074</v>
      </c>
      <c r="M352" s="7">
        <f>=DATE(2008,3,11)</f>
        <v>39517.99949074074</v>
      </c>
      <c r="N352" s="8">
        <v>3100</v>
      </c>
      <c r="O352" s="8">
        <v>3100</v>
      </c>
      <c r="R352" s="8">
        <v>28.9</v>
      </c>
      <c r="S352" s="8">
        <v>309.922</v>
      </c>
      <c r="T352" s="8">
        <v>-78.771</v>
      </c>
      <c r="U352" s="8">
        <v>7.141</v>
      </c>
      <c r="V352" s="8">
        <v>69.154</v>
      </c>
      <c r="W352" s="6" t="str">
        <v>Programming Services;Internet Services &amp; Software</v>
      </c>
      <c r="X352" s="6" t="str">
        <v>Internet Services &amp; Software</v>
      </c>
      <c r="Y352" s="6" t="str">
        <v>Primary Business not Hi-Tech</v>
      </c>
      <c r="Z352" s="6" t="str">
        <v>Primary Business not Hi-Tech</v>
      </c>
      <c r="AA352" s="6" t="str">
        <v>Programming Services;Computer Consulting Services;Primary Business not Hi-Tech;Telecommunications Equipment;Internet Services &amp; Software</v>
      </c>
      <c r="AB352" s="6" t="str">
        <v>Internet Services &amp; Software;Primary Business not Hi-Tech;Telecommunications Equipment;Computer Consulting Services;Programming Services</v>
      </c>
      <c r="AC352" s="8">
        <v>3100</v>
      </c>
      <c r="AD352" s="7">
        <f>=DATE(2007,4,13)</f>
        <v>39184.99949074074</v>
      </c>
      <c r="AL352" s="8">
        <v>3100</v>
      </c>
    </row>
    <row r="353">
      <c r="A353" s="6" t="str">
        <v>38259P</v>
      </c>
      <c r="B353" s="6" t="str">
        <v>United States</v>
      </c>
      <c r="C353" s="6" t="str">
        <v>Google Inc</v>
      </c>
      <c r="D353" s="6" t="str">
        <v>Alphabet Inc</v>
      </c>
      <c r="F353" s="6" t="str">
        <v>United States</v>
      </c>
      <c r="G353" s="6" t="str">
        <v>Tonic Systems Inc</v>
      </c>
      <c r="H353" s="6" t="str">
        <v>Business Services</v>
      </c>
      <c r="I353" s="6" t="str">
        <v>89037P</v>
      </c>
      <c r="J353" s="6" t="str">
        <v>Tonic Systems Inc</v>
      </c>
      <c r="K353" s="6" t="str">
        <v>Tonic Systems Inc</v>
      </c>
      <c r="L353" s="7">
        <f>=DATE(2007,4,18)</f>
        <v>39189.99949074074</v>
      </c>
      <c r="M353" s="7">
        <f>=DATE(2007,4,18)</f>
        <v>39189.99949074074</v>
      </c>
      <c r="W353" s="6" t="str">
        <v>Programming Services;Internet Services &amp; Software</v>
      </c>
      <c r="X353" s="6" t="str">
        <v>Data Processing Services;Programming Services</v>
      </c>
      <c r="Y353" s="6" t="str">
        <v>Programming Services;Data Processing Services</v>
      </c>
      <c r="Z353" s="6" t="str">
        <v>Data Processing Services;Programming Services</v>
      </c>
      <c r="AA353" s="6" t="str">
        <v>Programming Services;Internet Services &amp; Software;Telecommunications Equipment;Computer Consulting Services;Primary Business not Hi-Tech</v>
      </c>
      <c r="AB353" s="6" t="str">
        <v>Programming Services;Computer Consulting Services;Telecommunications Equipment;Internet Services &amp; Software;Primary Business not Hi-Tech</v>
      </c>
    </row>
    <row r="354">
      <c r="A354" s="6" t="str">
        <v>594918</v>
      </c>
      <c r="B354" s="6" t="str">
        <v>United States</v>
      </c>
      <c r="C354" s="6" t="str">
        <v>Microsoft Corp</v>
      </c>
      <c r="D354" s="6" t="str">
        <v>Microsoft Corp</v>
      </c>
      <c r="F354" s="6" t="str">
        <v>France</v>
      </c>
      <c r="G354" s="6" t="str">
        <v>ScreenTonic SA</v>
      </c>
      <c r="H354" s="6" t="str">
        <v>Advertising Services</v>
      </c>
      <c r="I354" s="6" t="str">
        <v>81094H</v>
      </c>
      <c r="J354" s="6" t="str">
        <v>ScreenTonic SA</v>
      </c>
      <c r="K354" s="6" t="str">
        <v>ScreenTonic SA</v>
      </c>
      <c r="L354" s="7">
        <f>=DATE(2007,5,3)</f>
        <v>39204.99949074074</v>
      </c>
      <c r="M354" s="7">
        <f>=DATE(2007,5,3)</f>
        <v>39204.99949074074</v>
      </c>
      <c r="R354" s="8">
        <v>0.073809667856495</v>
      </c>
      <c r="S354" s="8">
        <v>3.55496400266199</v>
      </c>
      <c r="W354" s="6" t="str">
        <v>Computer Consulting Services;Internet Services &amp; Software;Monitors/Terminals;Operating Systems;Other Peripherals;Applications Software(Business</v>
      </c>
      <c r="X354" s="6" t="str">
        <v>Communication/Network Software;Primary Business not Hi-Tech</v>
      </c>
      <c r="Y354" s="6" t="str">
        <v>Primary Business not Hi-Tech;Communication/Network Software</v>
      </c>
      <c r="Z354" s="6" t="str">
        <v>Communication/Network Software;Primary Business not Hi-Tech</v>
      </c>
      <c r="AA354" s="6" t="str">
        <v>Applications Software(Business;Internet Services &amp; Software;Other Peripherals;Computer Consulting Services;Monitors/Terminals;Operating Systems</v>
      </c>
      <c r="AB354" s="6" t="str">
        <v>Other Peripherals;Monitors/Terminals;Computer Consulting Services;Applications Software(Business;Internet Services &amp; Software;Operating Systems</v>
      </c>
    </row>
    <row r="355">
      <c r="A355" s="6" t="str">
        <v>594918</v>
      </c>
      <c r="B355" s="6" t="str">
        <v>United States</v>
      </c>
      <c r="C355" s="6" t="str">
        <v>Microsoft Corp</v>
      </c>
      <c r="D355" s="6" t="str">
        <v>Microsoft Corp</v>
      </c>
      <c r="F355" s="6" t="str">
        <v>United States</v>
      </c>
      <c r="G355" s="6" t="str">
        <v>Yahoo! Inc</v>
      </c>
      <c r="H355" s="6" t="str">
        <v>Business Services</v>
      </c>
      <c r="I355" s="6" t="str">
        <v>984332</v>
      </c>
      <c r="J355" s="6" t="str">
        <v>Yahoo! Inc</v>
      </c>
      <c r="K355" s="6" t="str">
        <v>Yahoo! Inc</v>
      </c>
      <c r="L355" s="7">
        <f>=DATE(2007,5,4)</f>
        <v>39205.99949074074</v>
      </c>
      <c r="R355" s="8">
        <v>733.956</v>
      </c>
      <c r="S355" s="8">
        <v>6530.474</v>
      </c>
      <c r="T355" s="8">
        <v>-1386.367</v>
      </c>
      <c r="U355" s="8">
        <v>-136.785</v>
      </c>
      <c r="V355" s="8">
        <v>1421.395</v>
      </c>
      <c r="W355" s="6" t="str">
        <v>Applications Software(Business;Monitors/Terminals;Operating Systems;Internet Services &amp; Software;Computer Consulting Services;Other Peripherals</v>
      </c>
      <c r="X355" s="6" t="str">
        <v>Internet Services &amp; Software</v>
      </c>
      <c r="Y355" s="6" t="str">
        <v>Internet Services &amp; Software</v>
      </c>
      <c r="Z355" s="6" t="str">
        <v>Internet Services &amp; Software</v>
      </c>
      <c r="AA355" s="6" t="str">
        <v>Monitors/Terminals;Computer Consulting Services;Applications Software(Business;Other Peripherals;Operating Systems;Internet Services &amp; Software</v>
      </c>
      <c r="AB355" s="6" t="str">
        <v>Other Peripherals;Monitors/Terminals;Operating Systems;Computer Consulting Services;Applications Software(Business;Internet Services &amp; Software</v>
      </c>
    </row>
    <row r="356">
      <c r="A356" s="6" t="str">
        <v>023135</v>
      </c>
      <c r="B356" s="6" t="str">
        <v>United States</v>
      </c>
      <c r="C356" s="6" t="str">
        <v>Amazon.com Inc</v>
      </c>
      <c r="D356" s="6" t="str">
        <v>Amazon.com Inc</v>
      </c>
      <c r="F356" s="6" t="str">
        <v>United Kingdom</v>
      </c>
      <c r="G356" s="6" t="str">
        <v>Dpreview.com</v>
      </c>
      <c r="H356" s="6" t="str">
        <v>Business Services</v>
      </c>
      <c r="I356" s="6" t="str">
        <v>23679C</v>
      </c>
      <c r="J356" s="6" t="str">
        <v>Askey.Net Consulting Ltd</v>
      </c>
      <c r="K356" s="6" t="str">
        <v>Askey.Net Consulting Ltd</v>
      </c>
      <c r="L356" s="7">
        <f>=DATE(2007,5,14)</f>
        <v>39215.99949074074</v>
      </c>
      <c r="M356" s="7">
        <f>=DATE(2007,5,14)</f>
        <v>39215.99949074074</v>
      </c>
      <c r="W356" s="6" t="str">
        <v>Primary Business not Hi-Tech</v>
      </c>
      <c r="X356" s="6" t="str">
        <v>Networking Systems (LAN,WAN);Internet Services &amp; Software</v>
      </c>
      <c r="Y356" s="6" t="str">
        <v>Primary Business not Hi-Tech</v>
      </c>
      <c r="Z356" s="6" t="str">
        <v>Primary Business not Hi-Tech</v>
      </c>
      <c r="AA356" s="6" t="str">
        <v>Primary Business not Hi-Tech</v>
      </c>
      <c r="AB356" s="6" t="str">
        <v>Primary Business not Hi-Tech</v>
      </c>
    </row>
    <row r="357">
      <c r="A357" s="6" t="str">
        <v>67020Y</v>
      </c>
      <c r="B357" s="6" t="str">
        <v>United States</v>
      </c>
      <c r="C357" s="6" t="str">
        <v>Nuance Communications Inc</v>
      </c>
      <c r="D357" s="6" t="str">
        <v>Nuance Communications Inc</v>
      </c>
      <c r="F357" s="6" t="str">
        <v>United States</v>
      </c>
      <c r="G357" s="6" t="str">
        <v>VoiceSignal Technologies Inc</v>
      </c>
      <c r="H357" s="6" t="str">
        <v>Prepackaged Software</v>
      </c>
      <c r="I357" s="6" t="str">
        <v>92771R</v>
      </c>
      <c r="J357" s="6" t="str">
        <v>VoiceSignal Technologies Inc</v>
      </c>
      <c r="K357" s="6" t="str">
        <v>VoiceSignal Technologies Inc</v>
      </c>
      <c r="L357" s="7">
        <f>=DATE(2007,5,15)</f>
        <v>39216.99949074074</v>
      </c>
      <c r="M357" s="7">
        <f>=DATE(2007,8,27)</f>
        <v>39320.99949074074</v>
      </c>
      <c r="N357" s="8">
        <v>316.81</v>
      </c>
      <c r="O357" s="8">
        <v>292.624</v>
      </c>
      <c r="W357" s="6" t="str">
        <v>Computer Consulting Services;Programming Services;Networking Systems (LAN,WAN);Database Software/Programming;Utilities/File Mgmt Software;Primary Business not Hi-Tech;Other Software (inq. Games);Applications Software(Home);Desktop Publishing;Internet Services &amp; Software;Applications Software(Business;Communication/Network Software;Other Computer Related Svcs</v>
      </c>
      <c r="X357" s="6" t="str">
        <v>Communication/Network Software;Cellular Communications</v>
      </c>
      <c r="Y357" s="6" t="str">
        <v>Cellular Communications;Communication/Network Software</v>
      </c>
      <c r="Z357" s="6" t="str">
        <v>Communication/Network Software;Cellular Communications</v>
      </c>
      <c r="AA357" s="6" t="str">
        <v>Internet Services &amp; Software;Primary Business not Hi-Tech;Programming Services;Utilities/File Mgmt Software;Other Computer Related Svcs;Database Software/Programming;Computer Consulting Services;Applications Software(Home);Networking Systems (LAN,WAN);Communication/Network Software;Desktop Publishing;Other Software (inq. Games);Applications Software(Business</v>
      </c>
      <c r="AB357" s="6" t="str">
        <v>Programming Services;Networking Systems (LAN,WAN);Primary Business not Hi-Tech;Applications Software(Home);Database Software/Programming;Desktop Publishing;Other Computer Related Svcs;Applications Software(Business;Utilities/File Mgmt Software;Communication/Network Software;Internet Services &amp; Software;Other Software (inq. Games);Computer Consulting Services</v>
      </c>
      <c r="AC357" s="8">
        <v>292.624</v>
      </c>
      <c r="AD357" s="7">
        <f>=DATE(2007,5,15)</f>
        <v>39216.99949074074</v>
      </c>
      <c r="AL357" s="8">
        <v>292.624</v>
      </c>
    </row>
    <row r="358">
      <c r="A358" s="6" t="str">
        <v>594918</v>
      </c>
      <c r="B358" s="6" t="str">
        <v>United States</v>
      </c>
      <c r="C358" s="6" t="str">
        <v>Microsoft Corp</v>
      </c>
      <c r="D358" s="6" t="str">
        <v>Microsoft Corp</v>
      </c>
      <c r="F358" s="6" t="str">
        <v>United States</v>
      </c>
      <c r="G358" s="6" t="str">
        <v>aQuantive Inc</v>
      </c>
      <c r="H358" s="6" t="str">
        <v>Advertising Services</v>
      </c>
      <c r="I358" s="6" t="str">
        <v>03839G</v>
      </c>
      <c r="J358" s="6" t="str">
        <v>aQuantive Inc</v>
      </c>
      <c r="K358" s="6" t="str">
        <v>aQuantive Inc</v>
      </c>
      <c r="L358" s="7">
        <f>=DATE(2007,5,18)</f>
        <v>39219.99949074074</v>
      </c>
      <c r="M358" s="7">
        <f>=DATE(2007,8,13)</f>
        <v>39306.99949074074</v>
      </c>
      <c r="N358" s="8">
        <v>6333.117</v>
      </c>
      <c r="O358" s="8">
        <v>6333.117</v>
      </c>
      <c r="P358" s="8" t="str">
        <v>6,099.43</v>
      </c>
      <c r="R358" s="8">
        <v>60.581</v>
      </c>
      <c r="S358" s="8">
        <v>492.647</v>
      </c>
      <c r="T358" s="8">
        <v>56.689</v>
      </c>
      <c r="U358" s="8">
        <v>-284.788</v>
      </c>
      <c r="V358" s="8">
        <v>123.634</v>
      </c>
      <c r="W358" s="6" t="str">
        <v>Applications Software(Business;Internet Services &amp; Software;Operating Systems;Other Peripherals;Computer Consulting Services;Monitors/Terminals</v>
      </c>
      <c r="X358" s="6" t="str">
        <v>Internet Services &amp; Software</v>
      </c>
      <c r="Y358" s="6" t="str">
        <v>Internet Services &amp; Software</v>
      </c>
      <c r="Z358" s="6" t="str">
        <v>Internet Services &amp; Software</v>
      </c>
      <c r="AA358" s="6" t="str">
        <v>Other Peripherals;Computer Consulting Services;Internet Services &amp; Software;Applications Software(Business;Operating Systems;Monitors/Terminals</v>
      </c>
      <c r="AB358" s="6" t="str">
        <v>Operating Systems;Monitors/Terminals;Internet Services &amp; Software;Computer Consulting Services;Applications Software(Business;Other Peripherals</v>
      </c>
      <c r="AC358" s="8">
        <v>6333.117</v>
      </c>
      <c r="AD358" s="7">
        <f>=DATE(2007,5,18)</f>
        <v>39219.99949074074</v>
      </c>
      <c r="AE358" s="8">
        <v>5249.664812</v>
      </c>
      <c r="AF358" s="8" t="str">
        <v>6,116.41</v>
      </c>
      <c r="AG358" s="8" t="str">
        <v>6,099.43</v>
      </c>
      <c r="AH358" s="8" t="str">
        <v>6,316.14</v>
      </c>
      <c r="AI358" s="8" t="str">
        <v>6,333.12</v>
      </c>
      <c r="AL358" s="8">
        <v>6333.117</v>
      </c>
    </row>
    <row r="359">
      <c r="A359" s="6" t="str">
        <v>38259P</v>
      </c>
      <c r="B359" s="6" t="str">
        <v>United States</v>
      </c>
      <c r="C359" s="6" t="str">
        <v>Google Inc</v>
      </c>
      <c r="D359" s="6" t="str">
        <v>Alphabet Inc</v>
      </c>
      <c r="F359" s="6" t="str">
        <v>United States</v>
      </c>
      <c r="G359" s="6" t="str">
        <v>GreenBorder Technologies Inc</v>
      </c>
      <c r="H359" s="6" t="str">
        <v>Business Services</v>
      </c>
      <c r="I359" s="6" t="str">
        <v>39364Z</v>
      </c>
      <c r="J359" s="6" t="str">
        <v>GreenBorder Technologies Inc</v>
      </c>
      <c r="K359" s="6" t="str">
        <v>GreenBorder Technologies Inc</v>
      </c>
      <c r="L359" s="7">
        <f>=DATE(2007,5,30)</f>
        <v>39231.99949074074</v>
      </c>
      <c r="M359" s="7">
        <f>=DATE(2007,5,30)</f>
        <v>39231.99949074074</v>
      </c>
      <c r="W359" s="6" t="str">
        <v>Internet Services &amp; Software;Programming Services</v>
      </c>
      <c r="X359" s="6" t="str">
        <v>Computer Consulting Services;Data Processing Services;Other Computer Related Svcs;Other Software (inq. Games)</v>
      </c>
      <c r="Y359" s="6" t="str">
        <v>Other Software (inq. Games);Data Processing Services;Computer Consulting Services;Other Computer Related Svcs</v>
      </c>
      <c r="Z359" s="6" t="str">
        <v>Other Software (inq. Games);Computer Consulting Services;Data Processing Services;Other Computer Related Svcs</v>
      </c>
      <c r="AA359" s="6" t="str">
        <v>Programming Services;Computer Consulting Services;Internet Services &amp; Software;Primary Business not Hi-Tech;Telecommunications Equipment</v>
      </c>
      <c r="AB359" s="6" t="str">
        <v>Internet Services &amp; Software;Computer Consulting Services;Programming Services;Telecommunications Equipment;Primary Business not Hi-Tech</v>
      </c>
    </row>
    <row r="360">
      <c r="A360" s="6" t="str">
        <v>38259P</v>
      </c>
      <c r="B360" s="6" t="str">
        <v>United States</v>
      </c>
      <c r="C360" s="6" t="str">
        <v>Google Inc</v>
      </c>
      <c r="D360" s="6" t="str">
        <v>Alphabet Inc</v>
      </c>
      <c r="F360" s="6" t="str">
        <v>Spain</v>
      </c>
      <c r="G360" s="6" t="str">
        <v>Panoramio</v>
      </c>
      <c r="H360" s="6" t="str">
        <v>Business Services</v>
      </c>
      <c r="I360" s="6" t="str">
        <v>69969K</v>
      </c>
      <c r="J360" s="6" t="str">
        <v>Panoramio</v>
      </c>
      <c r="K360" s="6" t="str">
        <v>Panoramio</v>
      </c>
      <c r="L360" s="7">
        <f>=DATE(2007,6,1)</f>
        <v>39233.99949074074</v>
      </c>
      <c r="N360" s="8">
        <v>6.99801465051003</v>
      </c>
      <c r="O360" s="8">
        <v>6.99801465051003</v>
      </c>
      <c r="W360" s="6" t="str">
        <v>Programming Services;Internet Services &amp; Software</v>
      </c>
      <c r="X360" s="6" t="str">
        <v>Communication/Network Software;Internet Services &amp; Software</v>
      </c>
      <c r="Y360" s="6" t="str">
        <v>Internet Services &amp; Software;Communication/Network Software</v>
      </c>
      <c r="Z360" s="6" t="str">
        <v>Internet Services &amp; Software;Communication/Network Software</v>
      </c>
      <c r="AA360" s="6" t="str">
        <v>Primary Business not Hi-Tech;Internet Services &amp; Software;Programming Services;Telecommunications Equipment;Computer Consulting Services</v>
      </c>
      <c r="AB360" s="6" t="str">
        <v>Primary Business not Hi-Tech;Telecommunications Equipment;Programming Services;Computer Consulting Services;Internet Services &amp; Software</v>
      </c>
      <c r="AC360" s="8">
        <v>6.99801465051003</v>
      </c>
      <c r="AD360" s="7">
        <f>=DATE(2007,7,30)</f>
        <v>39292.99949074074</v>
      </c>
      <c r="AL360" s="8">
        <v>6.99801465051003</v>
      </c>
    </row>
    <row r="361">
      <c r="A361" s="6" t="str">
        <v>38259P</v>
      </c>
      <c r="B361" s="6" t="str">
        <v>United States</v>
      </c>
      <c r="C361" s="6" t="str">
        <v>Google Inc</v>
      </c>
      <c r="D361" s="6" t="str">
        <v>Alphabet Inc</v>
      </c>
      <c r="F361" s="6" t="str">
        <v>United States</v>
      </c>
      <c r="G361" s="6" t="str">
        <v>FeedBurner Inc</v>
      </c>
      <c r="H361" s="6" t="str">
        <v>Business Services</v>
      </c>
      <c r="I361" s="6" t="str">
        <v>31455P</v>
      </c>
      <c r="J361" s="6" t="str">
        <v>FeedBurner Inc</v>
      </c>
      <c r="K361" s="6" t="str">
        <v>FeedBurner Inc</v>
      </c>
      <c r="L361" s="7">
        <f>=DATE(2007,6,2)</f>
        <v>39234.99949074074</v>
      </c>
      <c r="M361" s="7">
        <f>=DATE(2007,6,2)</f>
        <v>39234.99949074074</v>
      </c>
      <c r="W361" s="6" t="str">
        <v>Internet Services &amp; Software;Programming Services</v>
      </c>
      <c r="X361" s="6" t="str">
        <v>Computer Consulting Services;Other Software (inq. Games);Other Computer Related Svcs;Data Processing Services</v>
      </c>
      <c r="Y361" s="6" t="str">
        <v>Data Processing Services;Other Computer Related Svcs;Computer Consulting Services;Other Software (inq. Games)</v>
      </c>
      <c r="Z361" s="6" t="str">
        <v>Other Software (inq. Games);Data Processing Services;Other Computer Related Svcs;Computer Consulting Services</v>
      </c>
      <c r="AA361" s="6" t="str">
        <v>Programming Services;Telecommunications Equipment;Primary Business not Hi-Tech;Computer Consulting Services;Internet Services &amp; Software</v>
      </c>
      <c r="AB361" s="6" t="str">
        <v>Internet Services &amp; Software;Telecommunications Equipment;Programming Services;Computer Consulting Services;Primary Business not Hi-Tech</v>
      </c>
    </row>
    <row r="362">
      <c r="A362" s="6" t="str">
        <v>594918</v>
      </c>
      <c r="B362" s="6" t="str">
        <v>United States</v>
      </c>
      <c r="C362" s="6" t="str">
        <v>Microsoft Corp</v>
      </c>
      <c r="D362" s="6" t="str">
        <v>Microsoft Corp</v>
      </c>
      <c r="F362" s="6" t="str">
        <v>United States</v>
      </c>
      <c r="G362" s="6" t="str">
        <v>Engyro Corp</v>
      </c>
      <c r="H362" s="6" t="str">
        <v>Business Services</v>
      </c>
      <c r="I362" s="6" t="str">
        <v>27071T</v>
      </c>
      <c r="J362" s="6" t="str">
        <v>Engyro Corp</v>
      </c>
      <c r="K362" s="6" t="str">
        <v>Engyro Corp</v>
      </c>
      <c r="L362" s="7">
        <f>=DATE(2007,6,4)</f>
        <v>39236.99949074074</v>
      </c>
      <c r="M362" s="7">
        <f>=DATE(2007,6,4)</f>
        <v>39236.99949074074</v>
      </c>
      <c r="W362" s="6" t="str">
        <v>Internet Services &amp; Software;Monitors/Terminals;Operating Systems;Other Peripherals;Applications Software(Business;Computer Consulting Services</v>
      </c>
      <c r="X362" s="6" t="str">
        <v>Other Computer Related Svcs;Computer Consulting Services;Data Processing Services;Other Software (inq. Games)</v>
      </c>
      <c r="Y362" s="6" t="str">
        <v>Computer Consulting Services;Data Processing Services;Other Computer Related Svcs;Other Software (inq. Games)</v>
      </c>
      <c r="Z362" s="6" t="str">
        <v>Other Software (inq. Games);Other Computer Related Svcs;Computer Consulting Services;Data Processing Services</v>
      </c>
      <c r="AA362" s="6" t="str">
        <v>Internet Services &amp; Software;Operating Systems;Monitors/Terminals;Computer Consulting Services;Other Peripherals;Applications Software(Business</v>
      </c>
      <c r="AB362" s="6" t="str">
        <v>Computer Consulting Services;Applications Software(Business;Other Peripherals;Internet Services &amp; Software;Monitors/Terminals;Operating Systems</v>
      </c>
    </row>
    <row r="363">
      <c r="A363" s="6" t="str">
        <v>38259P</v>
      </c>
      <c r="B363" s="6" t="str">
        <v>United States</v>
      </c>
      <c r="C363" s="6" t="str">
        <v>Google Inc</v>
      </c>
      <c r="D363" s="6" t="str">
        <v>Alphabet Inc</v>
      </c>
      <c r="F363" s="6" t="str">
        <v>United States</v>
      </c>
      <c r="G363" s="6" t="str">
        <v>PeakStream</v>
      </c>
      <c r="H363" s="6" t="str">
        <v>Prepackaged Software</v>
      </c>
      <c r="I363" s="6" t="str">
        <v>70492N</v>
      </c>
      <c r="J363" s="6" t="str">
        <v>PeakStream</v>
      </c>
      <c r="K363" s="6" t="str">
        <v>PeakStream</v>
      </c>
      <c r="L363" s="7">
        <f>=DATE(2007,6,6)</f>
        <v>39238.99949074074</v>
      </c>
      <c r="M363" s="7">
        <f>=DATE(2007,6,6)</f>
        <v>39238.99949074074</v>
      </c>
      <c r="W363" s="6" t="str">
        <v>Programming Services;Internet Services &amp; Software</v>
      </c>
      <c r="X363" s="6" t="str">
        <v>Other Software (inq. Games)</v>
      </c>
      <c r="Y363" s="6" t="str">
        <v>Other Software (inq. Games)</v>
      </c>
      <c r="Z363" s="6" t="str">
        <v>Other Software (inq. Games)</v>
      </c>
      <c r="AA363" s="6" t="str">
        <v>Primary Business not Hi-Tech;Telecommunications Equipment;Computer Consulting Services;Programming Services;Internet Services &amp; Software</v>
      </c>
      <c r="AB363" s="6" t="str">
        <v>Internet Services &amp; Software;Primary Business not Hi-Tech;Telecommunications Equipment;Computer Consulting Services;Programming Services</v>
      </c>
    </row>
    <row r="364">
      <c r="A364" s="6" t="str">
        <v>594918</v>
      </c>
      <c r="B364" s="6" t="str">
        <v>United States</v>
      </c>
      <c r="C364" s="6" t="str">
        <v>Microsoft Corp</v>
      </c>
      <c r="D364" s="6" t="str">
        <v>Microsoft Corp</v>
      </c>
      <c r="F364" s="6" t="str">
        <v>United States</v>
      </c>
      <c r="G364" s="6" t="str">
        <v>Stratature Inc</v>
      </c>
      <c r="H364" s="6" t="str">
        <v>Business Services</v>
      </c>
      <c r="I364" s="6" t="str">
        <v>86269W</v>
      </c>
      <c r="J364" s="6" t="str">
        <v>Stratature Inc</v>
      </c>
      <c r="K364" s="6" t="str">
        <v>Stratature Inc</v>
      </c>
      <c r="L364" s="7">
        <f>=DATE(2007,6,7)</f>
        <v>39239.99949074074</v>
      </c>
      <c r="M364" s="7">
        <f>=DATE(2007,6,7)</f>
        <v>39239.99949074074</v>
      </c>
      <c r="W364" s="6" t="str">
        <v>Other Peripherals;Monitors/Terminals;Applications Software(Business;Internet Services &amp; Software;Computer Consulting Services;Operating Systems</v>
      </c>
      <c r="X364" s="6" t="str">
        <v>Programming Services;Other Computer Related Svcs;Applications Software(Business;Computer Consulting Services</v>
      </c>
      <c r="Y364" s="6" t="str">
        <v>Other Computer Related Svcs;Computer Consulting Services;Applications Software(Business;Programming Services</v>
      </c>
      <c r="Z364" s="6" t="str">
        <v>Programming Services;Other Computer Related Svcs;Applications Software(Business;Computer Consulting Services</v>
      </c>
      <c r="AA364" s="6" t="str">
        <v>Internet Services &amp; Software;Operating Systems;Computer Consulting Services;Applications Software(Business;Monitors/Terminals;Other Peripherals</v>
      </c>
      <c r="AB364" s="6" t="str">
        <v>Computer Consulting Services;Monitors/Terminals;Operating Systems;Internet Services &amp; Software;Other Peripherals;Applications Software(Business</v>
      </c>
    </row>
    <row r="365">
      <c r="A365" s="6" t="str">
        <v>38259P</v>
      </c>
      <c r="B365" s="6" t="str">
        <v>United States</v>
      </c>
      <c r="C365" s="6" t="str">
        <v>Google Inc</v>
      </c>
      <c r="D365" s="6" t="str">
        <v>Alphabet Inc</v>
      </c>
      <c r="F365" s="6" t="str">
        <v>United States</v>
      </c>
      <c r="G365" s="6" t="str">
        <v>Zenter</v>
      </c>
      <c r="H365" s="6" t="str">
        <v>Prepackaged Software</v>
      </c>
      <c r="I365" s="6" t="str">
        <v>99135J</v>
      </c>
      <c r="J365" s="6" t="str">
        <v>Zenter</v>
      </c>
      <c r="K365" s="6" t="str">
        <v>Zenter</v>
      </c>
      <c r="L365" s="7">
        <f>=DATE(2007,6,19)</f>
        <v>39251.99949074074</v>
      </c>
      <c r="M365" s="7">
        <f>=DATE(2007,6,19)</f>
        <v>39251.99949074074</v>
      </c>
      <c r="W365" s="6" t="str">
        <v>Programming Services;Internet Services &amp; Software</v>
      </c>
      <c r="X365" s="6" t="str">
        <v>Internet Services &amp; Software;Communication/Network Software</v>
      </c>
      <c r="Y365" s="6" t="str">
        <v>Communication/Network Software;Internet Services &amp; Software</v>
      </c>
      <c r="Z365" s="6" t="str">
        <v>Communication/Network Software;Internet Services &amp; Software</v>
      </c>
      <c r="AA365" s="6" t="str">
        <v>Programming Services;Primary Business not Hi-Tech;Internet Services &amp; Software;Computer Consulting Services;Telecommunications Equipment</v>
      </c>
      <c r="AB365" s="6" t="str">
        <v>Internet Services &amp; Software;Primary Business not Hi-Tech;Programming Services;Telecommunications Equipment;Computer Consulting Services</v>
      </c>
    </row>
    <row r="366">
      <c r="A366" s="6" t="str">
        <v>67020Y</v>
      </c>
      <c r="B366" s="6" t="str">
        <v>United States</v>
      </c>
      <c r="C366" s="6" t="str">
        <v>Nuance Communications Inc</v>
      </c>
      <c r="D366" s="6" t="str">
        <v>Nuance Communications Inc</v>
      </c>
      <c r="F366" s="6" t="str">
        <v>United States</v>
      </c>
      <c r="G366" s="6" t="str">
        <v>Tegic Communications Inc</v>
      </c>
      <c r="H366" s="6" t="str">
        <v>Prepackaged Software</v>
      </c>
      <c r="I366" s="6" t="str">
        <v>87893W</v>
      </c>
      <c r="J366" s="6" t="str">
        <v>Time Warner Inc</v>
      </c>
      <c r="K366" s="6" t="str">
        <v>Time Warner Inc</v>
      </c>
      <c r="L366" s="7">
        <f>=DATE(2007,6,21)</f>
        <v>39253.99949074074</v>
      </c>
      <c r="M366" s="7">
        <f>=DATE(2007,8,24)</f>
        <v>39317.99949074074</v>
      </c>
      <c r="N366" s="8">
        <v>265</v>
      </c>
      <c r="O366" s="8">
        <v>265</v>
      </c>
      <c r="W366" s="6" t="str">
        <v>Networking Systems (LAN,WAN);Desktop Publishing;Applications Software(Home);Utilities/File Mgmt Software;Applications Software(Business;Other Computer Related Svcs;Internet Services &amp; Software;Primary Business not Hi-Tech;Computer Consulting Services;Communication/Network Software;Database Software/Programming;Programming Services;Other Software (inq. Games)</v>
      </c>
      <c r="X366" s="6" t="str">
        <v>Microwave Communications;Cellular Communications;Other Telecommunications Equip;Communication/Network Software;Data Commun(Exclude networking;Satellite Communications;Other Software (inq. Games)</v>
      </c>
      <c r="Y366" s="6" t="str">
        <v>Satellite Communications;Communication/Network Software;Internet Services &amp; Software</v>
      </c>
      <c r="Z366" s="6" t="str">
        <v>Internet Services &amp; Software;Communication/Network Software;Satellite Communications</v>
      </c>
      <c r="AA366" s="6" t="str">
        <v>Communication/Network Software;Programming Services;Utilities/File Mgmt Software;Networking Systems (LAN,WAN);Other Software (inq. Games);Applications Software(Business;Desktop Publishing;Primary Business not Hi-Tech;Computer Consulting Services;Database Software/Programming;Other Computer Related Svcs;Internet Services &amp; Software;Applications Software(Home)</v>
      </c>
      <c r="AB366" s="6" t="str">
        <v>Applications Software(Home);Utilities/File Mgmt Software;Desktop Publishing;Applications Software(Business;Other Computer Related Svcs;Database Software/Programming;Primary Business not Hi-Tech;Internet Services &amp; Software;Programming Services;Computer Consulting Services;Other Software (inq. Games);Networking Systems (LAN,WAN);Communication/Network Software</v>
      </c>
      <c r="AC366" s="8">
        <v>265</v>
      </c>
      <c r="AD366" s="7">
        <f>=DATE(2007,6,21)</f>
        <v>39253.99949074074</v>
      </c>
      <c r="AL366" s="8">
        <v>265</v>
      </c>
    </row>
    <row r="367">
      <c r="A367" s="6" t="str">
        <v>594918</v>
      </c>
      <c r="B367" s="6" t="str">
        <v>United States</v>
      </c>
      <c r="C367" s="6" t="str">
        <v>Microsoft Corp</v>
      </c>
      <c r="D367" s="6" t="str">
        <v>Microsoft Corp</v>
      </c>
      <c r="F367" s="6" t="str">
        <v>United States</v>
      </c>
      <c r="G367" s="6" t="str">
        <v>Savvis Inc-Data Centers(2), Santa Clara,California</v>
      </c>
      <c r="H367" s="6" t="str">
        <v>Business Services</v>
      </c>
      <c r="I367" s="6" t="str">
        <v>80542F</v>
      </c>
      <c r="J367" s="6" t="str">
        <v>SAVVIS Inc</v>
      </c>
      <c r="K367" s="6" t="str">
        <v>SAVVIS Inc</v>
      </c>
      <c r="L367" s="7">
        <f>=DATE(2007,6,29)</f>
        <v>39261.99949074074</v>
      </c>
      <c r="M367" s="7">
        <f>=DATE(2007,6,29)</f>
        <v>39261.99949074074</v>
      </c>
      <c r="N367" s="8">
        <v>200</v>
      </c>
      <c r="O367" s="8">
        <v>200</v>
      </c>
      <c r="W367" s="6" t="str">
        <v>Operating Systems;Computer Consulting Services;Other Peripherals;Internet Services &amp; Software;Applications Software(Business;Monitors/Terminals</v>
      </c>
      <c r="X367" s="6" t="str">
        <v>Internet Services &amp; Software;Communication/Network Software</v>
      </c>
      <c r="Y367" s="6" t="str">
        <v>Data Processing Services;Other Software (inq. Games);Computer Consulting Services;Other Computer Related Svcs</v>
      </c>
      <c r="Z367" s="6" t="str">
        <v>Data Processing Services;Other Computer Related Svcs;Computer Consulting Services;Other Software (inq. Games)</v>
      </c>
      <c r="AA367" s="6" t="str">
        <v>Computer Consulting Services;Internet Services &amp; Software;Applications Software(Business;Other Peripherals;Monitors/Terminals;Operating Systems</v>
      </c>
      <c r="AB367" s="6" t="str">
        <v>Other Peripherals;Computer Consulting Services;Internet Services &amp; Software;Operating Systems;Applications Software(Business;Monitors/Terminals</v>
      </c>
      <c r="AC367" s="8">
        <v>200</v>
      </c>
      <c r="AD367" s="7">
        <f>=DATE(2007,6,29)</f>
        <v>39261.99949074074</v>
      </c>
      <c r="AL367" s="8">
        <v>200</v>
      </c>
    </row>
    <row r="368">
      <c r="A368" s="6" t="str">
        <v>38259P</v>
      </c>
      <c r="B368" s="6" t="str">
        <v>United States</v>
      </c>
      <c r="C368" s="6" t="str">
        <v>Google Inc</v>
      </c>
      <c r="D368" s="6" t="str">
        <v>Alphabet Inc</v>
      </c>
      <c r="F368" s="6" t="str">
        <v>United States</v>
      </c>
      <c r="G368" s="6" t="str">
        <v>GrandCentral Communications</v>
      </c>
      <c r="H368" s="6" t="str">
        <v>Prepackaged Software</v>
      </c>
      <c r="I368" s="6" t="str">
        <v>38516Y</v>
      </c>
      <c r="J368" s="6" t="str">
        <v>GrandCentral Communications</v>
      </c>
      <c r="K368" s="6" t="str">
        <v>GrandCentral Communications</v>
      </c>
      <c r="L368" s="7">
        <f>=DATE(2007,7,2)</f>
        <v>39264.99949074074</v>
      </c>
      <c r="M368" s="7">
        <f>=DATE(2007,7,2)</f>
        <v>39264.99949074074</v>
      </c>
      <c r="W368" s="6" t="str">
        <v>Programming Services;Internet Services &amp; Software</v>
      </c>
      <c r="X368" s="6" t="str">
        <v>Internet Services &amp; Software;Communication/Network Software</v>
      </c>
      <c r="Y368" s="6" t="str">
        <v>Communication/Network Software;Internet Services &amp; Software</v>
      </c>
      <c r="Z368" s="6" t="str">
        <v>Communication/Network Software;Internet Services &amp; Software</v>
      </c>
      <c r="AA368" s="6" t="str">
        <v>Computer Consulting Services;Internet Services &amp; Software;Programming Services;Telecommunications Equipment;Primary Business not Hi-Tech</v>
      </c>
      <c r="AB368" s="6" t="str">
        <v>Primary Business not Hi-Tech;Computer Consulting Services;Programming Services;Internet Services &amp; Software;Telecommunications Equipment</v>
      </c>
    </row>
    <row r="369">
      <c r="A369" s="6" t="str">
        <v>38259P</v>
      </c>
      <c r="B369" s="6" t="str">
        <v>United States</v>
      </c>
      <c r="C369" s="6" t="str">
        <v>Google Inc</v>
      </c>
      <c r="D369" s="6" t="str">
        <v>Alphabet Inc</v>
      </c>
      <c r="F369" s="6" t="str">
        <v>United States</v>
      </c>
      <c r="G369" s="6" t="str">
        <v>Postini Inc</v>
      </c>
      <c r="H369" s="6" t="str">
        <v>Prepackaged Software</v>
      </c>
      <c r="I369" s="6" t="str">
        <v>69518L</v>
      </c>
      <c r="J369" s="6" t="str">
        <v>Postini Inc</v>
      </c>
      <c r="K369" s="6" t="str">
        <v>Postini Inc</v>
      </c>
      <c r="L369" s="7">
        <f>=DATE(2007,7,9)</f>
        <v>39271.99949074074</v>
      </c>
      <c r="M369" s="7">
        <f>=DATE(2007,9,13)</f>
        <v>39337.99949074074</v>
      </c>
      <c r="N369" s="8">
        <v>625</v>
      </c>
      <c r="O369" s="8">
        <v>625</v>
      </c>
      <c r="W369" s="6" t="str">
        <v>Internet Services &amp; Software;Programming Services</v>
      </c>
      <c r="X369" s="6" t="str">
        <v>Internet Services &amp; Software</v>
      </c>
      <c r="Y369" s="6" t="str">
        <v>Internet Services &amp; Software</v>
      </c>
      <c r="Z369" s="6" t="str">
        <v>Internet Services &amp; Software</v>
      </c>
      <c r="AA369" s="6" t="str">
        <v>Computer Consulting Services;Programming Services;Primary Business not Hi-Tech;Internet Services &amp; Software;Telecommunications Equipment</v>
      </c>
      <c r="AB369" s="6" t="str">
        <v>Internet Services &amp; Software;Computer Consulting Services;Telecommunications Equipment;Primary Business not Hi-Tech;Programming Services</v>
      </c>
      <c r="AC369" s="8">
        <v>625</v>
      </c>
      <c r="AD369" s="7">
        <f>=DATE(2007,7,9)</f>
        <v>39271.99949074074</v>
      </c>
      <c r="AL369" s="8">
        <v>625</v>
      </c>
    </row>
    <row r="370">
      <c r="A370" s="6" t="str">
        <v>99101J</v>
      </c>
      <c r="B370" s="6" t="str">
        <v>United States</v>
      </c>
      <c r="C370" s="6" t="str">
        <v>Zappos.com Inc</v>
      </c>
      <c r="D370" s="6" t="str">
        <v>Zappos.com Inc</v>
      </c>
      <c r="F370" s="6" t="str">
        <v>United States</v>
      </c>
      <c r="G370" s="6" t="str">
        <v>6pm.com</v>
      </c>
      <c r="H370" s="6" t="str">
        <v>Retail Trade-General Merchandise and Apparel</v>
      </c>
      <c r="I370" s="6" t="str">
        <v>82851L</v>
      </c>
      <c r="J370" s="6" t="str">
        <v>eBags Inc</v>
      </c>
      <c r="K370" s="6" t="str">
        <v>eBags Inc</v>
      </c>
      <c r="L370" s="7">
        <f>=DATE(2007,7,9)</f>
        <v>39271.99949074074</v>
      </c>
      <c r="M370" s="7">
        <f>=DATE(2007,10,9)</f>
        <v>39363.99949074074</v>
      </c>
      <c r="W370" s="6" t="str">
        <v>Internet Services &amp; Software</v>
      </c>
      <c r="X370" s="6" t="str">
        <v>Internet Services &amp; Software</v>
      </c>
      <c r="Y370" s="6" t="str">
        <v>Primary Business not Hi-Tech</v>
      </c>
      <c r="Z370" s="6" t="str">
        <v>Primary Business not Hi-Tech</v>
      </c>
      <c r="AA370" s="6" t="str">
        <v>Internet Services &amp; Software</v>
      </c>
      <c r="AB370" s="6" t="str">
        <v>Internet Services &amp; Software</v>
      </c>
    </row>
    <row r="371">
      <c r="A371" s="6" t="str">
        <v>30303M</v>
      </c>
      <c r="B371" s="6" t="str">
        <v>United States</v>
      </c>
      <c r="C371" s="6" t="str">
        <v>Facebook Inc</v>
      </c>
      <c r="D371" s="6" t="str">
        <v>Facebook Inc</v>
      </c>
      <c r="F371" s="6" t="str">
        <v>United States</v>
      </c>
      <c r="G371" s="6" t="str">
        <v>Parakey Inc</v>
      </c>
      <c r="H371" s="6" t="str">
        <v>Prepackaged Software</v>
      </c>
      <c r="I371" s="6" t="str">
        <v>70090K</v>
      </c>
      <c r="J371" s="6" t="str">
        <v>Parakey Inc</v>
      </c>
      <c r="K371" s="6" t="str">
        <v>Parakey Inc</v>
      </c>
      <c r="L371" s="7">
        <f>=DATE(2007,7,19)</f>
        <v>39281.99949074074</v>
      </c>
      <c r="M371" s="7">
        <f>=DATE(2007,7,19)</f>
        <v>39281.99949074074</v>
      </c>
      <c r="W371" s="6" t="str">
        <v>Internet Services &amp; Software</v>
      </c>
      <c r="X371" s="6" t="str">
        <v>Communication/Network Software;Internet Services &amp; Software</v>
      </c>
      <c r="Y371" s="6" t="str">
        <v>Communication/Network Software;Internet Services &amp; Software</v>
      </c>
      <c r="Z371" s="6" t="str">
        <v>Communication/Network Software;Internet Services &amp; Software</v>
      </c>
      <c r="AA371" s="6" t="str">
        <v>Internet Services &amp; Software</v>
      </c>
      <c r="AB371" s="6" t="str">
        <v>Internet Services &amp; Software</v>
      </c>
    </row>
    <row r="372">
      <c r="A372" s="6" t="str">
        <v>38259P</v>
      </c>
      <c r="B372" s="6" t="str">
        <v>United States</v>
      </c>
      <c r="C372" s="6" t="str">
        <v>Google Inc</v>
      </c>
      <c r="D372" s="6" t="str">
        <v>Alphabet Inc</v>
      </c>
      <c r="F372" s="6" t="str">
        <v>China (Mainland)</v>
      </c>
      <c r="G372" s="6" t="str">
        <v>Baidu.com Inc</v>
      </c>
      <c r="H372" s="6" t="str">
        <v>Business Services</v>
      </c>
      <c r="I372" s="6" t="str">
        <v>056752</v>
      </c>
      <c r="J372" s="6" t="str">
        <v>Baidu.com Inc</v>
      </c>
      <c r="K372" s="6" t="str">
        <v>Baidu.com Inc</v>
      </c>
      <c r="L372" s="7">
        <f>=DATE(2007,8,21)</f>
        <v>39314.99949074074</v>
      </c>
      <c r="R372" s="8">
        <v>45.244</v>
      </c>
      <c r="S372" s="8">
        <v>124.599</v>
      </c>
      <c r="W372" s="6" t="str">
        <v>Internet Services &amp; Software;Programming Services</v>
      </c>
      <c r="X372" s="6" t="str">
        <v>Internet Services &amp; Software</v>
      </c>
      <c r="Y372" s="6" t="str">
        <v>Internet Services &amp; Software</v>
      </c>
      <c r="Z372" s="6" t="str">
        <v>Internet Services &amp; Software</v>
      </c>
      <c r="AA372" s="6" t="str">
        <v>Telecommunications Equipment;Primary Business not Hi-Tech;Internet Services &amp; Software;Programming Services;Computer Consulting Services</v>
      </c>
      <c r="AB372" s="6" t="str">
        <v>Internet Services &amp; Software;Primary Business not Hi-Tech;Programming Services;Telecommunications Equipment;Computer Consulting Services</v>
      </c>
    </row>
    <row r="373">
      <c r="A373" s="6" t="str">
        <v>38259P</v>
      </c>
      <c r="B373" s="6" t="str">
        <v>United States</v>
      </c>
      <c r="C373" s="6" t="str">
        <v>Google Inc</v>
      </c>
      <c r="D373" s="6" t="str">
        <v>Alphabet Inc</v>
      </c>
      <c r="F373" s="6" t="str">
        <v>China (Mainland)</v>
      </c>
      <c r="G373" s="6" t="str">
        <v>Tianya.cn</v>
      </c>
      <c r="H373" s="6" t="str">
        <v>Business Services</v>
      </c>
      <c r="I373" s="6" t="str">
        <v>88704R</v>
      </c>
      <c r="J373" s="6" t="str">
        <v>Tianya.cn</v>
      </c>
      <c r="K373" s="6" t="str">
        <v>Tianya.cn</v>
      </c>
      <c r="L373" s="7">
        <f>=DATE(2007,8,21)</f>
        <v>39314.99949074074</v>
      </c>
      <c r="M373" s="7">
        <f>=DATE(2007,8,21)</f>
        <v>39314.99949074074</v>
      </c>
      <c r="W373" s="6" t="str">
        <v>Programming Services;Internet Services &amp; Software</v>
      </c>
      <c r="X373" s="6" t="str">
        <v>Internet Services &amp; Software</v>
      </c>
      <c r="Y373" s="6" t="str">
        <v>Internet Services &amp; Software</v>
      </c>
      <c r="Z373" s="6" t="str">
        <v>Internet Services &amp; Software</v>
      </c>
      <c r="AA373" s="6" t="str">
        <v>Primary Business not Hi-Tech;Programming Services;Computer Consulting Services;Internet Services &amp; Software;Telecommunications Equipment</v>
      </c>
      <c r="AB373" s="6" t="str">
        <v>Programming Services;Computer Consulting Services;Telecommunications Equipment;Primary Business not Hi-Tech;Internet Services &amp; Software</v>
      </c>
    </row>
    <row r="374">
      <c r="A374" s="6" t="str">
        <v>594918</v>
      </c>
      <c r="B374" s="6" t="str">
        <v>United States</v>
      </c>
      <c r="C374" s="6" t="str">
        <v>Microsoft Corp</v>
      </c>
      <c r="D374" s="6" t="str">
        <v>Microsoft Corp</v>
      </c>
      <c r="F374" s="6" t="str">
        <v>United States</v>
      </c>
      <c r="G374" s="6" t="str">
        <v>Parlano Inc</v>
      </c>
      <c r="H374" s="6" t="str">
        <v>Prepackaged Software</v>
      </c>
      <c r="I374" s="6" t="str">
        <v>70162F</v>
      </c>
      <c r="J374" s="6" t="str">
        <v>Parlano Inc</v>
      </c>
      <c r="K374" s="6" t="str">
        <v>Parlano Inc</v>
      </c>
      <c r="L374" s="7">
        <f>=DATE(2007,8,29)</f>
        <v>39322.99949074074</v>
      </c>
      <c r="M374" s="7">
        <f>=DATE(2007,10,5)</f>
        <v>39359.99949074074</v>
      </c>
      <c r="W374" s="6" t="str">
        <v>Internet Services &amp; Software;Monitors/Terminals;Applications Software(Business;Computer Consulting Services;Other Peripherals;Operating Systems</v>
      </c>
      <c r="X374" s="6" t="str">
        <v>Communication/Network Software</v>
      </c>
      <c r="Y374" s="6" t="str">
        <v>Communication/Network Software</v>
      </c>
      <c r="Z374" s="6" t="str">
        <v>Communication/Network Software</v>
      </c>
      <c r="AA374" s="6" t="str">
        <v>Other Peripherals;Internet Services &amp; Software;Computer Consulting Services;Operating Systems;Applications Software(Business;Monitors/Terminals</v>
      </c>
      <c r="AB374" s="6" t="str">
        <v>Computer Consulting Services;Operating Systems;Applications Software(Business;Monitors/Terminals;Internet Services &amp; Software;Other Peripherals</v>
      </c>
    </row>
    <row r="375">
      <c r="A375" s="6" t="str">
        <v>31708V</v>
      </c>
      <c r="B375" s="6" t="str">
        <v>United States</v>
      </c>
      <c r="C375" s="6" t="str">
        <v>TheFind Inc</v>
      </c>
      <c r="D375" s="6" t="str">
        <v>TheFind Inc</v>
      </c>
      <c r="F375" s="6" t="str">
        <v>United States</v>
      </c>
      <c r="G375" s="6" t="str">
        <v>Glimpse.com</v>
      </c>
      <c r="H375" s="6" t="str">
        <v>Business Services</v>
      </c>
      <c r="I375" s="6" t="str">
        <v>38158V</v>
      </c>
      <c r="J375" s="6" t="str">
        <v>Glimpse.com</v>
      </c>
      <c r="K375" s="6" t="str">
        <v>Glimpse.com</v>
      </c>
      <c r="L375" s="7">
        <f>=DATE(2007,8,30)</f>
        <v>39323.99949074074</v>
      </c>
      <c r="M375" s="7">
        <f>=DATE(2007,8,30)</f>
        <v>39323.99949074074</v>
      </c>
      <c r="W375" s="6" t="str">
        <v>Internet Services &amp; Software</v>
      </c>
      <c r="X375" s="6" t="str">
        <v>Internet Services &amp; Software</v>
      </c>
      <c r="Y375" s="6" t="str">
        <v>Internet Services &amp; Software</v>
      </c>
      <c r="Z375" s="6" t="str">
        <v>Internet Services &amp; Software</v>
      </c>
      <c r="AA375" s="6" t="str">
        <v>Internet Services &amp; Software</v>
      </c>
      <c r="AB375" s="6" t="str">
        <v>Internet Services &amp; Software</v>
      </c>
    </row>
    <row r="376">
      <c r="A376" s="6" t="str">
        <v>594918</v>
      </c>
      <c r="B376" s="6" t="str">
        <v>United States</v>
      </c>
      <c r="C376" s="6" t="str">
        <v>Microsoft Corp</v>
      </c>
      <c r="D376" s="6" t="str">
        <v>Microsoft Corp</v>
      </c>
      <c r="F376" s="6" t="str">
        <v>United States</v>
      </c>
      <c r="G376" s="6" t="str">
        <v>Facebook Inc</v>
      </c>
      <c r="H376" s="6" t="str">
        <v>Business Services</v>
      </c>
      <c r="I376" s="6" t="str">
        <v>30303M</v>
      </c>
      <c r="J376" s="6" t="str">
        <v>Facebook Inc</v>
      </c>
      <c r="K376" s="6" t="str">
        <v>Facebook Inc</v>
      </c>
      <c r="L376" s="7">
        <f>=DATE(2007,9,25)</f>
        <v>39349.99949074074</v>
      </c>
      <c r="W376" s="6" t="str">
        <v>Internet Services &amp; Software;Operating Systems;Applications Software(Business;Computer Consulting Services;Monitors/Terminals;Other Peripherals</v>
      </c>
      <c r="X376" s="6" t="str">
        <v>Internet Services &amp; Software</v>
      </c>
      <c r="Y376" s="6" t="str">
        <v>Internet Services &amp; Software</v>
      </c>
      <c r="Z376" s="6" t="str">
        <v>Internet Services &amp; Software</v>
      </c>
      <c r="AA376" s="6" t="str">
        <v>Applications Software(Business;Operating Systems;Computer Consulting Services;Other Peripherals;Monitors/Terminals;Internet Services &amp; Software</v>
      </c>
      <c r="AB376" s="6" t="str">
        <v>Applications Software(Business;Computer Consulting Services;Monitors/Terminals;Operating Systems;Internet Services &amp; Software;Other Peripherals</v>
      </c>
    </row>
    <row r="377">
      <c r="A377" s="6" t="str">
        <v>38259P</v>
      </c>
      <c r="B377" s="6" t="str">
        <v>United States</v>
      </c>
      <c r="C377" s="6" t="str">
        <v>Google Inc</v>
      </c>
      <c r="D377" s="6" t="str">
        <v>Alphabet Inc</v>
      </c>
      <c r="F377" s="6" t="str">
        <v>United States</v>
      </c>
      <c r="G377" s="6" t="str">
        <v>Zingku-Certain Assets</v>
      </c>
      <c r="H377" s="6" t="str">
        <v>Business Services</v>
      </c>
      <c r="I377" s="6" t="str">
        <v>99146M</v>
      </c>
      <c r="J377" s="6" t="str">
        <v>Zingku</v>
      </c>
      <c r="K377" s="6" t="str">
        <v>Zingku</v>
      </c>
      <c r="L377" s="7">
        <f>=DATE(2007,9,27)</f>
        <v>39351.99949074074</v>
      </c>
      <c r="W377" s="6" t="str">
        <v>Programming Services;Internet Services &amp; Software</v>
      </c>
      <c r="X377" s="6" t="str">
        <v>Internet Services &amp; Software</v>
      </c>
      <c r="Y377" s="6" t="str">
        <v>Internet Services &amp; Software</v>
      </c>
      <c r="Z377" s="6" t="str">
        <v>Internet Services &amp; Software</v>
      </c>
      <c r="AA377" s="6" t="str">
        <v>Programming Services;Telecommunications Equipment;Primary Business not Hi-Tech;Computer Consulting Services;Internet Services &amp; Software</v>
      </c>
      <c r="AB377" s="6" t="str">
        <v>Computer Consulting Services;Programming Services;Internet Services &amp; Software;Telecommunications Equipment;Primary Business not Hi-Tech</v>
      </c>
    </row>
    <row r="378">
      <c r="A378" s="6" t="str">
        <v>594918</v>
      </c>
      <c r="B378" s="6" t="str">
        <v>United States</v>
      </c>
      <c r="C378" s="6" t="str">
        <v>Microsoft Corp</v>
      </c>
      <c r="D378" s="6" t="str">
        <v>Microsoft Corp</v>
      </c>
      <c r="F378" s="6" t="str">
        <v>United States</v>
      </c>
      <c r="G378" s="6" t="str">
        <v>Jellyfish.com Inc</v>
      </c>
      <c r="H378" s="6" t="str">
        <v>Miscellaneous Retail Trade</v>
      </c>
      <c r="I378" s="6" t="str">
        <v>47584V</v>
      </c>
      <c r="J378" s="6" t="str">
        <v>Jellyfish.com Inc</v>
      </c>
      <c r="K378" s="6" t="str">
        <v>Jellyfish.com Inc</v>
      </c>
      <c r="L378" s="7">
        <f>=DATE(2007,10,2)</f>
        <v>39356.99949074074</v>
      </c>
      <c r="M378" s="7">
        <f>=DATE(2007,10,2)</f>
        <v>39356.99949074074</v>
      </c>
      <c r="W378" s="6" t="str">
        <v>Internet Services &amp; Software;Other Peripherals;Computer Consulting Services;Applications Software(Business;Monitors/Terminals;Operating Systems</v>
      </c>
      <c r="X378" s="6" t="str">
        <v>Internet Services &amp; Software</v>
      </c>
      <c r="Y378" s="6" t="str">
        <v>Internet Services &amp; Software</v>
      </c>
      <c r="Z378" s="6" t="str">
        <v>Internet Services &amp; Software</v>
      </c>
      <c r="AA378" s="6" t="str">
        <v>Applications Software(Business;Other Peripherals;Operating Systems;Monitors/Terminals;Internet Services &amp; Software;Computer Consulting Services</v>
      </c>
      <c r="AB378" s="6" t="str">
        <v>Computer Consulting Services;Other Peripherals;Internet Services &amp; Software;Applications Software(Business;Monitors/Terminals;Operating Systems</v>
      </c>
    </row>
    <row r="379">
      <c r="A379" s="6" t="str">
        <v>55383E</v>
      </c>
      <c r="B379" s="6" t="str">
        <v>United States</v>
      </c>
      <c r="C379" s="6" t="str">
        <v>MSNBC</v>
      </c>
      <c r="D379" s="6" t="str">
        <v>General Electric Co</v>
      </c>
      <c r="F379" s="6" t="str">
        <v>United States</v>
      </c>
      <c r="G379" s="6" t="str">
        <v>Newsvine Inc</v>
      </c>
      <c r="H379" s="6" t="str">
        <v>Business Services</v>
      </c>
      <c r="I379" s="6" t="str">
        <v>65263Z</v>
      </c>
      <c r="J379" s="6" t="str">
        <v>Newsvine Inc</v>
      </c>
      <c r="K379" s="6" t="str">
        <v>Newsvine Inc</v>
      </c>
      <c r="L379" s="7">
        <f>=DATE(2007,10,5)</f>
        <v>39359.99949074074</v>
      </c>
      <c r="M379" s="7">
        <f>=DATE(2007,10,5)</f>
        <v>39359.99949074074</v>
      </c>
      <c r="W379" s="6" t="str">
        <v>Internet Services &amp; Software</v>
      </c>
      <c r="X379" s="6" t="str">
        <v>Internet Services &amp; Software</v>
      </c>
      <c r="Y379" s="6" t="str">
        <v>Internet Services &amp; Software</v>
      </c>
      <c r="Z379" s="6" t="str">
        <v>Internet Services &amp; Software</v>
      </c>
      <c r="AA379" s="6" t="str">
        <v>Primary Business not Hi-Tech</v>
      </c>
      <c r="AB379" s="6" t="str">
        <v>Other Electronics;Other High Technology Industry</v>
      </c>
    </row>
    <row r="380">
      <c r="A380" s="6" t="str">
        <v>38259P</v>
      </c>
      <c r="B380" s="6" t="str">
        <v>United States</v>
      </c>
      <c r="C380" s="6" t="str">
        <v>Google Inc</v>
      </c>
      <c r="D380" s="6" t="str">
        <v>Alphabet Inc</v>
      </c>
      <c r="F380" s="6" t="str">
        <v>Finland</v>
      </c>
      <c r="G380" s="6" t="str">
        <v>Jaiku Ltd</v>
      </c>
      <c r="H380" s="6" t="str">
        <v>Business Services</v>
      </c>
      <c r="I380" s="6" t="str">
        <v>47040H</v>
      </c>
      <c r="J380" s="6" t="str">
        <v>Jaiku Ltd</v>
      </c>
      <c r="K380" s="6" t="str">
        <v>Jaiku Ltd</v>
      </c>
      <c r="L380" s="7">
        <f>=DATE(2007,10,10)</f>
        <v>39364.99949074074</v>
      </c>
      <c r="M380" s="7">
        <f>=DATE(2007,10,10)</f>
        <v>39364.99949074074</v>
      </c>
      <c r="W380" s="6" t="str">
        <v>Internet Services &amp; Software;Programming Services</v>
      </c>
      <c r="X380" s="6" t="str">
        <v>Internet Services &amp; Software</v>
      </c>
      <c r="Y380" s="6" t="str">
        <v>Internet Services &amp; Software</v>
      </c>
      <c r="Z380" s="6" t="str">
        <v>Internet Services &amp; Software</v>
      </c>
      <c r="AA380" s="6" t="str">
        <v>Computer Consulting Services;Primary Business not Hi-Tech;Telecommunications Equipment;Programming Services;Internet Services &amp; Software</v>
      </c>
      <c r="AB380" s="6" t="str">
        <v>Primary Business not Hi-Tech;Internet Services &amp; Software;Telecommunications Equipment;Computer Consulting Services;Programming Services</v>
      </c>
    </row>
    <row r="381">
      <c r="A381" s="6" t="str">
        <v>67020Y</v>
      </c>
      <c r="B381" s="6" t="str">
        <v>United States</v>
      </c>
      <c r="C381" s="6" t="str">
        <v>Nuance Communications Inc</v>
      </c>
      <c r="D381" s="6" t="str">
        <v>Nuance Communications Inc</v>
      </c>
      <c r="F381" s="6" t="str">
        <v>United States</v>
      </c>
      <c r="G381" s="6" t="str">
        <v>Vocada Inc</v>
      </c>
      <c r="H381" s="6" t="str">
        <v>Prepackaged Software</v>
      </c>
      <c r="I381" s="6" t="str">
        <v>93206R</v>
      </c>
      <c r="J381" s="6" t="str">
        <v>Vocada Inc</v>
      </c>
      <c r="K381" s="6" t="str">
        <v>Vocada Inc</v>
      </c>
      <c r="L381" s="7">
        <f>=DATE(2007,10,18)</f>
        <v>39372.99949074074</v>
      </c>
      <c r="M381" s="7">
        <f>=DATE(2007,11,5)</f>
        <v>39390.99949074074</v>
      </c>
      <c r="N381" s="8">
        <v>45</v>
      </c>
      <c r="O381" s="8">
        <v>45</v>
      </c>
      <c r="W381" s="6" t="str">
        <v>Primary Business not Hi-Tech;Networking Systems (LAN,WAN);Programming Services;Internet Services &amp; Software;Computer Consulting Services;Communication/Network Software;Applications Software(Home);Database Software/Programming;Utilities/File Mgmt Software;Desktop Publishing;Applications Software(Business;Other Software (inq. Games);Other Computer Related Svcs</v>
      </c>
      <c r="X381" s="6" t="str">
        <v>Other Software (inq. Games)</v>
      </c>
      <c r="Y381" s="6" t="str">
        <v>Other Software (inq. Games)</v>
      </c>
      <c r="Z381" s="6" t="str">
        <v>Other Software (inq. Games)</v>
      </c>
      <c r="AA381" s="6" t="str">
        <v>Applications Software(Home);Programming Services;Internet Services &amp; Software;Applications Software(Business;Communication/Network Software;Primary Business not Hi-Tech;Desktop Publishing;Networking Systems (LAN,WAN);Computer Consulting Services;Other Computer Related Svcs;Other Software (inq. Games);Database Software/Programming;Utilities/File Mgmt Software</v>
      </c>
      <c r="AB381" s="6" t="str">
        <v>Networking Systems (LAN,WAN);Desktop Publishing;Internet Services &amp; Software;Computer Consulting Services;Utilities/File Mgmt Software;Applications Software(Business;Communication/Network Software;Database Software/Programming;Programming Services;Applications Software(Home);Other Software (inq. Games);Primary Business not Hi-Tech;Other Computer Related Svcs</v>
      </c>
      <c r="AC381" s="8">
        <v>45</v>
      </c>
      <c r="AD381" s="7">
        <f>=DATE(2007,10,18)</f>
        <v>39372.99949074074</v>
      </c>
      <c r="AF381" s="8" t="str">
        <v>45.00</v>
      </c>
      <c r="AG381" s="8" t="str">
        <v>21.00</v>
      </c>
      <c r="AH381" s="8" t="str">
        <v>45.00</v>
      </c>
      <c r="AI381" s="8" t="str">
        <v>45.00</v>
      </c>
      <c r="AL381" s="8">
        <v>45</v>
      </c>
    </row>
    <row r="382">
      <c r="A382" s="6" t="str">
        <v>67020Y</v>
      </c>
      <c r="B382" s="6" t="str">
        <v>United States</v>
      </c>
      <c r="C382" s="6" t="str">
        <v>Nuance Communications Inc</v>
      </c>
      <c r="D382" s="6" t="str">
        <v>Nuance Communications Inc</v>
      </c>
      <c r="F382" s="6" t="str">
        <v>United States</v>
      </c>
      <c r="G382" s="6" t="str">
        <v>Viecore Inc</v>
      </c>
      <c r="H382" s="6" t="str">
        <v>Business Services</v>
      </c>
      <c r="I382" s="6" t="str">
        <v>92696Q</v>
      </c>
      <c r="J382" s="6" t="str">
        <v>Viecore Inc</v>
      </c>
      <c r="K382" s="6" t="str">
        <v>Viecore Inc</v>
      </c>
      <c r="L382" s="7">
        <f>=DATE(2007,10,22)</f>
        <v>39376.99949074074</v>
      </c>
      <c r="M382" s="7">
        <f>=DATE(2007,11,30)</f>
        <v>39415.99949074074</v>
      </c>
      <c r="W382" s="6" t="str">
        <v>Programming Services;Communication/Network Software;Other Computer Related Svcs;Networking Systems (LAN,WAN);Computer Consulting Services;Internet Services &amp; Software;Primary Business not Hi-Tech;Database Software/Programming;Utilities/File Mgmt Software;Applications Software(Business;Applications Software(Home);Desktop Publishing;Other Software (inq. Games)</v>
      </c>
      <c r="X382" s="6" t="str">
        <v>Database Software/Programming</v>
      </c>
      <c r="Y382" s="6" t="str">
        <v>Database Software/Programming</v>
      </c>
      <c r="Z382" s="6" t="str">
        <v>Database Software/Programming</v>
      </c>
      <c r="AA382" s="6" t="str">
        <v>Other Computer Related Svcs;Applications Software(Home);Networking Systems (LAN,WAN);Desktop Publishing;Communication/Network Software;Applications Software(Business;Database Software/Programming;Utilities/File Mgmt Software;Programming Services;Other Software (inq. Games);Internet Services &amp; Software;Computer Consulting Services;Primary Business not Hi-Tech</v>
      </c>
      <c r="AB382" s="6" t="str">
        <v>Desktop Publishing;Other Computer Related Svcs;Primary Business not Hi-Tech;Programming Services;Database Software/Programming;Other Software (inq. Games);Applications Software(Home);Internet Services &amp; Software;Computer Consulting Services;Networking Systems (LAN,WAN);Communication/Network Software;Applications Software(Business;Utilities/File Mgmt Software</v>
      </c>
    </row>
    <row r="383">
      <c r="A383" s="6" t="str">
        <v>594918</v>
      </c>
      <c r="B383" s="6" t="str">
        <v>United States</v>
      </c>
      <c r="C383" s="6" t="str">
        <v>Microsoft Corp</v>
      </c>
      <c r="D383" s="6" t="str">
        <v>Microsoft Corp</v>
      </c>
      <c r="F383" s="6" t="str">
        <v>Thailand</v>
      </c>
      <c r="G383" s="6" t="str">
        <v>Global Care Solutions (Thailand)Co Ltd-Assets</v>
      </c>
      <c r="H383" s="6" t="str">
        <v>Prepackaged Software</v>
      </c>
      <c r="I383" s="6" t="str">
        <v>37898J</v>
      </c>
      <c r="J383" s="6" t="str">
        <v>Global Care Solutions SA</v>
      </c>
      <c r="K383" s="6" t="str">
        <v>Global Care Solutions (Thailand)Co Ltd</v>
      </c>
      <c r="L383" s="7">
        <f>=DATE(2007,10,29)</f>
        <v>39383.99949074074</v>
      </c>
      <c r="M383" s="7">
        <f>=DATE(2007,10,29)</f>
        <v>39383.99949074074</v>
      </c>
      <c r="W383" s="6" t="str">
        <v>Monitors/Terminals;Internet Services &amp; Software;Computer Consulting Services;Other Peripherals;Operating Systems;Applications Software(Business</v>
      </c>
      <c r="X383" s="6" t="str">
        <v>Internet Services &amp; Software;Applications Software(Business;Communication/Network Software</v>
      </c>
      <c r="Y383" s="6" t="str">
        <v>Communication/Network Software;Internet Services &amp; Software;Applications Software(Business</v>
      </c>
      <c r="Z383" s="6" t="str">
        <v>Communication/Network Software;Applications Software(Business;Internet Services &amp; Software</v>
      </c>
      <c r="AA383" s="6" t="str">
        <v>Applications Software(Business;Operating Systems;Monitors/Terminals;Internet Services &amp; Software;Other Peripherals;Computer Consulting Services</v>
      </c>
      <c r="AB383" s="6" t="str">
        <v>Internet Services &amp; Software;Operating Systems;Other Peripherals;Monitors/Terminals;Applications Software(Business;Computer Consulting Services</v>
      </c>
    </row>
    <row r="384">
      <c r="A384" s="6" t="str">
        <v>01864J</v>
      </c>
      <c r="B384" s="6" t="str">
        <v>United States</v>
      </c>
      <c r="C384" s="6" t="str">
        <v>Avanade Inc</v>
      </c>
      <c r="D384" s="6" t="str">
        <v>Microsoft Corp</v>
      </c>
      <c r="F384" s="6" t="str">
        <v>Denmark</v>
      </c>
      <c r="G384" s="6" t="str">
        <v>HOB Business Solutions A/S</v>
      </c>
      <c r="H384" s="6" t="str">
        <v>Business Services</v>
      </c>
      <c r="I384" s="6" t="str">
        <v>49820W</v>
      </c>
      <c r="J384" s="6" t="str">
        <v>HOB Business Solutions A/S</v>
      </c>
      <c r="K384" s="6" t="str">
        <v>HOB Business Solutions A/S</v>
      </c>
      <c r="L384" s="7">
        <f>=DATE(2007,11,1)</f>
        <v>39386.99949074074</v>
      </c>
      <c r="M384" s="7">
        <f>=DATE(2007,11,1)</f>
        <v>39386.99949074074</v>
      </c>
      <c r="R384" s="8">
        <v>0.254267299383809</v>
      </c>
      <c r="S384" s="8">
        <v>4.38168425525887</v>
      </c>
      <c r="W384" s="6" t="str">
        <v>Computer Consulting Services;Other Software (inq. Games);Other Computer Related Svcs</v>
      </c>
      <c r="X384" s="6" t="str">
        <v>Computer Consulting Services;Other Software (inq. Games);Other Computer Related Svcs</v>
      </c>
      <c r="Y384" s="6" t="str">
        <v>Other Computer Related Svcs;Computer Consulting Services;Other Software (inq. Games)</v>
      </c>
      <c r="Z384" s="6" t="str">
        <v>Other Computer Related Svcs;Other Software (inq. Games);Computer Consulting Services</v>
      </c>
      <c r="AA384" s="6" t="str">
        <v>Other Peripherals;Computer Consulting Services;Monitors/Terminals;Applications Software(Business;Operating Systems;Internet Services &amp; Software</v>
      </c>
      <c r="AB384" s="6" t="str">
        <v>Monitors/Terminals;Internet Services &amp; Software;Operating Systems;Computer Consulting Services;Other Peripherals;Applications Software(Business</v>
      </c>
    </row>
    <row r="385">
      <c r="A385" s="6" t="str">
        <v>30303M</v>
      </c>
      <c r="B385" s="6" t="str">
        <v>United States</v>
      </c>
      <c r="C385" s="6" t="str">
        <v>Facebook Inc</v>
      </c>
      <c r="D385" s="6" t="str">
        <v>Facebook Inc</v>
      </c>
      <c r="F385" s="6" t="str">
        <v>China (Mainland)</v>
      </c>
      <c r="G385" s="6" t="str">
        <v>Tianwang</v>
      </c>
      <c r="H385" s="6" t="str">
        <v>Business Services</v>
      </c>
      <c r="I385" s="6" t="str">
        <v>88598T</v>
      </c>
      <c r="J385" s="6" t="str">
        <v>Tianwang</v>
      </c>
      <c r="K385" s="6" t="str">
        <v>Tianwang</v>
      </c>
      <c r="L385" s="7">
        <f>=DATE(2007,11,9)</f>
        <v>39394.99949074074</v>
      </c>
      <c r="M385" s="7">
        <f>=DATE(2007,11,9)</f>
        <v>39394.99949074074</v>
      </c>
      <c r="N385" s="8">
        <v>10.0010796221323</v>
      </c>
      <c r="O385" s="8">
        <v>10.0010796221323</v>
      </c>
      <c r="W385" s="6" t="str">
        <v>Internet Services &amp; Software</v>
      </c>
      <c r="X385" s="6" t="str">
        <v>Internet Services &amp; Software</v>
      </c>
      <c r="Y385" s="6" t="str">
        <v>Internet Services &amp; Software</v>
      </c>
      <c r="Z385" s="6" t="str">
        <v>Internet Services &amp; Software</v>
      </c>
      <c r="AA385" s="6" t="str">
        <v>Internet Services &amp; Software</v>
      </c>
      <c r="AB385" s="6" t="str">
        <v>Internet Services &amp; Software</v>
      </c>
      <c r="AC385" s="8">
        <v>10.0010796221323</v>
      </c>
      <c r="AD385" s="7">
        <f>=DATE(2007,11,9)</f>
        <v>39394.99949074074</v>
      </c>
      <c r="AL385" s="8">
        <v>10.0010796221323</v>
      </c>
    </row>
    <row r="386">
      <c r="A386" s="6" t="str">
        <v>594918</v>
      </c>
      <c r="B386" s="6" t="str">
        <v>United States</v>
      </c>
      <c r="C386" s="6" t="str">
        <v>Microsoft Corp</v>
      </c>
      <c r="D386" s="6" t="str">
        <v>Microsoft Corp</v>
      </c>
      <c r="F386" s="6" t="str">
        <v>France</v>
      </c>
      <c r="G386" s="6" t="str">
        <v>Musiwave</v>
      </c>
      <c r="H386" s="6" t="str">
        <v>Prepackaged Software</v>
      </c>
      <c r="I386" s="6" t="str">
        <v>62759F</v>
      </c>
      <c r="J386" s="6" t="str">
        <v>Openwave Systems Inc</v>
      </c>
      <c r="K386" s="6" t="str">
        <v>Openwave Systems Inc</v>
      </c>
      <c r="L386" s="7">
        <f>=DATE(2007,11,15)</f>
        <v>39400.99949074074</v>
      </c>
      <c r="N386" s="8">
        <v>45.8977094996565</v>
      </c>
      <c r="O386" s="8">
        <v>45.8977094996565</v>
      </c>
      <c r="W386" s="6" t="str">
        <v>Operating Systems;Internet Services &amp; Software;Applications Software(Business;Other Peripherals;Computer Consulting Services;Monitors/Terminals</v>
      </c>
      <c r="X386" s="6" t="str">
        <v>Other Software (inq. Games)</v>
      </c>
      <c r="Y386" s="6" t="str">
        <v>Communication/Network Software;Internet Services &amp; Software</v>
      </c>
      <c r="Z386" s="6" t="str">
        <v>Communication/Network Software;Internet Services &amp; Software</v>
      </c>
      <c r="AA386" s="6" t="str">
        <v>Operating Systems;Computer Consulting Services;Other Peripherals;Monitors/Terminals;Internet Services &amp; Software;Applications Software(Business</v>
      </c>
      <c r="AB386" s="6" t="str">
        <v>Monitors/Terminals;Other Peripherals;Internet Services &amp; Software;Computer Consulting Services;Operating Systems;Applications Software(Business</v>
      </c>
      <c r="AC386" s="8">
        <v>45.8977094996565</v>
      </c>
      <c r="AL386" s="8">
        <v>45.8977094996565</v>
      </c>
    </row>
    <row r="387">
      <c r="A387" s="6" t="str">
        <v>023135</v>
      </c>
      <c r="B387" s="6" t="str">
        <v>United States</v>
      </c>
      <c r="C387" s="6" t="str">
        <v>Amazon.com Inc</v>
      </c>
      <c r="D387" s="6" t="str">
        <v>Amazon.com Inc</v>
      </c>
      <c r="F387" s="6" t="str">
        <v>United States</v>
      </c>
      <c r="G387" s="6" t="str">
        <v>Bill Me Later Inc</v>
      </c>
      <c r="H387" s="6" t="str">
        <v>Business Services</v>
      </c>
      <c r="I387" s="6" t="str">
        <v>09167H</v>
      </c>
      <c r="J387" s="6" t="str">
        <v>Bill Me Later Inc</v>
      </c>
      <c r="K387" s="6" t="str">
        <v>Bill Me Later Inc</v>
      </c>
      <c r="L387" s="7">
        <f>=DATE(2007,12,11)</f>
        <v>39426.99949074074</v>
      </c>
      <c r="W387" s="6" t="str">
        <v>Primary Business not Hi-Tech</v>
      </c>
      <c r="X387" s="6" t="str">
        <v>Data Processing Services;Internet Services &amp; Software</v>
      </c>
      <c r="Y387" s="6" t="str">
        <v>Data Processing Services;Internet Services &amp; Software</v>
      </c>
      <c r="Z387" s="6" t="str">
        <v>Internet Services &amp; Software;Data Processing Services</v>
      </c>
      <c r="AA387" s="6" t="str">
        <v>Primary Business not Hi-Tech</v>
      </c>
      <c r="AB387" s="6" t="str">
        <v>Primary Business not Hi-Tech</v>
      </c>
    </row>
    <row r="388">
      <c r="A388" s="6" t="str">
        <v>594918</v>
      </c>
      <c r="B388" s="6" t="str">
        <v>United States</v>
      </c>
      <c r="C388" s="6" t="str">
        <v>Microsoft Corp</v>
      </c>
      <c r="D388" s="6" t="str">
        <v>Microsoft Corp</v>
      </c>
      <c r="F388" s="6" t="str">
        <v>United Kingdom</v>
      </c>
      <c r="G388" s="6" t="str">
        <v>Multi Media Mapping Ltd</v>
      </c>
      <c r="H388" s="6" t="str">
        <v>Prepackaged Software</v>
      </c>
      <c r="I388" s="6" t="str">
        <v>62493L</v>
      </c>
      <c r="J388" s="6" t="str">
        <v>Multi Media Mapping Ltd</v>
      </c>
      <c r="K388" s="6" t="str">
        <v>Multi Media Mapping Ltd</v>
      </c>
      <c r="L388" s="7">
        <f>=DATE(2007,12,12)</f>
        <v>39427.99949074074</v>
      </c>
      <c r="M388" s="7">
        <f>=DATE(2007,12,12)</f>
        <v>39427.99949074074</v>
      </c>
      <c r="W388" s="6" t="str">
        <v>Computer Consulting Services;Other Peripherals;Operating Systems;Internet Services &amp; Software;Applications Software(Business;Monitors/Terminals</v>
      </c>
      <c r="X388" s="6" t="str">
        <v>Other Software (inq. Games);Internet Services &amp; Software;Utilities/File Mgmt Software;Applications Software(Business</v>
      </c>
      <c r="Y388" s="6" t="str">
        <v>Internet Services &amp; Software;Utilities/File Mgmt Software;Other Software (inq. Games);Applications Software(Business</v>
      </c>
      <c r="Z388" s="6" t="str">
        <v>Applications Software(Business;Internet Services &amp; Software;Utilities/File Mgmt Software;Other Software (inq. Games)</v>
      </c>
      <c r="AA388" s="6" t="str">
        <v>Operating Systems;Monitors/Terminals;Other Peripherals;Internet Services &amp; Software;Computer Consulting Services;Applications Software(Business</v>
      </c>
      <c r="AB388" s="6" t="str">
        <v>Applications Software(Business;Monitors/Terminals;Internet Services &amp; Software;Computer Consulting Services;Operating Systems;Other Peripherals</v>
      </c>
    </row>
    <row r="389">
      <c r="A389" s="6" t="str">
        <v>594918</v>
      </c>
      <c r="B389" s="6" t="str">
        <v>United States</v>
      </c>
      <c r="C389" s="6" t="str">
        <v>Microsoft Corp</v>
      </c>
      <c r="D389" s="6" t="str">
        <v>Microsoft Corp</v>
      </c>
      <c r="F389" s="6" t="str">
        <v>Norway</v>
      </c>
      <c r="G389" s="6" t="str">
        <v>Fast Search &amp; Transfer ASA</v>
      </c>
      <c r="H389" s="6" t="str">
        <v>Prepackaged Software</v>
      </c>
      <c r="I389" s="6" t="str">
        <v>31182X</v>
      </c>
      <c r="J389" s="6" t="str">
        <v>Fast Search &amp; Transfer ASA</v>
      </c>
      <c r="K389" s="6" t="str">
        <v>Fast Search &amp; Transfer ASA</v>
      </c>
      <c r="L389" s="7">
        <f>=DATE(2008,1,8)</f>
        <v>39454.99949074074</v>
      </c>
      <c r="M389" s="7">
        <f>=DATE(2008,4,25)</f>
        <v>39562.99949074074</v>
      </c>
      <c r="N389" s="8">
        <v>1190.95336613733</v>
      </c>
      <c r="O389" s="8">
        <v>1190.95336613733</v>
      </c>
      <c r="P389" s="8" t="str">
        <v>1,052.07</v>
      </c>
      <c r="R389" s="8">
        <v>-175.052900804092</v>
      </c>
      <c r="S389" s="8">
        <v>174.946179181924</v>
      </c>
      <c r="T389" s="8">
        <v>5.439914062</v>
      </c>
      <c r="U389" s="8">
        <v>-75.838661228</v>
      </c>
      <c r="V389" s="8">
        <v>-52.479062724</v>
      </c>
      <c r="W389" s="6" t="str">
        <v>Applications Software(Business;Monitors/Terminals;Internet Services &amp; Software;Operating Systems;Computer Consulting Services;Other Peripherals</v>
      </c>
      <c r="X389" s="6" t="str">
        <v>Communication/Network Software;Internet Services &amp; Software;Data Processing Services</v>
      </c>
      <c r="Y389" s="6" t="str">
        <v>Internet Services &amp; Software;Data Processing Services;Communication/Network Software</v>
      </c>
      <c r="Z389" s="6" t="str">
        <v>Communication/Network Software;Internet Services &amp; Software;Data Processing Services</v>
      </c>
      <c r="AA389" s="6" t="str">
        <v>Applications Software(Business;Other Peripherals;Monitors/Terminals;Operating Systems;Internet Services &amp; Software;Computer Consulting Services</v>
      </c>
      <c r="AB389" s="6" t="str">
        <v>Operating Systems;Computer Consulting Services;Other Peripherals;Monitors/Terminals;Applications Software(Business;Internet Services &amp; Software</v>
      </c>
      <c r="AC389" s="8">
        <v>1190.95336613733</v>
      </c>
      <c r="AD389" s="7">
        <f>=DATE(2008,1,8)</f>
        <v>39454.99949074074</v>
      </c>
      <c r="AE389" s="8">
        <v>1190.95345858496</v>
      </c>
      <c r="AF389" s="8" t="str">
        <v>1,065.01</v>
      </c>
      <c r="AG389" s="8" t="str">
        <v>1,116.45</v>
      </c>
      <c r="AH389" s="8" t="str">
        <v>1,248.38</v>
      </c>
      <c r="AI389" s="8" t="str">
        <v>1,190.95</v>
      </c>
      <c r="AL389" s="8">
        <v>1190.95336613733</v>
      </c>
    </row>
    <row r="390">
      <c r="A390" s="6" t="str">
        <v>594918</v>
      </c>
      <c r="B390" s="6" t="str">
        <v>United States</v>
      </c>
      <c r="C390" s="6" t="str">
        <v>Microsoft Corp</v>
      </c>
      <c r="D390" s="6" t="str">
        <v>Microsoft Corp</v>
      </c>
      <c r="F390" s="6" t="str">
        <v>Switzerland</v>
      </c>
      <c r="G390" s="6" t="str">
        <v>Logitech International SA</v>
      </c>
      <c r="H390" s="6" t="str">
        <v>Computer and Office Equipment</v>
      </c>
      <c r="I390" s="6" t="str">
        <v>541419</v>
      </c>
      <c r="J390" s="6" t="str">
        <v>Logitech International SA</v>
      </c>
      <c r="K390" s="6" t="str">
        <v>Logitech International SA</v>
      </c>
      <c r="L390" s="7">
        <f>=DATE(2008,1,10)</f>
        <v>39456.99949074074</v>
      </c>
      <c r="R390" s="8">
        <v>236.28936921041</v>
      </c>
      <c r="S390" s="8">
        <v>2377.43714159682</v>
      </c>
      <c r="W390" s="6" t="str">
        <v>Other Peripherals;Operating Systems;Applications Software(Business;Monitors/Terminals;Internet Services &amp; Software;Computer Consulting Services</v>
      </c>
      <c r="X390" s="6" t="str">
        <v>Monitors/Terminals;Other Peripherals;Other Computer Systems;Other Telecommunications Equip</v>
      </c>
      <c r="Y390" s="6" t="str">
        <v>Monitors/Terminals;Other Computer Systems;Other Telecommunications Equip;Other Peripherals</v>
      </c>
      <c r="Z390" s="6" t="str">
        <v>Other Telecommunications Equip;Other Peripherals;Monitors/Terminals;Other Computer Systems</v>
      </c>
      <c r="AA390" s="6" t="str">
        <v>Monitors/Terminals;Applications Software(Business;Other Peripherals;Operating Systems;Computer Consulting Services;Internet Services &amp; Software</v>
      </c>
      <c r="AB390" s="6" t="str">
        <v>Monitors/Terminals;Computer Consulting Services;Operating Systems;Other Peripherals;Internet Services &amp; Software;Applications Software(Business</v>
      </c>
    </row>
    <row r="391">
      <c r="A391" s="6" t="str">
        <v>46056F</v>
      </c>
      <c r="B391" s="6" t="str">
        <v>United States</v>
      </c>
      <c r="C391" s="6" t="str">
        <v>Internet Movie Database Inc</v>
      </c>
      <c r="D391" s="6" t="str">
        <v>Amazon.com Inc</v>
      </c>
      <c r="F391" s="6" t="str">
        <v>United States</v>
      </c>
      <c r="G391" s="6" t="str">
        <v>Without A Box Inc</v>
      </c>
      <c r="H391" s="6" t="str">
        <v>Prepackaged Software</v>
      </c>
      <c r="I391" s="6" t="str">
        <v>97742M</v>
      </c>
      <c r="J391" s="6" t="str">
        <v>Without A Box Inc</v>
      </c>
      <c r="K391" s="6" t="str">
        <v>Without A Box Inc</v>
      </c>
      <c r="L391" s="7">
        <f>=DATE(2008,1,17)</f>
        <v>39463.99949074074</v>
      </c>
      <c r="M391" s="7">
        <f>=DATE(2008,1,18)</f>
        <v>39464.99949074074</v>
      </c>
      <c r="W391" s="6" t="str">
        <v>Other Computer Related Svcs;Internet Services &amp; Software</v>
      </c>
      <c r="X391" s="6" t="str">
        <v>Internet Services &amp; Software;Communication/Network Software</v>
      </c>
      <c r="Y391" s="6" t="str">
        <v>Communication/Network Software;Internet Services &amp; Software</v>
      </c>
      <c r="Z391" s="6" t="str">
        <v>Internet Services &amp; Software;Communication/Network Software</v>
      </c>
      <c r="AA391" s="6" t="str">
        <v>Primary Business not Hi-Tech</v>
      </c>
      <c r="AB391" s="6" t="str">
        <v>Primary Business not Hi-Tech</v>
      </c>
    </row>
    <row r="392">
      <c r="A392" s="6" t="str">
        <v>594918</v>
      </c>
      <c r="B392" s="6" t="str">
        <v>United States</v>
      </c>
      <c r="C392" s="6" t="str">
        <v>Microsoft Corp</v>
      </c>
      <c r="D392" s="6" t="str">
        <v>Microsoft Corp</v>
      </c>
      <c r="F392" s="6" t="str">
        <v>United States</v>
      </c>
      <c r="G392" s="6" t="str">
        <v>Calista Technologies Inc</v>
      </c>
      <c r="H392" s="6" t="str">
        <v>Prepackaged Software</v>
      </c>
      <c r="I392" s="6" t="str">
        <v>13087K</v>
      </c>
      <c r="J392" s="6" t="str">
        <v>Calista Technologies Inc</v>
      </c>
      <c r="K392" s="6" t="str">
        <v>Calista Technologies Inc</v>
      </c>
      <c r="L392" s="7">
        <f>=DATE(2008,1,22)</f>
        <v>39468.99949074074</v>
      </c>
      <c r="M392" s="7">
        <f>=DATE(2008,1,22)</f>
        <v>39468.99949074074</v>
      </c>
      <c r="W392" s="6" t="str">
        <v>Applications Software(Business;Computer Consulting Services;Monitors/Terminals;Other Peripherals;Internet Services &amp; Software;Operating Systems</v>
      </c>
      <c r="X392" s="6" t="str">
        <v>Applications Software(Business;Other Software (inq. Games)</v>
      </c>
      <c r="Y392" s="6" t="str">
        <v>Applications Software(Business;Other Software (inq. Games)</v>
      </c>
      <c r="Z392" s="6" t="str">
        <v>Other Software (inq. Games);Applications Software(Business</v>
      </c>
      <c r="AA392" s="6" t="str">
        <v>Monitors/Terminals;Internet Services &amp; Software;Computer Consulting Services;Applications Software(Business;Operating Systems;Other Peripherals</v>
      </c>
      <c r="AB392" s="6" t="str">
        <v>Internet Services &amp; Software;Applications Software(Business;Computer Consulting Services;Other Peripherals;Operating Systems;Monitors/Terminals</v>
      </c>
    </row>
    <row r="393">
      <c r="A393" s="6" t="str">
        <v>023135</v>
      </c>
      <c r="B393" s="6" t="str">
        <v>United States</v>
      </c>
      <c r="C393" s="6" t="str">
        <v>Amazon.com Inc</v>
      </c>
      <c r="D393" s="6" t="str">
        <v>Amazon.com Inc</v>
      </c>
      <c r="F393" s="6" t="str">
        <v>United States</v>
      </c>
      <c r="G393" s="6" t="str">
        <v>Audible Inc</v>
      </c>
      <c r="H393" s="6" t="str">
        <v>Business Services</v>
      </c>
      <c r="I393" s="6" t="str">
        <v>05069A</v>
      </c>
      <c r="J393" s="6" t="str">
        <v>Audible Inc</v>
      </c>
      <c r="K393" s="6" t="str">
        <v>Audible Inc</v>
      </c>
      <c r="L393" s="7">
        <f>=DATE(2008,1,31)</f>
        <v>39477.99949074074</v>
      </c>
      <c r="M393" s="7">
        <f>=DATE(2008,3,17)</f>
        <v>39523.99949074074</v>
      </c>
      <c r="N393" s="8">
        <v>247.25</v>
      </c>
      <c r="O393" s="8">
        <v>247.25</v>
      </c>
      <c r="P393" s="8" t="str">
        <v>198.69</v>
      </c>
      <c r="R393" s="8">
        <v>2.425</v>
      </c>
      <c r="S393" s="8">
        <v>109.968</v>
      </c>
      <c r="T393" s="8">
        <v>-1.394</v>
      </c>
      <c r="U393" s="8">
        <v>35.506</v>
      </c>
      <c r="V393" s="8">
        <v>23.353</v>
      </c>
      <c r="W393" s="6" t="str">
        <v>Primary Business not Hi-Tech</v>
      </c>
      <c r="X393" s="6" t="str">
        <v>Internet Services &amp; Software</v>
      </c>
      <c r="Y393" s="6" t="str">
        <v>Internet Services &amp; Software</v>
      </c>
      <c r="Z393" s="6" t="str">
        <v>Internet Services &amp; Software</v>
      </c>
      <c r="AA393" s="6" t="str">
        <v>Primary Business not Hi-Tech</v>
      </c>
      <c r="AB393" s="6" t="str">
        <v>Primary Business not Hi-Tech</v>
      </c>
      <c r="AC393" s="8">
        <v>247.25</v>
      </c>
      <c r="AD393" s="7">
        <f>=DATE(2008,1,31)</f>
        <v>39477.99949074074</v>
      </c>
      <c r="AE393" s="8">
        <v>280.711251</v>
      </c>
      <c r="AF393" s="8" t="str">
        <v>199.87</v>
      </c>
      <c r="AG393" s="8" t="str">
        <v>198.69</v>
      </c>
      <c r="AH393" s="8" t="str">
        <v>279.53</v>
      </c>
      <c r="AI393" s="8" t="str">
        <v>280.71</v>
      </c>
      <c r="AL393" s="8">
        <v>247.25</v>
      </c>
    </row>
    <row r="394">
      <c r="A394" s="6" t="str">
        <v>594918</v>
      </c>
      <c r="B394" s="6" t="str">
        <v>United States</v>
      </c>
      <c r="C394" s="6" t="str">
        <v>Microsoft Corp</v>
      </c>
      <c r="D394" s="6" t="str">
        <v>Microsoft Corp</v>
      </c>
      <c r="F394" s="6" t="str">
        <v>United States</v>
      </c>
      <c r="G394" s="6" t="str">
        <v>Yahoo! Inc</v>
      </c>
      <c r="H394" s="6" t="str">
        <v>Business Services</v>
      </c>
      <c r="I394" s="6" t="str">
        <v>984332</v>
      </c>
      <c r="J394" s="6" t="str">
        <v>Yahoo! Inc</v>
      </c>
      <c r="K394" s="6" t="str">
        <v>Yahoo! Inc</v>
      </c>
      <c r="L394" s="7">
        <f>=DATE(2008,2,1)</f>
        <v>39478.99949074074</v>
      </c>
      <c r="N394" s="8">
        <v>43711.601</v>
      </c>
      <c r="O394" s="8">
        <v>43711.601</v>
      </c>
      <c r="P394" s="8" t="str">
        <v>41,694.52</v>
      </c>
      <c r="R394" s="8">
        <v>660</v>
      </c>
      <c r="S394" s="8">
        <v>6969.274</v>
      </c>
      <c r="T394" s="8">
        <v>-1477.435</v>
      </c>
      <c r="U394" s="8">
        <v>-572.502</v>
      </c>
      <c r="V394" s="8">
        <v>1954.326</v>
      </c>
      <c r="W394" s="6" t="str">
        <v>Monitors/Terminals;Other Peripherals;Operating Systems;Computer Consulting Services;Internet Services &amp; Software;Applications Software(Business</v>
      </c>
      <c r="X394" s="6" t="str">
        <v>Internet Services &amp; Software</v>
      </c>
      <c r="Y394" s="6" t="str">
        <v>Internet Services &amp; Software</v>
      </c>
      <c r="Z394" s="6" t="str">
        <v>Internet Services &amp; Software</v>
      </c>
      <c r="AA394" s="6" t="str">
        <v>Computer Consulting Services;Other Peripherals;Applications Software(Business;Internet Services &amp; Software;Monitors/Terminals;Operating Systems</v>
      </c>
      <c r="AB394" s="6" t="str">
        <v>Other Peripherals;Computer Consulting Services;Operating Systems;Monitors/Terminals;Internet Services &amp; Software;Applications Software(Business</v>
      </c>
      <c r="AC394" s="8">
        <v>43711.601</v>
      </c>
      <c r="AD394" s="7">
        <f>=DATE(2008,2,1)</f>
        <v>39478.99949074074</v>
      </c>
      <c r="AE394" s="8">
        <v>45554.081903</v>
      </c>
      <c r="AF394" s="8" t="str">
        <v>41,860.56</v>
      </c>
      <c r="AI394" s="8" t="str">
        <v>43,712.04</v>
      </c>
      <c r="AL394" s="8">
        <v>43711.601</v>
      </c>
    </row>
    <row r="395">
      <c r="A395" s="6" t="str">
        <v>594918</v>
      </c>
      <c r="B395" s="6" t="str">
        <v>United States</v>
      </c>
      <c r="C395" s="6" t="str">
        <v>Microsoft Corp</v>
      </c>
      <c r="D395" s="6" t="str">
        <v>Microsoft Corp</v>
      </c>
      <c r="F395" s="6" t="str">
        <v>United States</v>
      </c>
      <c r="G395" s="6" t="str">
        <v>Danger Inc</v>
      </c>
      <c r="H395" s="6" t="str">
        <v>Prepackaged Software</v>
      </c>
      <c r="I395" s="6" t="str">
        <v>23590V</v>
      </c>
      <c r="J395" s="6" t="str">
        <v>Danger Inc</v>
      </c>
      <c r="K395" s="6" t="str">
        <v>Danger Inc</v>
      </c>
      <c r="L395" s="7">
        <f>=DATE(2008,2,11)</f>
        <v>39488.99949074074</v>
      </c>
      <c r="M395" s="7">
        <f>=DATE(2008,4,15)</f>
        <v>39552.99949074074</v>
      </c>
      <c r="N395" s="8">
        <v>500</v>
      </c>
      <c r="O395" s="8">
        <v>500</v>
      </c>
      <c r="S395" s="8">
        <v>0.75</v>
      </c>
      <c r="W395" s="6" t="str">
        <v>Monitors/Terminals;Internet Services &amp; Software;Other Peripherals;Applications Software(Business;Operating Systems;Computer Consulting Services</v>
      </c>
      <c r="X395" s="6" t="str">
        <v>Internet Services &amp; Software;Communication/Network Software</v>
      </c>
      <c r="Y395" s="6" t="str">
        <v>Communication/Network Software;Internet Services &amp; Software</v>
      </c>
      <c r="Z395" s="6" t="str">
        <v>Internet Services &amp; Software;Communication/Network Software</v>
      </c>
      <c r="AA395" s="6" t="str">
        <v>Internet Services &amp; Software;Other Peripherals;Computer Consulting Services;Applications Software(Business;Monitors/Terminals;Operating Systems</v>
      </c>
      <c r="AB395" s="6" t="str">
        <v>Computer Consulting Services;Applications Software(Business;Monitors/Terminals;Operating Systems;Other Peripherals;Internet Services &amp; Software</v>
      </c>
      <c r="AC395" s="8">
        <v>500</v>
      </c>
      <c r="AD395" s="7">
        <f>=DATE(2008,4,15)</f>
        <v>39552.99949074074</v>
      </c>
      <c r="AL395" s="8">
        <v>500</v>
      </c>
    </row>
    <row r="396">
      <c r="A396" s="6" t="str">
        <v>594918</v>
      </c>
      <c r="B396" s="6" t="str">
        <v>United States</v>
      </c>
      <c r="C396" s="6" t="str">
        <v>Microsoft Corp</v>
      </c>
      <c r="D396" s="6" t="str">
        <v>Microsoft Corp</v>
      </c>
      <c r="F396" s="6" t="str">
        <v>Israel</v>
      </c>
      <c r="G396" s="6" t="str">
        <v>YaData Ltd</v>
      </c>
      <c r="H396" s="6" t="str">
        <v>Prepackaged Software</v>
      </c>
      <c r="I396" s="6" t="str">
        <v>98674P</v>
      </c>
      <c r="J396" s="6" t="str">
        <v>YaData Ltd</v>
      </c>
      <c r="K396" s="6" t="str">
        <v>YaData Ltd</v>
      </c>
      <c r="L396" s="7">
        <f>=DATE(2008,2,27)</f>
        <v>39504.99949074074</v>
      </c>
      <c r="M396" s="7">
        <f>=DATE(2008,2,27)</f>
        <v>39504.99949074074</v>
      </c>
      <c r="W396" s="6" t="str">
        <v>Computer Consulting Services;Internet Services &amp; Software;Applications Software(Business;Other Peripherals;Operating Systems;Monitors/Terminals</v>
      </c>
      <c r="X396" s="6" t="str">
        <v>Other Software (inq. Games)</v>
      </c>
      <c r="Y396" s="6" t="str">
        <v>Other Software (inq. Games)</v>
      </c>
      <c r="Z396" s="6" t="str">
        <v>Other Software (inq. Games)</v>
      </c>
      <c r="AA396" s="6" t="str">
        <v>Operating Systems;Computer Consulting Services;Internet Services &amp; Software;Monitors/Terminals;Other Peripherals;Applications Software(Business</v>
      </c>
      <c r="AB396" s="6" t="str">
        <v>Operating Systems;Applications Software(Business;Internet Services &amp; Software;Monitors/Terminals;Computer Consulting Services;Other Peripherals</v>
      </c>
      <c r="AD396" s="7">
        <f>=DATE(2008,2,27)</f>
        <v>39504.99949074074</v>
      </c>
    </row>
    <row r="397">
      <c r="A397" s="6" t="str">
        <v>594918</v>
      </c>
      <c r="B397" s="6" t="str">
        <v>United States</v>
      </c>
      <c r="C397" s="6" t="str">
        <v>Microsoft Corp</v>
      </c>
      <c r="D397" s="6" t="str">
        <v>Microsoft Corp</v>
      </c>
      <c r="F397" s="6" t="str">
        <v>Japan</v>
      </c>
      <c r="G397" s="6" t="str">
        <v>OKWAVE Inc</v>
      </c>
      <c r="H397" s="6" t="str">
        <v>Business Services</v>
      </c>
      <c r="I397" s="6" t="str">
        <v>67196C</v>
      </c>
      <c r="J397" s="6" t="str">
        <v>OKWAVE Inc</v>
      </c>
      <c r="K397" s="6" t="str">
        <v>OKWAVE Inc</v>
      </c>
      <c r="L397" s="7">
        <f>=DATE(2008,3,11)</f>
        <v>39517.99949074074</v>
      </c>
      <c r="M397" s="7">
        <f>=DATE(2008,4,8)</f>
        <v>39545.99949074074</v>
      </c>
      <c r="N397" s="8">
        <v>2.51646512527813</v>
      </c>
      <c r="O397" s="8">
        <v>2.51646512527813</v>
      </c>
      <c r="P397" s="8" t="str">
        <v>19.87</v>
      </c>
      <c r="W397" s="6" t="str">
        <v>Internet Services &amp; Software;Monitors/Terminals;Other Peripherals;Applications Software(Business;Operating Systems;Computer Consulting Services</v>
      </c>
      <c r="X397" s="6" t="str">
        <v>Programming Services;Computer Consulting Services;Other Computer Related Svcs;Internet Services &amp; Software;Database Software/Programming;Communication/Network Software;Networking Systems (LAN,WAN);Primary Business not Hi-Tech</v>
      </c>
      <c r="Y397" s="6" t="str">
        <v>Computer Consulting Services;Other Computer Related Svcs;Database Software/Programming;Internet Services &amp; Software;Communication/Network Software;Networking Systems (LAN,WAN);Primary Business not Hi-Tech;Programming Services</v>
      </c>
      <c r="Z397" s="6" t="str">
        <v>Communication/Network Software;Other Computer Related Svcs;Computer Consulting Services;Database Software/Programming;Programming Services;Primary Business not Hi-Tech;Networking Systems (LAN,WAN);Internet Services &amp; Software</v>
      </c>
      <c r="AA397" s="6" t="str">
        <v>Internet Services &amp; Software;Other Peripherals;Computer Consulting Services;Operating Systems;Applications Software(Business;Monitors/Terminals</v>
      </c>
      <c r="AB397" s="6" t="str">
        <v>Monitors/Terminals;Operating Systems;Other Peripherals;Internet Services &amp; Software;Computer Consulting Services;Applications Software(Business</v>
      </c>
      <c r="AC397" s="8">
        <v>2.51646512527813</v>
      </c>
      <c r="AD397" s="7">
        <f>=DATE(2008,3,11)</f>
        <v>39517.99949074074</v>
      </c>
      <c r="AE397" s="8">
        <v>23.9162049434072</v>
      </c>
      <c r="AF397" s="8" t="str">
        <v>21.40</v>
      </c>
      <c r="AG397" s="8" t="str">
        <v>21.56</v>
      </c>
      <c r="AH397" s="8" t="str">
        <v>21.56</v>
      </c>
      <c r="AI397" s="8" t="str">
        <v>21.40</v>
      </c>
      <c r="AL397" s="8">
        <v>2.51646512527813</v>
      </c>
    </row>
    <row r="398">
      <c r="A398" s="6" t="str">
        <v>594918</v>
      </c>
      <c r="B398" s="6" t="str">
        <v>United States</v>
      </c>
      <c r="C398" s="6" t="str">
        <v>Microsoft Corp</v>
      </c>
      <c r="D398" s="6" t="str">
        <v>Microsoft Corp</v>
      </c>
      <c r="F398" s="6" t="str">
        <v>United States</v>
      </c>
      <c r="G398" s="6" t="str">
        <v>Kidaro</v>
      </c>
      <c r="H398" s="6" t="str">
        <v>Prepackaged Software</v>
      </c>
      <c r="I398" s="6" t="str">
        <v>49415P</v>
      </c>
      <c r="J398" s="6" t="str">
        <v>Kidaro</v>
      </c>
      <c r="K398" s="6" t="str">
        <v>Kidaro</v>
      </c>
      <c r="L398" s="7">
        <f>=DATE(2008,3,12)</f>
        <v>39518.99949074074</v>
      </c>
      <c r="M398" s="7">
        <f>=DATE(2008,5,26)</f>
        <v>39593.99949074074</v>
      </c>
      <c r="W398" s="6" t="str">
        <v>Computer Consulting Services;Internet Services &amp; Software;Operating Systems;Other Peripherals;Monitors/Terminals;Applications Software(Business</v>
      </c>
      <c r="X398" s="6" t="str">
        <v>Applications Software(Home);Other Software (inq. Games)</v>
      </c>
      <c r="Y398" s="6" t="str">
        <v>Other Software (inq. Games);Applications Software(Home)</v>
      </c>
      <c r="Z398" s="6" t="str">
        <v>Other Software (inq. Games);Applications Software(Home)</v>
      </c>
      <c r="AA398" s="6" t="str">
        <v>Other Peripherals;Computer Consulting Services;Operating Systems;Internet Services &amp; Software;Monitors/Terminals;Applications Software(Business</v>
      </c>
      <c r="AB398" s="6" t="str">
        <v>Computer Consulting Services;Internet Services &amp; Software;Applications Software(Business;Operating Systems;Other Peripherals;Monitors/Terminals</v>
      </c>
    </row>
    <row r="399">
      <c r="A399" s="6" t="str">
        <v>594918</v>
      </c>
      <c r="B399" s="6" t="str">
        <v>United States</v>
      </c>
      <c r="C399" s="6" t="str">
        <v>Microsoft Corp</v>
      </c>
      <c r="D399" s="6" t="str">
        <v>Microsoft Corp</v>
      </c>
      <c r="F399" s="6" t="str">
        <v>United States</v>
      </c>
      <c r="G399" s="6" t="str">
        <v>Rapt Inc</v>
      </c>
      <c r="H399" s="6" t="str">
        <v>Prepackaged Software</v>
      </c>
      <c r="I399" s="6" t="str">
        <v>75381T</v>
      </c>
      <c r="J399" s="6" t="str">
        <v>Rapt Inc</v>
      </c>
      <c r="K399" s="6" t="str">
        <v>Rapt Inc</v>
      </c>
      <c r="L399" s="7">
        <f>=DATE(2008,3,14)</f>
        <v>39520.99949074074</v>
      </c>
      <c r="M399" s="7">
        <f>=DATE(2008,3,14)</f>
        <v>39520.99949074074</v>
      </c>
      <c r="S399" s="8">
        <v>1.7</v>
      </c>
      <c r="W399" s="6" t="str">
        <v>Other Peripherals;Computer Consulting Services;Monitors/Terminals;Applications Software(Business;Operating Systems;Internet Services &amp; Software</v>
      </c>
      <c r="X399" s="6" t="str">
        <v>Applications Software(Business;Other Software (inq. Games)</v>
      </c>
      <c r="Y399" s="6" t="str">
        <v>Other Software (inq. Games);Applications Software(Business</v>
      </c>
      <c r="Z399" s="6" t="str">
        <v>Other Software (inq. Games);Applications Software(Business</v>
      </c>
      <c r="AA399" s="6" t="str">
        <v>Monitors/Terminals;Operating Systems;Applications Software(Business;Computer Consulting Services;Other Peripherals;Internet Services &amp; Software</v>
      </c>
      <c r="AB399" s="6" t="str">
        <v>Monitors/Terminals;Internet Services &amp; Software;Other Peripherals;Operating Systems;Computer Consulting Services;Applications Software(Business</v>
      </c>
    </row>
    <row r="400">
      <c r="A400" s="6" t="str">
        <v>594918</v>
      </c>
      <c r="B400" s="6" t="str">
        <v>United States</v>
      </c>
      <c r="C400" s="6" t="str">
        <v>Microsoft Corp</v>
      </c>
      <c r="D400" s="6" t="str">
        <v>Microsoft Corp</v>
      </c>
      <c r="F400" s="6" t="str">
        <v>United States</v>
      </c>
      <c r="G400" s="6" t="str">
        <v>Aspect Software Inc</v>
      </c>
      <c r="H400" s="6" t="str">
        <v>Prepackaged Software</v>
      </c>
      <c r="I400" s="6" t="str">
        <v>04488C</v>
      </c>
      <c r="J400" s="6" t="str">
        <v>Golden Gate Capital Inc</v>
      </c>
      <c r="K400" s="6" t="str">
        <v>Golden Gate Capital Inc</v>
      </c>
      <c r="L400" s="7">
        <f>=DATE(2008,3,18)</f>
        <v>39524.99949074074</v>
      </c>
      <c r="W400" s="6" t="str">
        <v>Other Peripherals;Operating Systems;Applications Software(Business;Internet Services &amp; Software;Computer Consulting Services;Monitors/Terminals</v>
      </c>
      <c r="X400" s="6" t="str">
        <v>Programming Services;Other Computer Related Svcs;Communication/Network Software;Applications Software(Business;Turnkey Systems;Other Software (inq. Games);Other Computer Systems;Database Software/Programming</v>
      </c>
      <c r="Y400" s="6" t="str">
        <v>Primary Business not Hi-Tech</v>
      </c>
      <c r="Z400" s="6" t="str">
        <v>Primary Business not Hi-Tech</v>
      </c>
      <c r="AA400" s="6" t="str">
        <v>Internet Services &amp; Software;Operating Systems;Computer Consulting Services;Applications Software(Business;Monitors/Terminals;Other Peripherals</v>
      </c>
      <c r="AB400" s="6" t="str">
        <v>Applications Software(Business;Operating Systems;Internet Services &amp; Software;Other Peripherals;Monitors/Terminals;Computer Consulting Services</v>
      </c>
    </row>
    <row r="401">
      <c r="A401" s="6" t="str">
        <v>594918</v>
      </c>
      <c r="B401" s="6" t="str">
        <v>United States</v>
      </c>
      <c r="C401" s="6" t="str">
        <v>Microsoft Corp</v>
      </c>
      <c r="D401" s="6" t="str">
        <v>Microsoft Corp</v>
      </c>
      <c r="F401" s="6" t="str">
        <v>United States</v>
      </c>
      <c r="G401" s="6" t="str">
        <v>Komoku Inc</v>
      </c>
      <c r="H401" s="6" t="str">
        <v>Prepackaged Software</v>
      </c>
      <c r="I401" s="6" t="str">
        <v>48677C</v>
      </c>
      <c r="J401" s="6" t="str">
        <v>Komoku Inc</v>
      </c>
      <c r="K401" s="6" t="str">
        <v>Komoku Inc</v>
      </c>
      <c r="L401" s="7">
        <f>=DATE(2008,3,19)</f>
        <v>39525.99949074074</v>
      </c>
      <c r="M401" s="7">
        <f>=DATE(2008,3,19)</f>
        <v>39525.99949074074</v>
      </c>
      <c r="N401" s="8">
        <v>5</v>
      </c>
      <c r="O401" s="8">
        <v>5</v>
      </c>
      <c r="W401" s="6" t="str">
        <v>Applications Software(Business;Internet Services &amp; Software;Monitors/Terminals;Computer Consulting Services;Other Peripherals;Operating Systems</v>
      </c>
      <c r="X401" s="6" t="str">
        <v>Other Software (inq. Games)</v>
      </c>
      <c r="Y401" s="6" t="str">
        <v>Other Software (inq. Games)</v>
      </c>
      <c r="Z401" s="6" t="str">
        <v>Other Software (inq. Games)</v>
      </c>
      <c r="AA401" s="6" t="str">
        <v>Internet Services &amp; Software;Applications Software(Business;Monitors/Terminals;Operating Systems;Computer Consulting Services;Other Peripherals</v>
      </c>
      <c r="AB401" s="6" t="str">
        <v>Operating Systems;Applications Software(Business;Monitors/Terminals;Computer Consulting Services;Other Peripherals;Internet Services &amp; Software</v>
      </c>
      <c r="AC401" s="8">
        <v>5</v>
      </c>
      <c r="AD401" s="7">
        <f>=DATE(2008,3,19)</f>
        <v>39525.99949074074</v>
      </c>
      <c r="AL401" s="8">
        <v>5</v>
      </c>
    </row>
    <row r="402">
      <c r="A402" s="6" t="str">
        <v>594918</v>
      </c>
      <c r="B402" s="6" t="str">
        <v>United States</v>
      </c>
      <c r="C402" s="6" t="str">
        <v>Microsoft Corp</v>
      </c>
      <c r="D402" s="6" t="str">
        <v>Microsoft Corp</v>
      </c>
      <c r="F402" s="6" t="str">
        <v>New Zealand</v>
      </c>
      <c r="G402" s="6" t="str">
        <v>1-day</v>
      </c>
      <c r="H402" s="6" t="str">
        <v>Miscellaneous Retail Trade</v>
      </c>
      <c r="I402" s="6" t="str">
        <v>25960M</v>
      </c>
      <c r="J402" s="6" t="str">
        <v>1-day</v>
      </c>
      <c r="K402" s="6" t="str">
        <v>1-day</v>
      </c>
      <c r="L402" s="7">
        <f>=DATE(2008,3,31)</f>
        <v>39537.99949074074</v>
      </c>
      <c r="W402" s="6" t="str">
        <v>Applications Software(Business;Internet Services &amp; Software;Monitors/Terminals;Operating Systems;Computer Consulting Services;Other Peripherals</v>
      </c>
      <c r="X402" s="6" t="str">
        <v>Internet Services &amp; Software</v>
      </c>
      <c r="Y402" s="6" t="str">
        <v>Internet Services &amp; Software</v>
      </c>
      <c r="Z402" s="6" t="str">
        <v>Internet Services &amp; Software</v>
      </c>
      <c r="AA402" s="6" t="str">
        <v>Monitors/Terminals;Applications Software(Business;Computer Consulting Services;Other Peripherals;Operating Systems;Internet Services &amp; Software</v>
      </c>
      <c r="AB402" s="6" t="str">
        <v>Other Peripherals;Operating Systems;Applications Software(Business;Computer Consulting Services;Internet Services &amp; Software;Monitors/Terminals</v>
      </c>
    </row>
    <row r="403">
      <c r="A403" s="6" t="str">
        <v>594918</v>
      </c>
      <c r="B403" s="6" t="str">
        <v>United States</v>
      </c>
      <c r="C403" s="6" t="str">
        <v>Microsoft Corp</v>
      </c>
      <c r="D403" s="6" t="str">
        <v>Microsoft Corp</v>
      </c>
      <c r="F403" s="6" t="str">
        <v>Canada</v>
      </c>
      <c r="G403" s="6" t="str">
        <v>90 Degree Software</v>
      </c>
      <c r="H403" s="6" t="str">
        <v>Prepackaged Software</v>
      </c>
      <c r="I403" s="6" t="str">
        <v>65287K</v>
      </c>
      <c r="J403" s="6" t="str">
        <v>90 Degree Software</v>
      </c>
      <c r="K403" s="6" t="str">
        <v>90 Degree Software</v>
      </c>
      <c r="L403" s="7">
        <f>=DATE(2008,3,31)</f>
        <v>39537.99949074074</v>
      </c>
      <c r="M403" s="7">
        <f>=DATE(2008,3,31)</f>
        <v>39537.99949074074</v>
      </c>
      <c r="W403" s="6" t="str">
        <v>Other Peripherals;Operating Systems;Internet Services &amp; Software;Computer Consulting Services;Applications Software(Business;Monitors/Terminals</v>
      </c>
      <c r="X403" s="6" t="str">
        <v>Other Software (inq. Games)</v>
      </c>
      <c r="Y403" s="6" t="str">
        <v>Other Software (inq. Games)</v>
      </c>
      <c r="Z403" s="6" t="str">
        <v>Other Software (inq. Games)</v>
      </c>
      <c r="AA403" s="6" t="str">
        <v>Computer Consulting Services;Other Peripherals;Monitors/Terminals;Internet Services &amp; Software;Operating Systems;Applications Software(Business</v>
      </c>
      <c r="AB403" s="6" t="str">
        <v>Computer Consulting Services;Monitors/Terminals;Applications Software(Business;Operating Systems;Internet Services &amp; Software;Other Peripherals</v>
      </c>
    </row>
    <row r="404">
      <c r="A404" s="6" t="str">
        <v>38259P</v>
      </c>
      <c r="B404" s="6" t="str">
        <v>United States</v>
      </c>
      <c r="C404" s="6" t="str">
        <v>Google Inc</v>
      </c>
      <c r="D404" s="6" t="str">
        <v>Alphabet Inc</v>
      </c>
      <c r="F404" s="6" t="str">
        <v>United States</v>
      </c>
      <c r="G404" s="6" t="str">
        <v>Expedia Inc</v>
      </c>
      <c r="H404" s="6" t="str">
        <v>Transportation and Shipping (except air)</v>
      </c>
      <c r="I404" s="6" t="str">
        <v>30212P</v>
      </c>
      <c r="J404" s="6" t="str">
        <v>Expedia Inc</v>
      </c>
      <c r="K404" s="6" t="str">
        <v>Expedia Inc</v>
      </c>
      <c r="L404" s="7">
        <f>=DATE(2008,4,1)</f>
        <v>39538.99949074074</v>
      </c>
      <c r="R404" s="8">
        <v>312.394</v>
      </c>
      <c r="S404" s="8">
        <v>2802.638</v>
      </c>
      <c r="T404" s="8">
        <v>-489.738</v>
      </c>
      <c r="U404" s="8">
        <v>-215.616</v>
      </c>
      <c r="V404" s="8">
        <v>737.792</v>
      </c>
      <c r="W404" s="6" t="str">
        <v>Internet Services &amp; Software;Programming Services</v>
      </c>
      <c r="X404" s="6" t="str">
        <v>Internet Services &amp; Software</v>
      </c>
      <c r="Y404" s="6" t="str">
        <v>Internet Services &amp; Software</v>
      </c>
      <c r="Z404" s="6" t="str">
        <v>Internet Services &amp; Software</v>
      </c>
      <c r="AA404" s="6" t="str">
        <v>Computer Consulting Services;Internet Services &amp; Software;Telecommunications Equipment;Programming Services;Primary Business not Hi-Tech</v>
      </c>
      <c r="AB404" s="6" t="str">
        <v>Primary Business not Hi-Tech;Programming Services;Computer Consulting Services;Internet Services &amp; Software;Telecommunications Equipment</v>
      </c>
    </row>
    <row r="405">
      <c r="A405" s="6" t="str">
        <v>67020Y</v>
      </c>
      <c r="B405" s="6" t="str">
        <v>United States</v>
      </c>
      <c r="C405" s="6" t="str">
        <v>Nuance Communications Inc</v>
      </c>
      <c r="D405" s="6" t="str">
        <v>Nuance Communications Inc</v>
      </c>
      <c r="F405" s="6" t="str">
        <v>United States</v>
      </c>
      <c r="G405" s="6" t="str">
        <v>eScription Inc</v>
      </c>
      <c r="H405" s="6" t="str">
        <v>Business Services</v>
      </c>
      <c r="I405" s="6" t="str">
        <v>29636Q</v>
      </c>
      <c r="J405" s="6" t="str">
        <v>eScription Inc</v>
      </c>
      <c r="K405" s="6" t="str">
        <v>eScription Inc</v>
      </c>
      <c r="L405" s="7">
        <f>=DATE(2008,4,8)</f>
        <v>39545.99949074074</v>
      </c>
      <c r="M405" s="7">
        <f>=DATE(2008,5,21)</f>
        <v>39588.99949074074</v>
      </c>
      <c r="N405" s="8">
        <v>363</v>
      </c>
      <c r="O405" s="8">
        <v>363</v>
      </c>
      <c r="S405" s="8">
        <v>17.5</v>
      </c>
      <c r="W405" s="6" t="str">
        <v>Primary Business not Hi-Tech;Computer Consulting Services;Networking Systems (LAN,WAN);Database Software/Programming;Programming Services;Other Software (inq. Games);Internet Services &amp; Software;Desktop Publishing;Utilities/File Mgmt Software;Other Computer Related Svcs;Applications Software(Home);Applications Software(Business;Communication/Network Software</v>
      </c>
      <c r="X405" s="6" t="str">
        <v>Data Processing Services;Other Computer Related Svcs;Applications Software(Business</v>
      </c>
      <c r="Y405" s="6" t="str">
        <v>Data Processing Services;Other Computer Related Svcs;Applications Software(Business</v>
      </c>
      <c r="Z405" s="6" t="str">
        <v>Applications Software(Business;Data Processing Services;Other Computer Related Svcs</v>
      </c>
      <c r="AA405" s="6" t="str">
        <v>Primary Business not Hi-Tech;Networking Systems (LAN,WAN);Utilities/File Mgmt Software;Applications Software(Business;Database Software/Programming;Desktop Publishing;Applications Software(Home);Programming Services;Communication/Network Software;Other Computer Related Svcs;Internet Services &amp; Software;Computer Consulting Services;Other Software (inq. Games)</v>
      </c>
      <c r="AB405" s="6" t="str">
        <v>Utilities/File Mgmt Software;Desktop Publishing;Computer Consulting Services;Internet Services &amp; Software;Other Software (inq. Games);Communication/Network Software;Applications Software(Business;Networking Systems (LAN,WAN);Primary Business not Hi-Tech;Applications Software(Home);Database Software/Programming;Other Computer Related Svcs;Programming Services</v>
      </c>
      <c r="AC405" s="8">
        <v>363</v>
      </c>
      <c r="AD405" s="7">
        <f>=DATE(2008,4,8)</f>
        <v>39545.99949074074</v>
      </c>
      <c r="AL405" s="8">
        <v>363</v>
      </c>
    </row>
    <row r="406">
      <c r="A406" s="6" t="str">
        <v>594918</v>
      </c>
      <c r="B406" s="6" t="str">
        <v>United States</v>
      </c>
      <c r="C406" s="6" t="str">
        <v>Microsoft Corp</v>
      </c>
      <c r="D406" s="6" t="str">
        <v>Microsoft Corp</v>
      </c>
      <c r="F406" s="6" t="str">
        <v>United States</v>
      </c>
      <c r="G406" s="6" t="str">
        <v>Farecast Inc</v>
      </c>
      <c r="H406" s="6" t="str">
        <v>Prepackaged Software</v>
      </c>
      <c r="I406" s="6" t="str">
        <v>30724N</v>
      </c>
      <c r="J406" s="6" t="str">
        <v>Farecast Inc</v>
      </c>
      <c r="K406" s="6" t="str">
        <v>Farecast Inc</v>
      </c>
      <c r="L406" s="7">
        <f>=DATE(2008,4,14)</f>
        <v>39551.99949074074</v>
      </c>
      <c r="M406" s="7">
        <f>=DATE(2008,4,14)</f>
        <v>39551.99949074074</v>
      </c>
      <c r="N406" s="8">
        <v>75</v>
      </c>
      <c r="O406" s="8">
        <v>75</v>
      </c>
      <c r="W406" s="6" t="str">
        <v>Other Peripherals;Computer Consulting Services;Monitors/Terminals;Operating Systems;Internet Services &amp; Software;Applications Software(Business</v>
      </c>
      <c r="X406" s="6" t="str">
        <v>Internet Services &amp; Software;Communication/Network Software</v>
      </c>
      <c r="Y406" s="6" t="str">
        <v>Internet Services &amp; Software;Communication/Network Software</v>
      </c>
      <c r="Z406" s="6" t="str">
        <v>Internet Services &amp; Software;Communication/Network Software</v>
      </c>
      <c r="AA406" s="6" t="str">
        <v>Internet Services &amp; Software;Operating Systems;Applications Software(Business;Other Peripherals;Monitors/Terminals;Computer Consulting Services</v>
      </c>
      <c r="AB406" s="6" t="str">
        <v>Operating Systems;Monitors/Terminals;Other Peripherals;Internet Services &amp; Software;Applications Software(Business;Computer Consulting Services</v>
      </c>
      <c r="AC406" s="8">
        <v>75</v>
      </c>
      <c r="AD406" s="7">
        <f>=DATE(2008,4,14)</f>
        <v>39551.99949074074</v>
      </c>
      <c r="AL406" s="8">
        <v>75</v>
      </c>
    </row>
    <row r="407">
      <c r="A407" s="6" t="str">
        <v>052660</v>
      </c>
      <c r="B407" s="6" t="str">
        <v>United States</v>
      </c>
      <c r="C407" s="6" t="str">
        <v>AuthenTec Inc</v>
      </c>
      <c r="D407" s="6" t="str">
        <v>AuthenTec Inc</v>
      </c>
      <c r="F407" s="6" t="str">
        <v>United States</v>
      </c>
      <c r="G407" s="6" t="str">
        <v>EzValidation Inc-Software Assets</v>
      </c>
      <c r="H407" s="6" t="str">
        <v>Prepackaged Software</v>
      </c>
      <c r="I407" s="6" t="str">
        <v>27101X</v>
      </c>
      <c r="J407" s="6" t="str">
        <v>EzValidation Inc</v>
      </c>
      <c r="K407" s="6" t="str">
        <v>EzValidation Inc</v>
      </c>
      <c r="L407" s="7">
        <f>=DATE(2008,4,16)</f>
        <v>39553.99949074074</v>
      </c>
      <c r="M407" s="7">
        <f>=DATE(2008,4,16)</f>
        <v>39553.99949074074</v>
      </c>
      <c r="W407" s="6" t="str">
        <v>Semiconductors;Other Electronics;Search, Detection, Navigation</v>
      </c>
      <c r="X407" s="6" t="str">
        <v>Other Software (inq. Games)</v>
      </c>
      <c r="Y407" s="6" t="str">
        <v>Other Software (inq. Games)</v>
      </c>
      <c r="Z407" s="6" t="str">
        <v>Other Software (inq. Games)</v>
      </c>
      <c r="AA407" s="6" t="str">
        <v>Semiconductors;Other Electronics;Search, Detection, Navigation</v>
      </c>
      <c r="AB407" s="6" t="str">
        <v>Other Electronics;Semiconductors;Search, Detection, Navigation</v>
      </c>
    </row>
    <row r="408">
      <c r="A408" s="6" t="str">
        <v>037833</v>
      </c>
      <c r="B408" s="6" t="str">
        <v>United States</v>
      </c>
      <c r="C408" s="6" t="str">
        <v>Apple Inc</v>
      </c>
      <c r="D408" s="6" t="str">
        <v>Apple Inc</v>
      </c>
      <c r="F408" s="6" t="str">
        <v>United States</v>
      </c>
      <c r="G408" s="6" t="str">
        <v>PA Semi Inc</v>
      </c>
      <c r="H408" s="6" t="str">
        <v>Electronic and Electrical Equipment</v>
      </c>
      <c r="I408" s="6" t="str">
        <v>70462M</v>
      </c>
      <c r="J408" s="6" t="str">
        <v>PA Semi Inc</v>
      </c>
      <c r="K408" s="6" t="str">
        <v>PA Semi Inc</v>
      </c>
      <c r="L408" s="7">
        <f>=DATE(2008,4,24)</f>
        <v>39561.99949074074</v>
      </c>
      <c r="M408" s="7">
        <f>=DATE(2008,4,24)</f>
        <v>39561.99949074074</v>
      </c>
      <c r="N408" s="8">
        <v>268</v>
      </c>
      <c r="O408" s="8">
        <v>268</v>
      </c>
      <c r="W408" s="6" t="str">
        <v>Mainframes &amp; Super Computers;Other Software (inq. Games);Disk Drives;Monitors/Terminals;Other Peripherals;Portable Computers;Printers;Micro-Computers (PCs)</v>
      </c>
      <c r="X408" s="6" t="str">
        <v>Semiconductors</v>
      </c>
      <c r="Y408" s="6" t="str">
        <v>Semiconductors</v>
      </c>
      <c r="Z408" s="6" t="str">
        <v>Semiconductors</v>
      </c>
      <c r="AA408" s="6" t="str">
        <v>Micro-Computers (PCs);Monitors/Terminals;Disk Drives;Other Software (inq. Games);Other Peripherals;Mainframes &amp; Super Computers;Portable Computers;Printers</v>
      </c>
      <c r="AB408" s="6" t="str">
        <v>Disk Drives;Other Peripherals;Monitors/Terminals;Portable Computers;Micro-Computers (PCs);Mainframes &amp; Super Computers;Printers;Other Software (inq. Games)</v>
      </c>
      <c r="AC408" s="8">
        <v>268</v>
      </c>
      <c r="AD408" s="7">
        <f>=DATE(2008,4,24)</f>
        <v>39561.99949074074</v>
      </c>
      <c r="AL408" s="8">
        <v>268</v>
      </c>
    </row>
    <row r="409">
      <c r="A409" s="6" t="str">
        <v>594918</v>
      </c>
      <c r="B409" s="6" t="str">
        <v>United States</v>
      </c>
      <c r="C409" s="6" t="str">
        <v>Microsoft Corp</v>
      </c>
      <c r="D409" s="6" t="str">
        <v>Microsoft Corp</v>
      </c>
      <c r="F409" s="6" t="str">
        <v>Czech Republic</v>
      </c>
      <c r="G409" s="6" t="str">
        <v>Seznam.cz AS</v>
      </c>
      <c r="H409" s="6" t="str">
        <v>Business Services</v>
      </c>
      <c r="I409" s="6" t="str">
        <v>81142V</v>
      </c>
      <c r="J409" s="6" t="str">
        <v>Seznam.cz AS</v>
      </c>
      <c r="K409" s="6" t="str">
        <v>Seznam.cz AS</v>
      </c>
      <c r="L409" s="7">
        <f>=DATE(2008,4,28)</f>
        <v>39565.99949074074</v>
      </c>
      <c r="W409" s="6" t="str">
        <v>Monitors/Terminals;Internet Services &amp; Software;Other Peripherals;Operating Systems;Computer Consulting Services;Applications Software(Business</v>
      </c>
      <c r="X409" s="6" t="str">
        <v>Computer Consulting Services;Internet Services &amp; Software;Telecommunications Equipment</v>
      </c>
      <c r="Y409" s="6" t="str">
        <v>Computer Consulting Services;Telecommunications Equipment;Internet Services &amp; Software</v>
      </c>
      <c r="Z409" s="6" t="str">
        <v>Computer Consulting Services;Internet Services &amp; Software;Telecommunications Equipment</v>
      </c>
      <c r="AA409" s="6" t="str">
        <v>Internet Services &amp; Software;Operating Systems;Computer Consulting Services;Other Peripherals;Monitors/Terminals;Applications Software(Business</v>
      </c>
      <c r="AB409" s="6" t="str">
        <v>Internet Services &amp; Software;Monitors/Terminals;Operating Systems;Applications Software(Business;Other Peripherals;Computer Consulting Services</v>
      </c>
    </row>
    <row r="410">
      <c r="A410" s="6" t="str">
        <v>38259P</v>
      </c>
      <c r="B410" s="6" t="str">
        <v>United States</v>
      </c>
      <c r="C410" s="6" t="str">
        <v>Google Inc</v>
      </c>
      <c r="D410" s="6" t="str">
        <v>Alphabet Inc</v>
      </c>
      <c r="F410" s="6" t="str">
        <v>United States</v>
      </c>
      <c r="G410" s="6" t="str">
        <v>Salesforce.com Inc</v>
      </c>
      <c r="H410" s="6" t="str">
        <v>Prepackaged Software</v>
      </c>
      <c r="I410" s="6" t="str">
        <v>79466L</v>
      </c>
      <c r="J410" s="6" t="str">
        <v>Salesforce.com Inc</v>
      </c>
      <c r="K410" s="6" t="str">
        <v>Salesforce.com Inc</v>
      </c>
      <c r="L410" s="7">
        <f>=DATE(2008,6,4)</f>
        <v>39602.99949074074</v>
      </c>
      <c r="R410" s="8">
        <v>27.181</v>
      </c>
      <c r="S410" s="8">
        <v>833.91</v>
      </c>
      <c r="T410" s="8">
        <v>102.462</v>
      </c>
      <c r="U410" s="8">
        <v>-60.177</v>
      </c>
      <c r="V410" s="8">
        <v>251.277</v>
      </c>
      <c r="W410" s="6" t="str">
        <v>Programming Services;Internet Services &amp; Software</v>
      </c>
      <c r="X410" s="6" t="str">
        <v>Applications Software(Business;Other Software (inq. Games);Programming Services;Database Software/Programming;Communication/Network Software</v>
      </c>
      <c r="Y410" s="6" t="str">
        <v>Other Software (inq. Games);Applications Software(Business;Communication/Network Software;Database Software/Programming;Programming Services</v>
      </c>
      <c r="Z410" s="6" t="str">
        <v>Programming Services;Database Software/Programming;Other Software (inq. Games);Applications Software(Business;Communication/Network Software</v>
      </c>
      <c r="AA410" s="6" t="str">
        <v>Internet Services &amp; Software;Programming Services;Primary Business not Hi-Tech;Computer Consulting Services;Telecommunications Equipment</v>
      </c>
      <c r="AB410" s="6" t="str">
        <v>Computer Consulting Services;Primary Business not Hi-Tech;Programming Services;Telecommunications Equipment;Internet Services &amp; Software</v>
      </c>
    </row>
    <row r="411">
      <c r="A411" s="6" t="str">
        <v>594918</v>
      </c>
      <c r="B411" s="6" t="str">
        <v>United States</v>
      </c>
      <c r="C411" s="6" t="str">
        <v>Microsoft Corp</v>
      </c>
      <c r="D411" s="6" t="str">
        <v>Microsoft Corp</v>
      </c>
      <c r="F411" s="6" t="str">
        <v>Ireland</v>
      </c>
      <c r="G411" s="6" t="str">
        <v>Zignals</v>
      </c>
      <c r="H411" s="6" t="str">
        <v>Business Services</v>
      </c>
      <c r="I411" s="6" t="str">
        <v>99171Q</v>
      </c>
      <c r="J411" s="6" t="str">
        <v>Zignals</v>
      </c>
      <c r="K411" s="6" t="str">
        <v>Zignals</v>
      </c>
      <c r="L411" s="7">
        <f>=DATE(2008,6,12)</f>
        <v>39610.99949074074</v>
      </c>
      <c r="M411" s="7">
        <f>=DATE(2008,6,12)</f>
        <v>39610.99949074074</v>
      </c>
      <c r="W411" s="6" t="str">
        <v>Applications Software(Business;Monitors/Terminals;Operating Systems;Computer Consulting Services;Other Peripherals;Internet Services &amp; Software</v>
      </c>
      <c r="X411" s="6" t="str">
        <v>Internet Services &amp; Software</v>
      </c>
      <c r="Y411" s="6" t="str">
        <v>Internet Services &amp; Software</v>
      </c>
      <c r="Z411" s="6" t="str">
        <v>Internet Services &amp; Software</v>
      </c>
      <c r="AA411" s="6" t="str">
        <v>Operating Systems;Applications Software(Business;Internet Services &amp; Software;Monitors/Terminals;Other Peripherals;Computer Consulting Services</v>
      </c>
      <c r="AB411" s="6" t="str">
        <v>Computer Consulting Services;Applications Software(Business;Operating Systems;Monitors/Terminals;Other Peripherals;Internet Services &amp; Software</v>
      </c>
    </row>
    <row r="412">
      <c r="A412" s="6" t="str">
        <v>594918</v>
      </c>
      <c r="B412" s="6" t="str">
        <v>United States</v>
      </c>
      <c r="C412" s="6" t="str">
        <v>Microsoft Corp</v>
      </c>
      <c r="D412" s="6" t="str">
        <v>Microsoft Corp</v>
      </c>
      <c r="F412" s="6" t="str">
        <v>United States</v>
      </c>
      <c r="G412" s="6" t="str">
        <v>Navic Networks</v>
      </c>
      <c r="H412" s="6" t="str">
        <v>Prepackaged Software</v>
      </c>
      <c r="I412" s="6" t="str">
        <v>63931T</v>
      </c>
      <c r="J412" s="6" t="str">
        <v>Navic Networks</v>
      </c>
      <c r="K412" s="6" t="str">
        <v>Navic Networks</v>
      </c>
      <c r="L412" s="7">
        <f>=DATE(2008,6,18)</f>
        <v>39616.99949074074</v>
      </c>
      <c r="M412" s="7">
        <f>=DATE(2008,6,18)</f>
        <v>39616.99949074074</v>
      </c>
      <c r="W412" s="6" t="str">
        <v>Computer Consulting Services;Monitors/Terminals;Operating Systems;Applications Software(Business;Other Peripherals;Internet Services &amp; Software</v>
      </c>
      <c r="X412" s="6" t="str">
        <v>Internet Services &amp; Software;Communication/Network Software</v>
      </c>
      <c r="Y412" s="6" t="str">
        <v>Communication/Network Software;Internet Services &amp; Software</v>
      </c>
      <c r="Z412" s="6" t="str">
        <v>Communication/Network Software;Internet Services &amp; Software</v>
      </c>
      <c r="AA412" s="6" t="str">
        <v>Computer Consulting Services;Monitors/Terminals;Other Peripherals;Operating Systems;Internet Services &amp; Software;Applications Software(Business</v>
      </c>
      <c r="AB412" s="6" t="str">
        <v>Computer Consulting Services;Internet Services &amp; Software;Applications Software(Business;Operating Systems;Other Peripherals;Monitors/Terminals</v>
      </c>
    </row>
    <row r="413">
      <c r="A413" s="6" t="str">
        <v>594918</v>
      </c>
      <c r="B413" s="6" t="str">
        <v>United States</v>
      </c>
      <c r="C413" s="6" t="str">
        <v>Microsoft Corp</v>
      </c>
      <c r="D413" s="6" t="str">
        <v>Microsoft Corp</v>
      </c>
      <c r="F413" s="6" t="str">
        <v>Portugal</v>
      </c>
      <c r="G413" s="6" t="str">
        <v>MobiComp</v>
      </c>
      <c r="H413" s="6" t="str">
        <v>Telecommunications</v>
      </c>
      <c r="I413" s="6" t="str">
        <v>60830K</v>
      </c>
      <c r="J413" s="6" t="str">
        <v>MobiComp</v>
      </c>
      <c r="K413" s="6" t="str">
        <v>MobiComp</v>
      </c>
      <c r="L413" s="7">
        <f>=DATE(2008,6,26)</f>
        <v>39624.99949074074</v>
      </c>
      <c r="W413" s="6" t="str">
        <v>Internet Services &amp; Software;Operating Systems;Other Peripherals;Computer Consulting Services;Monitors/Terminals;Applications Software(Business</v>
      </c>
      <c r="X413" s="6" t="str">
        <v>Data Processing Services</v>
      </c>
      <c r="Y413" s="6" t="str">
        <v>Data Processing Services</v>
      </c>
      <c r="Z413" s="6" t="str">
        <v>Data Processing Services</v>
      </c>
      <c r="AA413" s="6" t="str">
        <v>Monitors/Terminals;Operating Systems;Other Peripherals;Internet Services &amp; Software;Computer Consulting Services;Applications Software(Business</v>
      </c>
      <c r="AB413" s="6" t="str">
        <v>Applications Software(Business;Other Peripherals;Computer Consulting Services;Monitors/Terminals;Operating Systems;Internet Services &amp; Software</v>
      </c>
    </row>
    <row r="414">
      <c r="A414" s="6" t="str">
        <v>594918</v>
      </c>
      <c r="B414" s="6" t="str">
        <v>United States</v>
      </c>
      <c r="C414" s="6" t="str">
        <v>Microsoft Corp</v>
      </c>
      <c r="D414" s="6" t="str">
        <v>Microsoft Corp</v>
      </c>
      <c r="F414" s="6" t="str">
        <v>United States</v>
      </c>
      <c r="G414" s="6" t="str">
        <v>Powerset Inc</v>
      </c>
      <c r="H414" s="6" t="str">
        <v>Prepackaged Software</v>
      </c>
      <c r="I414" s="6" t="str">
        <v>73961A</v>
      </c>
      <c r="J414" s="6" t="str">
        <v>Powerset Inc</v>
      </c>
      <c r="K414" s="6" t="str">
        <v>Powerset Inc</v>
      </c>
      <c r="L414" s="7">
        <f>=DATE(2008,6,26)</f>
        <v>39624.99949074074</v>
      </c>
      <c r="M414" s="7">
        <f>=DATE(2008,7,1)</f>
        <v>39629.99949074074</v>
      </c>
      <c r="W414" s="6" t="str">
        <v>Other Peripherals;Internet Services &amp; Software;Computer Consulting Services;Operating Systems;Monitors/Terminals;Applications Software(Business</v>
      </c>
      <c r="X414" s="6" t="str">
        <v>Internet Services &amp; Software;Communication/Network Software</v>
      </c>
      <c r="Y414" s="6" t="str">
        <v>Communication/Network Software;Internet Services &amp; Software</v>
      </c>
      <c r="Z414" s="6" t="str">
        <v>Communication/Network Software;Internet Services &amp; Software</v>
      </c>
      <c r="AA414" s="6" t="str">
        <v>Operating Systems;Monitors/Terminals;Internet Services &amp; Software;Applications Software(Business;Other Peripherals;Computer Consulting Services</v>
      </c>
      <c r="AB414" s="6" t="str">
        <v>Operating Systems;Monitors/Terminals;Applications Software(Business;Computer Consulting Services;Other Peripherals;Internet Services &amp; Software</v>
      </c>
    </row>
    <row r="415">
      <c r="A415" s="6" t="str">
        <v>594918</v>
      </c>
      <c r="B415" s="6" t="str">
        <v>United States</v>
      </c>
      <c r="C415" s="6" t="str">
        <v>Microsoft Corp</v>
      </c>
      <c r="D415" s="6" t="str">
        <v>Microsoft Corp</v>
      </c>
      <c r="F415" s="6" t="str">
        <v>Israel</v>
      </c>
      <c r="G415" s="6" t="str">
        <v>MSN Israel Ltd</v>
      </c>
      <c r="H415" s="6" t="str">
        <v>Business Services</v>
      </c>
      <c r="I415" s="6" t="str">
        <v>55389J</v>
      </c>
      <c r="J415" s="6" t="str">
        <v>Eurocom Communications Ltd</v>
      </c>
      <c r="K415" s="6" t="str">
        <v>Internet Gold Golden Lines Ltd</v>
      </c>
      <c r="L415" s="7">
        <f>=DATE(2008,7,7)</f>
        <v>39635.99949074074</v>
      </c>
      <c r="W415" s="6" t="str">
        <v>Computer Consulting Services;Applications Software(Business;Internet Services &amp; Software;Monitors/Terminals;Other Peripherals;Operating Systems</v>
      </c>
      <c r="X415" s="6" t="str">
        <v>Communication/Network Software;Internet Services &amp; Software</v>
      </c>
      <c r="Y415" s="6" t="str">
        <v>Internet Services &amp; Software;Communication/Network Software</v>
      </c>
      <c r="Z415" s="6" t="str">
        <v>Telecommunications Equipment</v>
      </c>
      <c r="AA415" s="6" t="str">
        <v>Applications Software(Business;Computer Consulting Services;Monitors/Terminals;Other Peripherals;Internet Services &amp; Software;Operating Systems</v>
      </c>
      <c r="AB415" s="6" t="str">
        <v>Operating Systems;Internet Services &amp; Software;Computer Consulting Services;Other Peripherals;Monitors/Terminals;Applications Software(Business</v>
      </c>
    </row>
    <row r="416">
      <c r="A416" s="6" t="str">
        <v>594918</v>
      </c>
      <c r="B416" s="6" t="str">
        <v>United States</v>
      </c>
      <c r="C416" s="6" t="str">
        <v>Microsoft Corp</v>
      </c>
      <c r="D416" s="6" t="str">
        <v>Microsoft Corp</v>
      </c>
      <c r="F416" s="6" t="str">
        <v>Israel</v>
      </c>
      <c r="G416" s="6" t="str">
        <v>Zoomix Data Mastering Ltd</v>
      </c>
      <c r="H416" s="6" t="str">
        <v>Prepackaged Software</v>
      </c>
      <c r="I416" s="6" t="str">
        <v>99185C</v>
      </c>
      <c r="J416" s="6" t="str">
        <v>Zoomix Data Mastering Ltd</v>
      </c>
      <c r="K416" s="6" t="str">
        <v>Zoomix Data Mastering Ltd</v>
      </c>
      <c r="L416" s="7">
        <f>=DATE(2008,7,14)</f>
        <v>39642.99949074074</v>
      </c>
      <c r="W416" s="6" t="str">
        <v>Operating Systems;Internet Services &amp; Software;Computer Consulting Services;Other Peripherals;Applications Software(Business;Monitors/Terminals</v>
      </c>
      <c r="X416" s="6" t="str">
        <v>Internet Services &amp; Software</v>
      </c>
      <c r="Y416" s="6" t="str">
        <v>Internet Services &amp; Software</v>
      </c>
      <c r="Z416" s="6" t="str">
        <v>Internet Services &amp; Software</v>
      </c>
      <c r="AA416" s="6" t="str">
        <v>Computer Consulting Services;Monitors/Terminals;Internet Services &amp; Software;Applications Software(Business;Operating Systems;Other Peripherals</v>
      </c>
      <c r="AB416" s="6" t="str">
        <v>Operating Systems;Computer Consulting Services;Internet Services &amp; Software;Applications Software(Business;Monitors/Terminals;Other Peripherals</v>
      </c>
    </row>
    <row r="417">
      <c r="A417" s="6" t="str">
        <v>00507V</v>
      </c>
      <c r="B417" s="6" t="str">
        <v>United States</v>
      </c>
      <c r="C417" s="6" t="str">
        <v>Activision Blizzard Inc</v>
      </c>
      <c r="D417" s="6" t="str">
        <v>Vivendi SE</v>
      </c>
      <c r="F417" s="6" t="str">
        <v>United States</v>
      </c>
      <c r="G417" s="6" t="str">
        <v>Activision Blizzard Inc</v>
      </c>
      <c r="H417" s="6" t="str">
        <v>Prepackaged Software</v>
      </c>
      <c r="I417" s="6" t="str">
        <v>00507V</v>
      </c>
      <c r="J417" s="6" t="str">
        <v>Vivendi SE</v>
      </c>
      <c r="K417" s="6" t="str">
        <v>Vivendi SE</v>
      </c>
      <c r="L417" s="7">
        <f>=DATE(2008,7,16)</f>
        <v>39644.99949074074</v>
      </c>
      <c r="M417" s="7">
        <f>=DATE(2008,8,13)</f>
        <v>39672.99949074074</v>
      </c>
      <c r="N417" s="8">
        <v>2.363</v>
      </c>
      <c r="O417" s="8">
        <v>2.363</v>
      </c>
      <c r="P417" s="8" t="str">
        <v>32,419.00</v>
      </c>
      <c r="R417" s="8">
        <v>227</v>
      </c>
      <c r="S417" s="8">
        <v>1349</v>
      </c>
      <c r="T417" s="8">
        <v>-371</v>
      </c>
      <c r="U417" s="8">
        <v>-68</v>
      </c>
      <c r="V417" s="8">
        <v>431</v>
      </c>
      <c r="W417" s="6" t="str">
        <v>Other Software (inq. Games);Other Computer Systems;Operating Systems</v>
      </c>
      <c r="X417" s="6" t="str">
        <v>Operating Systems;Other Computer Systems;Other Software (inq. Games)</v>
      </c>
      <c r="Y417" s="6" t="str">
        <v>Primary Business not Hi-Tech;Internet Services &amp; Software;Other Software (inq. Games)</v>
      </c>
      <c r="Z417" s="6" t="str">
        <v>Primary Business not Hi-Tech;Other Software (inq. Games);Internet Services &amp; Software</v>
      </c>
      <c r="AA417" s="6" t="str">
        <v>Internet Services &amp; Software;Primary Business not Hi-Tech;Other Software (inq. Games)</v>
      </c>
      <c r="AB417" s="6" t="str">
        <v>Internet Services &amp; Software;Other Software (inq. Games);Primary Business not Hi-Tech</v>
      </c>
      <c r="AC417" s="8">
        <v>2.363</v>
      </c>
      <c r="AD417" s="7">
        <f>=DATE(2008,7,16)</f>
        <v>39644.99949074074</v>
      </c>
      <c r="AE417" s="8">
        <v>18020.0075</v>
      </c>
      <c r="AF417" s="8" t="str">
        <v>17,955.01</v>
      </c>
      <c r="AG417" s="8" t="str">
        <v>32,419.00</v>
      </c>
      <c r="AH417" s="8" t="str">
        <v>32,484.00</v>
      </c>
      <c r="AI417" s="8" t="str">
        <v>18,020.01</v>
      </c>
      <c r="AK417" s="6" t="str">
        <v>US Dollar</v>
      </c>
      <c r="AL417" s="8">
        <v>2.363</v>
      </c>
    </row>
    <row r="418">
      <c r="A418" s="6" t="str">
        <v>38259P</v>
      </c>
      <c r="B418" s="6" t="str">
        <v>United States</v>
      </c>
      <c r="C418" s="6" t="str">
        <v>Google Inc</v>
      </c>
      <c r="D418" s="6" t="str">
        <v>Alphabet Inc</v>
      </c>
      <c r="F418" s="6" t="str">
        <v>United States</v>
      </c>
      <c r="G418" s="6" t="str">
        <v>Digg</v>
      </c>
      <c r="H418" s="6" t="str">
        <v>Business Services</v>
      </c>
      <c r="I418" s="6" t="str">
        <v>25339T</v>
      </c>
      <c r="J418" s="6" t="str">
        <v>Digg</v>
      </c>
      <c r="K418" s="6" t="str">
        <v>Digg</v>
      </c>
      <c r="L418" s="7">
        <f>=DATE(2008,7,22)</f>
        <v>39650.99949074074</v>
      </c>
      <c r="W418" s="6" t="str">
        <v>Internet Services &amp; Software;Programming Services</v>
      </c>
      <c r="X418" s="6" t="str">
        <v>Internet Services &amp; Software;Other Computer Related Svcs</v>
      </c>
      <c r="Y418" s="6" t="str">
        <v>Other Computer Related Svcs;Internet Services &amp; Software</v>
      </c>
      <c r="Z418" s="6" t="str">
        <v>Other Computer Related Svcs;Internet Services &amp; Software</v>
      </c>
      <c r="AA418" s="6" t="str">
        <v>Internet Services &amp; Software;Computer Consulting Services;Primary Business not Hi-Tech;Telecommunications Equipment;Programming Services</v>
      </c>
      <c r="AB418" s="6" t="str">
        <v>Internet Services &amp; Software;Programming Services;Telecommunications Equipment;Computer Consulting Services;Primary Business not Hi-Tech</v>
      </c>
    </row>
    <row r="419">
      <c r="A419" s="6" t="str">
        <v>594918</v>
      </c>
      <c r="B419" s="6" t="str">
        <v>United States</v>
      </c>
      <c r="C419" s="6" t="str">
        <v>Microsoft Corp</v>
      </c>
      <c r="D419" s="6" t="str">
        <v>Microsoft Corp</v>
      </c>
      <c r="F419" s="6" t="str">
        <v>United States</v>
      </c>
      <c r="G419" s="6" t="str">
        <v>DATAllegro Inc</v>
      </c>
      <c r="H419" s="6" t="str">
        <v>Prepackaged Software</v>
      </c>
      <c r="I419" s="6" t="str">
        <v>23783P</v>
      </c>
      <c r="J419" s="6" t="str">
        <v>DATAllegro Inc</v>
      </c>
      <c r="K419" s="6" t="str">
        <v>DATAllegro Inc</v>
      </c>
      <c r="L419" s="7">
        <f>=DATE(2008,7,24)</f>
        <v>39652.99949074074</v>
      </c>
      <c r="M419" s="7">
        <f>=DATE(2008,9,16)</f>
        <v>39706.99949074074</v>
      </c>
      <c r="W419" s="6" t="str">
        <v>Internet Services &amp; Software;Other Peripherals;Operating Systems;Applications Software(Business;Monitors/Terminals;Computer Consulting Services</v>
      </c>
      <c r="X419" s="6" t="str">
        <v>Other Software (inq. Games)</v>
      </c>
      <c r="Y419" s="6" t="str">
        <v>Other Software (inq. Games)</v>
      </c>
      <c r="Z419" s="6" t="str">
        <v>Other Software (inq. Games)</v>
      </c>
      <c r="AA419" s="6" t="str">
        <v>Applications Software(Business;Computer Consulting Services;Monitors/Terminals;Internet Services &amp; Software;Operating Systems;Other Peripherals</v>
      </c>
      <c r="AB419" s="6" t="str">
        <v>Internet Services &amp; Software;Computer Consulting Services;Operating Systems;Applications Software(Business;Monitors/Terminals;Other Peripherals</v>
      </c>
    </row>
    <row r="420">
      <c r="A420" s="6" t="str">
        <v>38259P</v>
      </c>
      <c r="B420" s="6" t="str">
        <v>United States</v>
      </c>
      <c r="C420" s="6" t="str">
        <v>Google Inc</v>
      </c>
      <c r="D420" s="6" t="str">
        <v>Alphabet Inc</v>
      </c>
      <c r="F420" s="6" t="str">
        <v>Czech Republic</v>
      </c>
      <c r="G420" s="6" t="str">
        <v>Seznam.cz AS</v>
      </c>
      <c r="H420" s="6" t="str">
        <v>Business Services</v>
      </c>
      <c r="I420" s="6" t="str">
        <v>81142V</v>
      </c>
      <c r="J420" s="6" t="str">
        <v>Seznam.cz AS</v>
      </c>
      <c r="K420" s="6" t="str">
        <v>Seznam.cz AS</v>
      </c>
      <c r="L420" s="7">
        <f>=DATE(2008,7,28)</f>
        <v>39656.99949074074</v>
      </c>
      <c r="W420" s="6" t="str">
        <v>Internet Services &amp; Software;Programming Services</v>
      </c>
      <c r="X420" s="6" t="str">
        <v>Internet Services &amp; Software;Telecommunications Equipment;Computer Consulting Services</v>
      </c>
      <c r="Y420" s="6" t="str">
        <v>Computer Consulting Services;Internet Services &amp; Software;Telecommunications Equipment</v>
      </c>
      <c r="Z420" s="6" t="str">
        <v>Computer Consulting Services;Telecommunications Equipment;Internet Services &amp; Software</v>
      </c>
      <c r="AA420" s="6" t="str">
        <v>Primary Business not Hi-Tech;Internet Services &amp; Software;Programming Services;Computer Consulting Services;Telecommunications Equipment</v>
      </c>
      <c r="AB420" s="6" t="str">
        <v>Computer Consulting Services;Telecommunications Equipment;Programming Services;Primary Business not Hi-Tech;Internet Services &amp; Software</v>
      </c>
    </row>
    <row r="421">
      <c r="A421" s="6" t="str">
        <v>38259P</v>
      </c>
      <c r="B421" s="6" t="str">
        <v>United States</v>
      </c>
      <c r="C421" s="6" t="str">
        <v>Google Inc</v>
      </c>
      <c r="D421" s="6" t="str">
        <v>Alphabet Inc</v>
      </c>
      <c r="F421" s="6" t="str">
        <v>United States</v>
      </c>
      <c r="G421" s="6" t="str">
        <v>Omnisio Inc</v>
      </c>
      <c r="H421" s="6" t="str">
        <v>Business Services</v>
      </c>
      <c r="I421" s="6" t="str">
        <v>68327Y</v>
      </c>
      <c r="J421" s="6" t="str">
        <v>Omnisio Inc</v>
      </c>
      <c r="K421" s="6" t="str">
        <v>Omnisio Inc</v>
      </c>
      <c r="L421" s="7">
        <f>=DATE(2008,7,30)</f>
        <v>39658.99949074074</v>
      </c>
      <c r="M421" s="7">
        <f>=DATE(2008,7,30)</f>
        <v>39658.99949074074</v>
      </c>
      <c r="W421" s="6" t="str">
        <v>Programming Services;Internet Services &amp; Software</v>
      </c>
      <c r="X421" s="6" t="str">
        <v>Internet Services &amp; Software</v>
      </c>
      <c r="Y421" s="6" t="str">
        <v>Internet Services &amp; Software</v>
      </c>
      <c r="Z421" s="6" t="str">
        <v>Internet Services &amp; Software</v>
      </c>
      <c r="AA421" s="6" t="str">
        <v>Programming Services;Internet Services &amp; Software;Primary Business not Hi-Tech;Computer Consulting Services;Telecommunications Equipment</v>
      </c>
      <c r="AB421" s="6" t="str">
        <v>Primary Business not Hi-Tech;Programming Services;Computer Consulting Services;Telecommunications Equipment;Internet Services &amp; Software</v>
      </c>
    </row>
    <row r="422">
      <c r="A422" s="6" t="str">
        <v>023135</v>
      </c>
      <c r="B422" s="6" t="str">
        <v>United States</v>
      </c>
      <c r="C422" s="6" t="str">
        <v>Amazon.com Inc</v>
      </c>
      <c r="D422" s="6" t="str">
        <v>Amazon.com Inc</v>
      </c>
      <c r="F422" s="6" t="str">
        <v>Canada</v>
      </c>
      <c r="G422" s="6" t="str">
        <v>AbeBooks Inc</v>
      </c>
      <c r="H422" s="6" t="str">
        <v>Miscellaneous Retail Trade</v>
      </c>
      <c r="I422" s="6" t="str">
        <v>00984N</v>
      </c>
      <c r="J422" s="6" t="str">
        <v>AbeBooks Inc</v>
      </c>
      <c r="K422" s="6" t="str">
        <v>AbeBooks Inc</v>
      </c>
      <c r="L422" s="7">
        <f>=DATE(2008,8,1)</f>
        <v>39660.99949074074</v>
      </c>
      <c r="M422" s="7">
        <f>=DATE(2008,12,1)</f>
        <v>39782.99949074074</v>
      </c>
      <c r="W422" s="6" t="str">
        <v>Primary Business not Hi-Tech</v>
      </c>
      <c r="X422" s="6" t="str">
        <v>Internet Services &amp; Software</v>
      </c>
      <c r="Y422" s="6" t="str">
        <v>Internet Services &amp; Software</v>
      </c>
      <c r="Z422" s="6" t="str">
        <v>Internet Services &amp; Software</v>
      </c>
      <c r="AA422" s="6" t="str">
        <v>Primary Business not Hi-Tech</v>
      </c>
      <c r="AB422" s="6" t="str">
        <v>Primary Business not Hi-Tech</v>
      </c>
    </row>
    <row r="423">
      <c r="A423" s="6" t="str">
        <v>67020Y</v>
      </c>
      <c r="B423" s="6" t="str">
        <v>United States</v>
      </c>
      <c r="C423" s="6" t="str">
        <v>Nuance Communications Inc</v>
      </c>
      <c r="D423" s="6" t="str">
        <v>Nuance Communications Inc</v>
      </c>
      <c r="F423" s="6" t="str">
        <v>Canada</v>
      </c>
      <c r="G423" s="6" t="str">
        <v>Zi Corp</v>
      </c>
      <c r="H423" s="6" t="str">
        <v>Prepackaged Software</v>
      </c>
      <c r="I423" s="6" t="str">
        <v>988918</v>
      </c>
      <c r="J423" s="6" t="str">
        <v>Zi Corp</v>
      </c>
      <c r="K423" s="6" t="str">
        <v>Zi Corp</v>
      </c>
      <c r="L423" s="7">
        <f>=DATE(2008,8,14)</f>
        <v>39673.99949074074</v>
      </c>
      <c r="M423" s="7">
        <f>=DATE(2009,4,9)</f>
        <v>39911.99949074074</v>
      </c>
      <c r="N423" s="8">
        <v>47.5974752317034</v>
      </c>
      <c r="O423" s="8">
        <v>34.3408437200384</v>
      </c>
      <c r="P423" s="8" t="str">
        <v>32.21</v>
      </c>
      <c r="R423" s="8">
        <v>-6.44554048499795</v>
      </c>
      <c r="S423" s="8">
        <v>11.6415947390053</v>
      </c>
      <c r="U423" s="8">
        <v>1.014886024</v>
      </c>
      <c r="V423" s="8">
        <v>-2.82506766</v>
      </c>
      <c r="W423" s="6" t="str">
        <v>Utilities/File Mgmt Software;Database Software/Programming;Applications Software(Business;Other Computer Related Svcs;Other Software (inq. Games);Communication/Network Software;Computer Consulting Services;Networking Systems (LAN,WAN);Applications Software(Home);Desktop Publishing;Programming Services;Primary Business not Hi-Tech;Internet Services &amp; Software</v>
      </c>
      <c r="X423" s="6" t="str">
        <v>Communication/Network Software</v>
      </c>
      <c r="Y423" s="6" t="str">
        <v>Communication/Network Software</v>
      </c>
      <c r="Z423" s="6" t="str">
        <v>Communication/Network Software</v>
      </c>
      <c r="AA423" s="6" t="str">
        <v>Other Computer Related Svcs;Applications Software(Business;Communication/Network Software;Programming Services;Primary Business not Hi-Tech;Computer Consulting Services;Other Software (inq. Games);Networking Systems (LAN,WAN);Database Software/Programming;Applications Software(Home);Desktop Publishing;Utilities/File Mgmt Software;Internet Services &amp; Software</v>
      </c>
      <c r="AB423" s="6" t="str">
        <v>Utilities/File Mgmt Software;Networking Systems (LAN,WAN);Primary Business not Hi-Tech;Programming Services;Computer Consulting Services;Other Computer Related Svcs;Applications Software(Business;Desktop Publishing;Communication/Network Software;Internet Services &amp; Software;Applications Software(Home);Database Software/Programming;Other Software (inq. Games)</v>
      </c>
      <c r="AC423" s="8">
        <v>34.3408437200384</v>
      </c>
      <c r="AD423" s="7">
        <f>=DATE(2009,2,26)</f>
        <v>39869.99949074074</v>
      </c>
      <c r="AE423" s="8">
        <v>34.3354613694471</v>
      </c>
      <c r="AF423" s="8" t="str">
        <v>36.71</v>
      </c>
      <c r="AG423" s="8" t="str">
        <v>37.38</v>
      </c>
      <c r="AH423" s="8" t="str">
        <v>40.56</v>
      </c>
      <c r="AI423" s="8" t="str">
        <v>40.36</v>
      </c>
      <c r="AK423" s="6" t="str">
        <v>US Dollar;US Dollar</v>
      </c>
      <c r="AL423" s="8">
        <v>34.3408437200384</v>
      </c>
    </row>
    <row r="424">
      <c r="A424" s="6" t="str">
        <v>67020Y</v>
      </c>
      <c r="B424" s="6" t="str">
        <v>United States</v>
      </c>
      <c r="C424" s="6" t="str">
        <v>Nuance Communications Inc</v>
      </c>
      <c r="D424" s="6" t="str">
        <v>Nuance Communications Inc</v>
      </c>
      <c r="F424" s="6" t="str">
        <v>United States</v>
      </c>
      <c r="G424" s="6" t="str">
        <v>SNAPin Software Inc</v>
      </c>
      <c r="H424" s="6" t="str">
        <v>Prepackaged Software</v>
      </c>
      <c r="I424" s="6" t="str">
        <v>83708H</v>
      </c>
      <c r="J424" s="6" t="str">
        <v>SNAPin Software Inc</v>
      </c>
      <c r="K424" s="6" t="str">
        <v>SNAPin Software Inc</v>
      </c>
      <c r="L424" s="7">
        <f>=DATE(2008,8,19)</f>
        <v>39678.99949074074</v>
      </c>
      <c r="M424" s="7">
        <f>=DATE(2008,10,3)</f>
        <v>39723.99949074074</v>
      </c>
      <c r="N424" s="8">
        <v>180</v>
      </c>
      <c r="O424" s="8">
        <v>180</v>
      </c>
      <c r="P424" s="8" t="str">
        <v>180.00</v>
      </c>
      <c r="R424" s="8">
        <v>-10.098</v>
      </c>
      <c r="S424" s="8">
        <v>0.534</v>
      </c>
      <c r="T424" s="8">
        <v>6.291</v>
      </c>
      <c r="U424" s="8">
        <v>-0.36</v>
      </c>
      <c r="V424" s="8">
        <v>-8.905</v>
      </c>
      <c r="W424" s="6" t="str">
        <v>Other Software (inq. Games);Primary Business not Hi-Tech;Networking Systems (LAN,WAN);Programming Services;Other Computer Related Svcs;Utilities/File Mgmt Software;Applications Software(Business;Internet Services &amp; Software;Communication/Network Software;Database Software/Programming;Computer Consulting Services;Desktop Publishing;Applications Software(Home)</v>
      </c>
      <c r="X424" s="6" t="str">
        <v>Internet Services &amp; Software;Communication/Network Software</v>
      </c>
      <c r="Y424" s="6" t="str">
        <v>Communication/Network Software;Internet Services &amp; Software</v>
      </c>
      <c r="Z424" s="6" t="str">
        <v>Communication/Network Software;Internet Services &amp; Software</v>
      </c>
      <c r="AA424" s="6" t="str">
        <v>Networking Systems (LAN,WAN);Communication/Network Software;Other Computer Related Svcs;Applications Software(Home);Primary Business not Hi-Tech;Computer Consulting Services;Other Software (inq. Games);Applications Software(Business;Internet Services &amp; Software;Database Software/Programming;Utilities/File Mgmt Software;Programming Services;Desktop Publishing</v>
      </c>
      <c r="AB424" s="6" t="str">
        <v>Desktop Publishing;Programming Services;Other Software (inq. Games);Communication/Network Software;Other Computer Related Svcs;Applications Software(Business;Database Software/Programming;Internet Services &amp; Software;Primary Business not Hi-Tech;Applications Software(Home);Computer Consulting Services;Utilities/File Mgmt Software;Networking Systems (LAN,WAN)</v>
      </c>
      <c r="AC424" s="8">
        <v>180</v>
      </c>
      <c r="AD424" s="7">
        <f>=DATE(2008,8,19)</f>
        <v>39678.99949074074</v>
      </c>
      <c r="AF424" s="8" t="str">
        <v>180.00</v>
      </c>
      <c r="AG424" s="8" t="str">
        <v>180.00</v>
      </c>
      <c r="AH424" s="8" t="str">
        <v>180.00</v>
      </c>
      <c r="AI424" s="8" t="str">
        <v>180.00</v>
      </c>
      <c r="AJ424" s="8" t="str">
        <v>180.00;</v>
      </c>
      <c r="AK424" s="6" t="str">
        <v>US Dollar;US Dollar</v>
      </c>
      <c r="AL424" s="8">
        <v>180</v>
      </c>
    </row>
    <row r="425">
      <c r="A425" s="6" t="str">
        <v>023135</v>
      </c>
      <c r="B425" s="6" t="str">
        <v>United States</v>
      </c>
      <c r="C425" s="6" t="str">
        <v>Amazon.com Inc</v>
      </c>
      <c r="D425" s="6" t="str">
        <v>Amazon.com Inc</v>
      </c>
      <c r="F425" s="6" t="str">
        <v>United States</v>
      </c>
      <c r="G425" s="6" t="str">
        <v>Shelfari</v>
      </c>
      <c r="H425" s="6" t="str">
        <v>Business Services</v>
      </c>
      <c r="I425" s="6" t="str">
        <v>82251M</v>
      </c>
      <c r="J425" s="6" t="str">
        <v>Shelfari</v>
      </c>
      <c r="K425" s="6" t="str">
        <v>Shelfari</v>
      </c>
      <c r="L425" s="7">
        <f>=DATE(2008,8,26)</f>
        <v>39685.99949074074</v>
      </c>
      <c r="M425" s="7">
        <f>=DATE(2008,8,26)</f>
        <v>39685.99949074074</v>
      </c>
      <c r="W425" s="6" t="str">
        <v>Primary Business not Hi-Tech</v>
      </c>
      <c r="X425" s="6" t="str">
        <v>Internet Services &amp; Software</v>
      </c>
      <c r="Y425" s="6" t="str">
        <v>Internet Services &amp; Software</v>
      </c>
      <c r="Z425" s="6" t="str">
        <v>Internet Services &amp; Software</v>
      </c>
      <c r="AA425" s="6" t="str">
        <v>Primary Business not Hi-Tech</v>
      </c>
      <c r="AB425" s="6" t="str">
        <v>Primary Business not Hi-Tech</v>
      </c>
    </row>
    <row r="426">
      <c r="A426" s="6" t="str">
        <v>22668P</v>
      </c>
      <c r="B426" s="6" t="str">
        <v>United States</v>
      </c>
      <c r="C426" s="6" t="str">
        <v>Crisp Acquisition Corp</v>
      </c>
      <c r="D426" s="6" t="str">
        <v>Microsoft Corp</v>
      </c>
      <c r="E426" s="6" t="str">
        <v>ZM Capital LP</v>
      </c>
      <c r="F426" s="6" t="str">
        <v>United States</v>
      </c>
      <c r="G426" s="6" t="str">
        <v>Greenfield Online Inc</v>
      </c>
      <c r="H426" s="6" t="str">
        <v>Business Services</v>
      </c>
      <c r="I426" s="6" t="str">
        <v>395150</v>
      </c>
      <c r="J426" s="6" t="str">
        <v>Greenfield Online Inc</v>
      </c>
      <c r="K426" s="6" t="str">
        <v>Greenfield Online Inc</v>
      </c>
      <c r="L426" s="7">
        <f>=DATE(2008,8,29)</f>
        <v>39688.99949074074</v>
      </c>
      <c r="M426" s="7">
        <f>=DATE(2008,10,24)</f>
        <v>39744.99949074074</v>
      </c>
      <c r="N426" s="8">
        <v>478.691</v>
      </c>
      <c r="O426" s="8">
        <v>478.691</v>
      </c>
      <c r="P426" s="8" t="str">
        <v>413.77</v>
      </c>
      <c r="R426" s="8">
        <v>9.854</v>
      </c>
      <c r="S426" s="8">
        <v>137.659</v>
      </c>
      <c r="T426" s="8">
        <v>3.219</v>
      </c>
      <c r="U426" s="8">
        <v>-21.537</v>
      </c>
      <c r="V426" s="8">
        <v>15.9</v>
      </c>
      <c r="W426" s="6" t="str">
        <v>Primary Business not Hi-Tech</v>
      </c>
      <c r="X426" s="6" t="str">
        <v>Internet Services &amp; Software</v>
      </c>
      <c r="Y426" s="6" t="str">
        <v>Internet Services &amp; Software</v>
      </c>
      <c r="Z426" s="6" t="str">
        <v>Internet Services &amp; Software</v>
      </c>
      <c r="AA426" s="6" t="str">
        <v>Internet Services &amp; Software;Computer Consulting Services;Applications Software(Business;Operating Systems;Other Peripherals;Monitors/Terminals</v>
      </c>
      <c r="AB426" s="6" t="str">
        <v>Operating Systems;Internet Services &amp; Software;Computer Consulting Services;Monitors/Terminals;Other Peripherals;Applications Software(Business</v>
      </c>
      <c r="AC426" s="8">
        <v>478.691</v>
      </c>
      <c r="AD426" s="7">
        <f>=DATE(2008,8,29)</f>
        <v>39688.99949074074</v>
      </c>
      <c r="AE426" s="8">
        <v>516.7755075</v>
      </c>
      <c r="AF426" s="8" t="str">
        <v>413.90</v>
      </c>
      <c r="AG426" s="8" t="str">
        <v>413.77</v>
      </c>
      <c r="AH426" s="8" t="str">
        <v>478.57</v>
      </c>
      <c r="AI426" s="8" t="str">
        <v>478.69</v>
      </c>
      <c r="AJ426" s="8" t="str">
        <v>;17.80</v>
      </c>
      <c r="AK426" s="6" t="str">
        <v>US Dollar;US Dollar</v>
      </c>
      <c r="AL426" s="8">
        <v>478.691</v>
      </c>
    </row>
    <row r="427">
      <c r="A427" s="6" t="str">
        <v>00507V</v>
      </c>
      <c r="B427" s="6" t="str">
        <v>United States</v>
      </c>
      <c r="C427" s="6" t="str">
        <v>Activision Blizzard Inc</v>
      </c>
      <c r="D427" s="6" t="str">
        <v>Vivendi SE</v>
      </c>
      <c r="F427" s="6" t="str">
        <v>United Kingdom</v>
      </c>
      <c r="G427" s="6" t="str">
        <v>Freestyle Games Ltd</v>
      </c>
      <c r="H427" s="6" t="str">
        <v>Prepackaged Software</v>
      </c>
      <c r="I427" s="6" t="str">
        <v>35686W</v>
      </c>
      <c r="J427" s="6" t="str">
        <v>Freestyle Games Ltd</v>
      </c>
      <c r="K427" s="6" t="str">
        <v>Freestyle Games Ltd</v>
      </c>
      <c r="L427" s="7">
        <f>=DATE(2008,9,12)</f>
        <v>39702.99949074074</v>
      </c>
      <c r="M427" s="7">
        <f>=DATE(2008,9,12)</f>
        <v>39702.99949074074</v>
      </c>
      <c r="W427" s="6" t="str">
        <v>Operating Systems;Other Computer Systems;Other Software (inq. Games)</v>
      </c>
      <c r="X427" s="6" t="str">
        <v>Other Software (inq. Games)</v>
      </c>
      <c r="Y427" s="6" t="str">
        <v>Other Software (inq. Games)</v>
      </c>
      <c r="Z427" s="6" t="str">
        <v>Other Software (inq. Games)</v>
      </c>
      <c r="AA427" s="6" t="str">
        <v>Internet Services &amp; Software;Other Software (inq. Games);Primary Business not Hi-Tech</v>
      </c>
      <c r="AB427" s="6" t="str">
        <v>Internet Services &amp; Software;Primary Business not Hi-Tech;Other Software (inq. Games)</v>
      </c>
    </row>
    <row r="428">
      <c r="A428" s="6" t="str">
        <v>38259P</v>
      </c>
      <c r="B428" s="6" t="str">
        <v>United States</v>
      </c>
      <c r="C428" s="6" t="str">
        <v>Google Inc</v>
      </c>
      <c r="D428" s="6" t="str">
        <v>Alphabet Inc</v>
      </c>
      <c r="F428" s="6" t="str">
        <v>South Korea</v>
      </c>
      <c r="G428" s="6" t="str">
        <v>Tatter &amp; Co</v>
      </c>
      <c r="H428" s="6" t="str">
        <v>Telecommunications</v>
      </c>
      <c r="I428" s="6" t="str">
        <v>86640H</v>
      </c>
      <c r="J428" s="6" t="str">
        <v>Tatter &amp; Co</v>
      </c>
      <c r="K428" s="6" t="str">
        <v>Tatter &amp; Co</v>
      </c>
      <c r="L428" s="7">
        <f>=DATE(2008,9,12)</f>
        <v>39702.99949074074</v>
      </c>
      <c r="M428" s="7">
        <f>=DATE(2009,2,23)</f>
        <v>39866.99949074074</v>
      </c>
      <c r="W428" s="6" t="str">
        <v>Internet Services &amp; Software;Programming Services</v>
      </c>
      <c r="X428" s="6" t="str">
        <v>Internet Services &amp; Software</v>
      </c>
      <c r="Y428" s="6" t="str">
        <v>Internet Services &amp; Software</v>
      </c>
      <c r="Z428" s="6" t="str">
        <v>Internet Services &amp; Software</v>
      </c>
      <c r="AA428" s="6" t="str">
        <v>Computer Consulting Services;Primary Business not Hi-Tech;Telecommunications Equipment;Internet Services &amp; Software;Programming Services</v>
      </c>
      <c r="AB428" s="6" t="str">
        <v>Computer Consulting Services;Programming Services;Telecommunications Equipment;Internet Services &amp; Software;Primary Business not Hi-Tech</v>
      </c>
    </row>
    <row r="429">
      <c r="A429" s="6" t="str">
        <v>594918</v>
      </c>
      <c r="B429" s="6" t="str">
        <v>United States</v>
      </c>
      <c r="C429" s="6" t="str">
        <v>Microsoft Corp</v>
      </c>
      <c r="D429" s="6" t="str">
        <v>Microsoft Corp</v>
      </c>
      <c r="F429" s="6" t="str">
        <v>United States</v>
      </c>
      <c r="G429" s="6" t="str">
        <v>Microsoft Corp</v>
      </c>
      <c r="H429" s="6" t="str">
        <v>Prepackaged Software</v>
      </c>
      <c r="I429" s="6" t="str">
        <v>594918</v>
      </c>
      <c r="J429" s="6" t="str">
        <v>Microsoft Corp</v>
      </c>
      <c r="K429" s="6" t="str">
        <v>Microsoft Corp</v>
      </c>
      <c r="L429" s="7">
        <f>=DATE(2008,9,22)</f>
        <v>39712.99949074074</v>
      </c>
      <c r="N429" s="8">
        <v>40000</v>
      </c>
      <c r="O429" s="8">
        <v>40000</v>
      </c>
      <c r="R429" s="8">
        <v>17681</v>
      </c>
      <c r="S429" s="8">
        <v>60420</v>
      </c>
      <c r="T429" s="8">
        <v>-12934</v>
      </c>
      <c r="U429" s="8">
        <v>-4587</v>
      </c>
      <c r="V429" s="8">
        <v>21612</v>
      </c>
      <c r="W429" s="6" t="str">
        <v>Applications Software(Business;Internet Services &amp; Software;Operating Systems;Computer Consulting Services;Monitors/Terminals;Other Peripherals</v>
      </c>
      <c r="X429" s="6" t="str">
        <v>Computer Consulting Services;Internet Services &amp; Software;Applications Software(Business;Monitors/Terminals;Other Peripherals;Operating Systems</v>
      </c>
      <c r="Y429" s="6" t="str">
        <v>Applications Software(Business;Monitors/Terminals;Internet Services &amp; Software;Operating Systems;Other Peripherals;Computer Consulting Services</v>
      </c>
      <c r="Z429" s="6" t="str">
        <v>Applications Software(Business;Other Peripherals;Computer Consulting Services;Operating Systems;Internet Services &amp; Software;Monitors/Terminals</v>
      </c>
      <c r="AA429" s="6" t="str">
        <v>Computer Consulting Services;Internet Services &amp; Software;Other Peripherals;Applications Software(Business;Monitors/Terminals;Operating Systems</v>
      </c>
      <c r="AB429" s="6" t="str">
        <v>Monitors/Terminals;Internet Services &amp; Software;Operating Systems;Applications Software(Business;Other Peripherals;Computer Consulting Services</v>
      </c>
      <c r="AC429" s="8">
        <v>40000</v>
      </c>
      <c r="AD429" s="7">
        <f>=DATE(2008,9,22)</f>
        <v>39712.99949074074</v>
      </c>
      <c r="AJ429" s="8" t="str">
        <v>40,000.00</v>
      </c>
      <c r="AK429" s="6" t="str">
        <v>US Dollar</v>
      </c>
      <c r="AL429" s="8">
        <v>40000</v>
      </c>
    </row>
    <row r="430">
      <c r="A430" s="6" t="str">
        <v>67020Y</v>
      </c>
      <c r="B430" s="6" t="str">
        <v>United States</v>
      </c>
      <c r="C430" s="6" t="str">
        <v>Nuance Communications Inc</v>
      </c>
      <c r="D430" s="6" t="str">
        <v>Nuance Communications Inc</v>
      </c>
      <c r="F430" s="6" t="str">
        <v>Netherlands</v>
      </c>
      <c r="G430" s="6" t="str">
        <v>Koninklijke Philips Electronics NV-Philps Speech Recognition</v>
      </c>
      <c r="H430" s="6" t="str">
        <v>Prepackaged Software</v>
      </c>
      <c r="I430" s="6" t="str">
        <v>50645C</v>
      </c>
      <c r="J430" s="6" t="str">
        <v>Koninklijke Philips Electronics NV</v>
      </c>
      <c r="K430" s="6" t="str">
        <v>Koninklijke Philips Electronics NV</v>
      </c>
      <c r="L430" s="7">
        <f>=DATE(2008,10,1)</f>
        <v>39721.99949074074</v>
      </c>
      <c r="M430" s="7">
        <f>=DATE(2008,10,1)</f>
        <v>39721.99949074074</v>
      </c>
      <c r="N430" s="8">
        <v>92.5250939269893</v>
      </c>
      <c r="O430" s="8">
        <v>92.5250939269893</v>
      </c>
      <c r="W430" s="6" t="str">
        <v>Primary Business not Hi-Tech;Networking Systems (LAN,WAN);Applications Software(Business;Other Software (inq. Games);Desktop Publishing;Database Software/Programming;Programming Services;Utilities/File Mgmt Software;Applications Software(Home);Other Computer Related Svcs;Communication/Network Software;Internet Services &amp; Software;Computer Consulting Services</v>
      </c>
      <c r="X430" s="6" t="str">
        <v>Internet Services &amp; Software;Other Software (inq. Games)</v>
      </c>
      <c r="Y430" s="6" t="str">
        <v>Other Telecommunications Equip;Medical Monitoring Systems;Other Electronics;Medical Imaging Systems</v>
      </c>
      <c r="Z430" s="6" t="str">
        <v>Medical Monitoring Systems;Other Telecommunications Equip;Medical Imaging Systems;Other Electronics</v>
      </c>
      <c r="AA430" s="6" t="str">
        <v>Networking Systems (LAN,WAN);Programming Services;Communication/Network Software;Other Software (inq. Games);Computer Consulting Services;Desktop Publishing;Applications Software(Business;Database Software/Programming;Utilities/File Mgmt Software;Internet Services &amp; Software;Applications Software(Home);Primary Business not Hi-Tech;Other Computer Related Svcs</v>
      </c>
      <c r="AB430" s="6" t="str">
        <v>Communication/Network Software;Applications Software(Business;Programming Services;Computer Consulting Services;Networking Systems (LAN,WAN);Internet Services &amp; Software;Other Software (inq. Games);Other Computer Related Svcs;Utilities/File Mgmt Software;Desktop Publishing;Primary Business not Hi-Tech;Database Software/Programming;Applications Software(Home)</v>
      </c>
      <c r="AC430" s="8">
        <v>92.5250939269893</v>
      </c>
      <c r="AD430" s="7">
        <f>=DATE(2008,10,1)</f>
        <v>39721.99949074074</v>
      </c>
      <c r="AL430" s="8">
        <v>92.5250939269893</v>
      </c>
    </row>
    <row r="431">
      <c r="A431" s="6" t="str">
        <v>594918</v>
      </c>
      <c r="B431" s="6" t="str">
        <v>United States</v>
      </c>
      <c r="C431" s="6" t="str">
        <v>Microsoft Corp</v>
      </c>
      <c r="D431" s="6" t="str">
        <v>Microsoft Corp</v>
      </c>
      <c r="F431" s="6" t="str">
        <v>China (Mainland)</v>
      </c>
      <c r="G431" s="6" t="str">
        <v>Surpassing Technologies Inc- Core Software Assets</v>
      </c>
      <c r="H431" s="6" t="str">
        <v>Prepackaged Software</v>
      </c>
      <c r="I431" s="6" t="str">
        <v>88532L</v>
      </c>
      <c r="J431" s="6" t="str">
        <v>Surpassing Technologies Inc</v>
      </c>
      <c r="K431" s="6" t="str">
        <v>Surpassing Technologies Inc</v>
      </c>
      <c r="L431" s="7">
        <f>=DATE(2008,10,10)</f>
        <v>39730.99949074074</v>
      </c>
      <c r="M431" s="7">
        <f>=DATE(2008,10,10)</f>
        <v>39730.99949074074</v>
      </c>
      <c r="W431" s="6" t="str">
        <v>Applications Software(Business;Operating Systems;Internet Services &amp; Software;Computer Consulting Services;Monitors/Terminals;Other Peripherals</v>
      </c>
      <c r="X431" s="6" t="str">
        <v>Medical Monitoring Systems;Medical Imaging Systems;Other Software (inq. Games)</v>
      </c>
      <c r="Y431" s="6" t="str">
        <v>Other Software (inq. Games);Medical Imaging Systems;Medical Monitoring Systems</v>
      </c>
      <c r="Z431" s="6" t="str">
        <v>Medical Monitoring Systems;Medical Imaging Systems;Other Software (inq. Games)</v>
      </c>
      <c r="AA431" s="6" t="str">
        <v>Monitors/Terminals;Operating Systems;Applications Software(Business;Other Peripherals;Computer Consulting Services;Internet Services &amp; Software</v>
      </c>
      <c r="AB431" s="6" t="str">
        <v>Operating Systems;Computer Consulting Services;Applications Software(Business;Monitors/Terminals;Internet Services &amp; Software;Other Peripherals</v>
      </c>
    </row>
    <row r="432">
      <c r="A432" s="6" t="str">
        <v>023135</v>
      </c>
      <c r="B432" s="6" t="str">
        <v>United States</v>
      </c>
      <c r="C432" s="6" t="str">
        <v>Amazon.com Inc</v>
      </c>
      <c r="D432" s="6" t="str">
        <v>Amazon.com Inc</v>
      </c>
      <c r="F432" s="6" t="str">
        <v>United States</v>
      </c>
      <c r="G432" s="6" t="str">
        <v>Reflexive Entertainment</v>
      </c>
      <c r="H432" s="6" t="str">
        <v>Prepackaged Software</v>
      </c>
      <c r="I432" s="6" t="str">
        <v>76426N</v>
      </c>
      <c r="J432" s="6" t="str">
        <v>Reflexive Entertainment</v>
      </c>
      <c r="K432" s="6" t="str">
        <v>Reflexive Entertainment</v>
      </c>
      <c r="L432" s="7">
        <f>=DATE(2008,10,20)</f>
        <v>39740.99949074074</v>
      </c>
      <c r="M432" s="7">
        <f>=DATE(2008,10,20)</f>
        <v>39740.99949074074</v>
      </c>
      <c r="W432" s="6" t="str">
        <v>Primary Business not Hi-Tech</v>
      </c>
      <c r="X432" s="6" t="str">
        <v>Other Software (inq. Games)</v>
      </c>
      <c r="Y432" s="6" t="str">
        <v>Other Software (inq. Games)</v>
      </c>
      <c r="Z432" s="6" t="str">
        <v>Other Software (inq. Games)</v>
      </c>
      <c r="AA432" s="6" t="str">
        <v>Primary Business not Hi-Tech</v>
      </c>
      <c r="AB432" s="6" t="str">
        <v>Primary Business not Hi-Tech</v>
      </c>
    </row>
    <row r="433">
      <c r="A433" s="6" t="str">
        <v>05896Z</v>
      </c>
      <c r="B433" s="6" t="str">
        <v>United States</v>
      </c>
      <c r="C433" s="6" t="str">
        <v>Avenue A Razorfish</v>
      </c>
      <c r="D433" s="6" t="str">
        <v>Microsoft Corp</v>
      </c>
      <c r="F433" s="6" t="str">
        <v>Spain</v>
      </c>
      <c r="G433" s="6" t="str">
        <v>Wysiwyg SL</v>
      </c>
      <c r="H433" s="6" t="str">
        <v>Miscellaneous Retail Trade</v>
      </c>
      <c r="I433" s="6" t="str">
        <v>93246Q</v>
      </c>
      <c r="J433" s="6" t="str">
        <v>Wysiwyg SL</v>
      </c>
      <c r="K433" s="6" t="str">
        <v>Wysiwyg SL</v>
      </c>
      <c r="L433" s="7">
        <f>=DATE(2008,11,1)</f>
        <v>39752.99949074074</v>
      </c>
      <c r="M433" s="7">
        <f>=DATE(2008,11,1)</f>
        <v>39752.99949074074</v>
      </c>
      <c r="W433" s="6" t="str">
        <v>Primary Business not Hi-Tech</v>
      </c>
      <c r="X433" s="6" t="str">
        <v>Internet Services &amp; Software</v>
      </c>
      <c r="Y433" s="6" t="str">
        <v>Internet Services &amp; Software</v>
      </c>
      <c r="Z433" s="6" t="str">
        <v>Internet Services &amp; Software</v>
      </c>
      <c r="AA433" s="6" t="str">
        <v>Internet Services &amp; Software</v>
      </c>
      <c r="AB433" s="6" t="str">
        <v>Monitors/Terminals;Computer Consulting Services;Internet Services &amp; Software;Operating Systems;Other Peripherals;Applications Software(Business</v>
      </c>
    </row>
    <row r="434">
      <c r="A434" s="6" t="str">
        <v>00507V</v>
      </c>
      <c r="B434" s="6" t="str">
        <v>United States</v>
      </c>
      <c r="C434" s="6" t="str">
        <v>Activision Blizzard Inc</v>
      </c>
      <c r="D434" s="6" t="str">
        <v>Vivendi SE</v>
      </c>
      <c r="F434" s="6" t="str">
        <v>United States</v>
      </c>
      <c r="G434" s="6" t="str">
        <v>Activision Blizzard Inc</v>
      </c>
      <c r="H434" s="6" t="str">
        <v>Prepackaged Software</v>
      </c>
      <c r="I434" s="6" t="str">
        <v>00507V</v>
      </c>
      <c r="J434" s="6" t="str">
        <v>Vivendi SE</v>
      </c>
      <c r="K434" s="6" t="str">
        <v>Vivendi SE</v>
      </c>
      <c r="L434" s="7">
        <f>=DATE(2008,11,5)</f>
        <v>39756.99949074074</v>
      </c>
      <c r="N434" s="8">
        <v>1000</v>
      </c>
      <c r="O434" s="8">
        <v>1000</v>
      </c>
      <c r="R434" s="8">
        <v>227</v>
      </c>
      <c r="S434" s="8">
        <v>1349</v>
      </c>
      <c r="T434" s="8">
        <v>-371</v>
      </c>
      <c r="U434" s="8">
        <v>-68</v>
      </c>
      <c r="V434" s="8">
        <v>431</v>
      </c>
      <c r="W434" s="6" t="str">
        <v>Operating Systems;Other Computer Systems;Other Software (inq. Games)</v>
      </c>
      <c r="X434" s="6" t="str">
        <v>Operating Systems;Other Computer Systems;Other Software (inq. Games)</v>
      </c>
      <c r="Y434" s="6" t="str">
        <v>Primary Business not Hi-Tech;Other Software (inq. Games);Internet Services &amp; Software</v>
      </c>
      <c r="Z434" s="6" t="str">
        <v>Internet Services &amp; Software;Primary Business not Hi-Tech;Other Software (inq. Games)</v>
      </c>
      <c r="AA434" s="6" t="str">
        <v>Other Software (inq. Games);Internet Services &amp; Software;Primary Business not Hi-Tech</v>
      </c>
      <c r="AB434" s="6" t="str">
        <v>Primary Business not Hi-Tech;Internet Services &amp; Software;Other Software (inq. Games)</v>
      </c>
      <c r="AC434" s="8">
        <v>1000</v>
      </c>
      <c r="AD434" s="7">
        <f>=DATE(2008,11,5)</f>
        <v>39756.99949074074</v>
      </c>
      <c r="AL434" s="8">
        <v>1000</v>
      </c>
    </row>
    <row r="435">
      <c r="A435" s="6" t="str">
        <v>594918</v>
      </c>
      <c r="B435" s="6" t="str">
        <v>United States</v>
      </c>
      <c r="C435" s="6" t="str">
        <v>Microsoft Corp</v>
      </c>
      <c r="D435" s="6" t="str">
        <v>Microsoft Corp</v>
      </c>
      <c r="F435" s="6" t="str">
        <v>United States</v>
      </c>
      <c r="G435" s="6" t="str">
        <v>Yahoo! Inc</v>
      </c>
      <c r="H435" s="6" t="str">
        <v>Business Services</v>
      </c>
      <c r="I435" s="6" t="str">
        <v>984332</v>
      </c>
      <c r="J435" s="6" t="str">
        <v>Yahoo! Inc</v>
      </c>
      <c r="K435" s="6" t="str">
        <v>Yahoo! Inc</v>
      </c>
      <c r="L435" s="7">
        <f>=DATE(2008,11,6)</f>
        <v>39757.99949074074</v>
      </c>
      <c r="R435" s="8">
        <v>933.449</v>
      </c>
      <c r="S435" s="8">
        <v>7234.111</v>
      </c>
      <c r="T435" s="8">
        <v>31.229</v>
      </c>
      <c r="U435" s="8">
        <v>-1524.337</v>
      </c>
      <c r="V435" s="8">
        <v>2181.118</v>
      </c>
      <c r="W435" s="6" t="str">
        <v>Other Peripherals;Applications Software(Business;Operating Systems;Computer Consulting Services;Internet Services &amp; Software;Monitors/Terminals</v>
      </c>
      <c r="X435" s="6" t="str">
        <v>Internet Services &amp; Software</v>
      </c>
      <c r="Y435" s="6" t="str">
        <v>Internet Services &amp; Software</v>
      </c>
      <c r="Z435" s="6" t="str">
        <v>Internet Services &amp; Software</v>
      </c>
      <c r="AA435" s="6" t="str">
        <v>Applications Software(Business;Computer Consulting Services;Monitors/Terminals;Internet Services &amp; Software;Operating Systems;Other Peripherals</v>
      </c>
      <c r="AB435" s="6" t="str">
        <v>Operating Systems;Internet Services &amp; Software;Other Peripherals;Computer Consulting Services;Applications Software(Business;Monitors/Terminals</v>
      </c>
    </row>
    <row r="436">
      <c r="A436" s="6" t="str">
        <v>00507V</v>
      </c>
      <c r="B436" s="6" t="str">
        <v>United States</v>
      </c>
      <c r="C436" s="6" t="str">
        <v>Activision Blizzard Inc</v>
      </c>
      <c r="D436" s="6" t="str">
        <v>Vivendi SE</v>
      </c>
      <c r="F436" s="6" t="str">
        <v>United States</v>
      </c>
      <c r="G436" s="6" t="str">
        <v>Budcat Creations</v>
      </c>
      <c r="H436" s="6" t="str">
        <v>Prepackaged Software</v>
      </c>
      <c r="I436" s="6" t="str">
        <v>11882T</v>
      </c>
      <c r="J436" s="6" t="str">
        <v>Budcat Creations</v>
      </c>
      <c r="K436" s="6" t="str">
        <v>Budcat Creations</v>
      </c>
      <c r="L436" s="7">
        <f>=DATE(2008,11,10)</f>
        <v>39761.99949074074</v>
      </c>
      <c r="M436" s="7">
        <f>=DATE(2008,11,10)</f>
        <v>39761.99949074074</v>
      </c>
      <c r="S436" s="8">
        <v>0.251</v>
      </c>
      <c r="W436" s="6" t="str">
        <v>Other Software (inq. Games);Operating Systems;Other Computer Systems</v>
      </c>
      <c r="X436" s="6" t="str">
        <v>Other Software (inq. Games);Applications Software(Home)</v>
      </c>
      <c r="Y436" s="6" t="str">
        <v>Applications Software(Home);Other Software (inq. Games)</v>
      </c>
      <c r="Z436" s="6" t="str">
        <v>Other Software (inq. Games);Applications Software(Home)</v>
      </c>
      <c r="AA436" s="6" t="str">
        <v>Primary Business not Hi-Tech;Internet Services &amp; Software;Other Software (inq. Games)</v>
      </c>
      <c r="AB436" s="6" t="str">
        <v>Other Software (inq. Games);Primary Business not Hi-Tech;Internet Services &amp; Software</v>
      </c>
    </row>
    <row r="437">
      <c r="A437" s="6" t="str">
        <v>30303M</v>
      </c>
      <c r="B437" s="6" t="str">
        <v>United States</v>
      </c>
      <c r="C437" s="6" t="str">
        <v>Facebook Inc</v>
      </c>
      <c r="D437" s="6" t="str">
        <v>Facebook Inc</v>
      </c>
      <c r="F437" s="6" t="str">
        <v>United States</v>
      </c>
      <c r="G437" s="6" t="str">
        <v>Twitter Inc</v>
      </c>
      <c r="H437" s="6" t="str">
        <v>Business Services</v>
      </c>
      <c r="I437" s="6" t="str">
        <v>90184L</v>
      </c>
      <c r="J437" s="6" t="str">
        <v>Twitter Inc</v>
      </c>
      <c r="K437" s="6" t="str">
        <v>Twitter Inc</v>
      </c>
      <c r="L437" s="7">
        <f>=DATE(2008,11,25)</f>
        <v>39776.99949074074</v>
      </c>
      <c r="W437" s="6" t="str">
        <v>Internet Services &amp; Software</v>
      </c>
      <c r="X437" s="6" t="str">
        <v>Internet Services &amp; Software</v>
      </c>
      <c r="Y437" s="6" t="str">
        <v>Internet Services &amp; Software</v>
      </c>
      <c r="Z437" s="6" t="str">
        <v>Internet Services &amp; Software</v>
      </c>
      <c r="AA437" s="6" t="str">
        <v>Internet Services &amp; Software</v>
      </c>
      <c r="AB437" s="6" t="str">
        <v>Internet Services &amp; Software</v>
      </c>
    </row>
    <row r="438">
      <c r="A438" s="6" t="str">
        <v>594918</v>
      </c>
      <c r="B438" s="6" t="str">
        <v>United States</v>
      </c>
      <c r="C438" s="6" t="str">
        <v>Microsoft Corp</v>
      </c>
      <c r="D438" s="6" t="str">
        <v>Microsoft Corp</v>
      </c>
      <c r="F438" s="6" t="str">
        <v>United States</v>
      </c>
      <c r="G438" s="6" t="str">
        <v>Yahoo! Inc-Online Search Business</v>
      </c>
      <c r="H438" s="6" t="str">
        <v>Business Services</v>
      </c>
      <c r="I438" s="6" t="str">
        <v>98680C</v>
      </c>
      <c r="J438" s="6" t="str">
        <v>Yahoo! Inc</v>
      </c>
      <c r="K438" s="6" t="str">
        <v>Yahoo! Inc</v>
      </c>
      <c r="L438" s="7">
        <f>=DATE(2008,11,30)</f>
        <v>39781.99949074074</v>
      </c>
      <c r="W438" s="6" t="str">
        <v>Computer Consulting Services;Other Peripherals;Applications Software(Business;Internet Services &amp; Software;Monitors/Terminals;Operating Systems</v>
      </c>
      <c r="X438" s="6" t="str">
        <v>Internet Services &amp; Software</v>
      </c>
      <c r="Y438" s="6" t="str">
        <v>Internet Services &amp; Software</v>
      </c>
      <c r="Z438" s="6" t="str">
        <v>Internet Services &amp; Software</v>
      </c>
      <c r="AA438" s="6" t="str">
        <v>Other Peripherals;Internet Services &amp; Software;Monitors/Terminals;Computer Consulting Services;Applications Software(Business;Operating Systems</v>
      </c>
      <c r="AB438" s="6" t="str">
        <v>Computer Consulting Services;Applications Software(Business;Other Peripherals;Internet Services &amp; Software;Monitors/Terminals;Operating Systems</v>
      </c>
    </row>
    <row r="439">
      <c r="A439" s="6" t="str">
        <v>037833</v>
      </c>
      <c r="B439" s="6" t="str">
        <v>United States</v>
      </c>
      <c r="C439" s="6" t="str">
        <v>Apple Inc</v>
      </c>
      <c r="D439" s="6" t="str">
        <v>Apple Inc</v>
      </c>
      <c r="F439" s="6" t="str">
        <v>United Kingdom</v>
      </c>
      <c r="G439" s="6" t="str">
        <v>Imagination Technologies Group PLC</v>
      </c>
      <c r="H439" s="6" t="str">
        <v>Electronic and Electrical Equipment</v>
      </c>
      <c r="I439" s="6" t="str">
        <v>45281C</v>
      </c>
      <c r="J439" s="6" t="str">
        <v>Imagination Technologies Group PLC</v>
      </c>
      <c r="K439" s="6" t="str">
        <v>Imagination Technologies Group PLC</v>
      </c>
      <c r="L439" s="7">
        <f>=DATE(2008,12,18)</f>
        <v>39799.99949074074</v>
      </c>
      <c r="M439" s="7">
        <f>=DATE(2008,12,18)</f>
        <v>39799.99949074074</v>
      </c>
      <c r="N439" s="8">
        <v>4.50782106955568</v>
      </c>
      <c r="O439" s="8">
        <v>4.50782106955568</v>
      </c>
      <c r="P439" s="8" t="str">
        <v>152.19</v>
      </c>
      <c r="R439" s="8">
        <v>4.15119073629015</v>
      </c>
      <c r="S439" s="8">
        <v>110.046278824955</v>
      </c>
      <c r="T439" s="8">
        <v>-0.9793445</v>
      </c>
      <c r="U439" s="8">
        <v>-5.0755075</v>
      </c>
      <c r="V439" s="8">
        <v>-1.172035</v>
      </c>
      <c r="W439" s="6" t="str">
        <v>Disk Drives;Portable Computers;Other Peripherals;Mainframes &amp; Super Computers;Monitors/Terminals;Micro-Computers (PCs);Other Software (inq. Games);Printers</v>
      </c>
      <c r="X439" s="6" t="str">
        <v>Applications Software(Business;Other Electronics;Internet Services &amp; Software;Communication/Network Software;Semiconductors;Superconductors;Applications Software(Home)</v>
      </c>
      <c r="Y439" s="6" t="str">
        <v>Other Electronics;Communication/Network Software;Internet Services &amp; Software;Applications Software(Business;Superconductors;Applications Software(Home);Semiconductors</v>
      </c>
      <c r="Z439" s="6" t="str">
        <v>Other Electronics;Internet Services &amp; Software;Superconductors;Communication/Network Software;Applications Software(Home);Semiconductors;Applications Software(Business</v>
      </c>
      <c r="AA439" s="6" t="str">
        <v>Monitors/Terminals;Other Peripherals;Printers;Portable Computers;Micro-Computers (PCs);Other Software (inq. Games);Mainframes &amp; Super Computers;Disk Drives</v>
      </c>
      <c r="AB439" s="6" t="str">
        <v>Monitors/Terminals;Other Software (inq. Games);Micro-Computers (PCs);Other Peripherals;Printers;Disk Drives;Portable Computers;Mainframes &amp; Super Computers</v>
      </c>
      <c r="AC439" s="8">
        <v>4.50782106955568</v>
      </c>
      <c r="AD439" s="7">
        <f>=DATE(2008,12,18)</f>
        <v>39799.99949074074</v>
      </c>
      <c r="AF439" s="8" t="str">
        <v>115.13</v>
      </c>
      <c r="AG439" s="8" t="str">
        <v>115.13</v>
      </c>
      <c r="AH439" s="8" t="str">
        <v>125.22</v>
      </c>
      <c r="AI439" s="8" t="str">
        <v>125.22</v>
      </c>
      <c r="AL439" s="8">
        <v>4.50782106955568</v>
      </c>
    </row>
    <row r="440">
      <c r="A440" s="6" t="str">
        <v>893929</v>
      </c>
      <c r="B440" s="6" t="str">
        <v>United States</v>
      </c>
      <c r="C440" s="6" t="str">
        <v>Transcend Services Inc</v>
      </c>
      <c r="D440" s="6" t="str">
        <v>Transcend Services Inc</v>
      </c>
      <c r="F440" s="6" t="str">
        <v>United States</v>
      </c>
      <c r="G440" s="6" t="str">
        <v>DeVenture Global Partners Inc</v>
      </c>
      <c r="H440" s="6" t="str">
        <v>Health Services</v>
      </c>
      <c r="I440" s="6" t="str">
        <v>25226Y</v>
      </c>
      <c r="J440" s="6" t="str">
        <v>DeVenture Global Partners Inc</v>
      </c>
      <c r="K440" s="6" t="str">
        <v>DeVenture Global Partners Inc</v>
      </c>
      <c r="L440" s="7">
        <f>=DATE(2008,12,22)</f>
        <v>39803.99949074074</v>
      </c>
      <c r="M440" s="7">
        <f>=DATE(2009,1,7)</f>
        <v>39819.99949074074</v>
      </c>
      <c r="N440" s="8">
        <v>4.25</v>
      </c>
      <c r="O440" s="8">
        <v>4.25</v>
      </c>
      <c r="S440" s="8">
        <v>2.5</v>
      </c>
      <c r="W440" s="6" t="str">
        <v>Other Computer Related Svcs;Data Processing Services</v>
      </c>
      <c r="X440" s="6" t="str">
        <v>Primary Business not Hi-Tech;Healthcare Services</v>
      </c>
      <c r="Y440" s="6" t="str">
        <v>Healthcare Services;Primary Business not Hi-Tech</v>
      </c>
      <c r="Z440" s="6" t="str">
        <v>Healthcare Services;Primary Business not Hi-Tech</v>
      </c>
      <c r="AA440" s="6" t="str">
        <v>Data Processing Services;Other Computer Related Svcs</v>
      </c>
      <c r="AB440" s="6" t="str">
        <v>Data Processing Services;Other Computer Related Svcs</v>
      </c>
      <c r="AC440" s="8">
        <v>4.25</v>
      </c>
      <c r="AD440" s="7">
        <f>=DATE(2008,12,22)</f>
        <v>39803.99949074074</v>
      </c>
      <c r="AL440" s="8">
        <v>4.25</v>
      </c>
    </row>
    <row r="441">
      <c r="A441" s="6" t="str">
        <v>893929</v>
      </c>
      <c r="B441" s="6" t="str">
        <v>United States</v>
      </c>
      <c r="C441" s="6" t="str">
        <v>Transcend Services Inc</v>
      </c>
      <c r="D441" s="6" t="str">
        <v>Transcend Services Inc</v>
      </c>
      <c r="F441" s="6" t="str">
        <v>United States</v>
      </c>
      <c r="G441" s="6" t="str">
        <v>Transcription Relief Services LLC-Medical Transcription Business</v>
      </c>
      <c r="H441" s="6" t="str">
        <v>Business Services</v>
      </c>
      <c r="I441" s="6" t="str">
        <v>88989H</v>
      </c>
      <c r="J441" s="6" t="str">
        <v>Transcription Relief Services LLC</v>
      </c>
      <c r="K441" s="6" t="str">
        <v>Transcription Relief Services LLC</v>
      </c>
      <c r="L441" s="7">
        <f>=DATE(2009,3,27)</f>
        <v>39898.99949074074</v>
      </c>
      <c r="M441" s="7">
        <f>=DATE(2009,4,1)</f>
        <v>39903.99949074074</v>
      </c>
      <c r="N441" s="8">
        <v>7.5</v>
      </c>
      <c r="O441" s="8">
        <v>7.5</v>
      </c>
      <c r="W441" s="6" t="str">
        <v>Data Processing Services;Other Computer Related Svcs</v>
      </c>
      <c r="X441" s="6" t="str">
        <v>Data Processing Services</v>
      </c>
      <c r="Y441" s="6" t="str">
        <v>Data Processing Services</v>
      </c>
      <c r="Z441" s="6" t="str">
        <v>Data Processing Services</v>
      </c>
      <c r="AA441" s="6" t="str">
        <v>Data Processing Services;Other Computer Related Svcs</v>
      </c>
      <c r="AB441" s="6" t="str">
        <v>Data Processing Services;Other Computer Related Svcs</v>
      </c>
      <c r="AC441" s="8">
        <v>7.5</v>
      </c>
      <c r="AD441" s="7">
        <f>=DATE(2009,3,27)</f>
        <v>39898.99949074074</v>
      </c>
      <c r="AJ441" s="8" t="str">
        <v>3.00;0.50;4.00</v>
      </c>
      <c r="AK441" s="6" t="str">
        <v>US Dollar;US Dollar;US Dollar</v>
      </c>
      <c r="AL441" s="8">
        <v>7.5</v>
      </c>
    </row>
    <row r="442">
      <c r="A442" s="6" t="str">
        <v>38259P</v>
      </c>
      <c r="B442" s="6" t="str">
        <v>United States</v>
      </c>
      <c r="C442" s="6" t="str">
        <v>Google Inc</v>
      </c>
      <c r="D442" s="6" t="str">
        <v>Alphabet Inc</v>
      </c>
      <c r="F442" s="6" t="str">
        <v>United States</v>
      </c>
      <c r="G442" s="6" t="str">
        <v>Twitter Inc</v>
      </c>
      <c r="H442" s="6" t="str">
        <v>Business Services</v>
      </c>
      <c r="I442" s="6" t="str">
        <v>90184L</v>
      </c>
      <c r="J442" s="6" t="str">
        <v>Twitter Inc</v>
      </c>
      <c r="K442" s="6" t="str">
        <v>Twitter Inc</v>
      </c>
      <c r="L442" s="7">
        <f>=DATE(2009,4,3)</f>
        <v>39905.99949074074</v>
      </c>
      <c r="W442" s="6" t="str">
        <v>Internet Services &amp; Software;Programming Services</v>
      </c>
      <c r="X442" s="6" t="str">
        <v>Internet Services &amp; Software</v>
      </c>
      <c r="Y442" s="6" t="str">
        <v>Internet Services &amp; Software</v>
      </c>
      <c r="Z442" s="6" t="str">
        <v>Internet Services &amp; Software</v>
      </c>
      <c r="AA442" s="6" t="str">
        <v>Primary Business not Hi-Tech;Telecommunications Equipment;Internet Services &amp; Software;Programming Services;Computer Consulting Services</v>
      </c>
      <c r="AB442" s="6" t="str">
        <v>Computer Consulting Services;Primary Business not Hi-Tech;Telecommunications Equipment;Internet Services &amp; Software;Programming Services</v>
      </c>
    </row>
    <row r="443">
      <c r="A443" s="6" t="str">
        <v>00507V</v>
      </c>
      <c r="B443" s="6" t="str">
        <v>United States</v>
      </c>
      <c r="C443" s="6" t="str">
        <v>Activision Blizzard Inc</v>
      </c>
      <c r="D443" s="6" t="str">
        <v>Vivendi SE</v>
      </c>
      <c r="F443" s="6" t="str">
        <v>United States</v>
      </c>
      <c r="G443" s="6" t="str">
        <v>7 Studios</v>
      </c>
      <c r="H443" s="6" t="str">
        <v>Prepackaged Software</v>
      </c>
      <c r="I443" s="6" t="str">
        <v>82213J</v>
      </c>
      <c r="J443" s="6" t="str">
        <v>7 Studios</v>
      </c>
      <c r="K443" s="6" t="str">
        <v>7 Studios</v>
      </c>
      <c r="L443" s="7">
        <f>=DATE(2009,4,14)</f>
        <v>39916.99949074074</v>
      </c>
      <c r="M443" s="7">
        <f>=DATE(2009,4,14)</f>
        <v>39916.99949074074</v>
      </c>
      <c r="W443" s="6" t="str">
        <v>Other Software (inq. Games);Other Computer Systems;Operating Systems</v>
      </c>
      <c r="X443" s="6" t="str">
        <v>Other Software (inq. Games)</v>
      </c>
      <c r="Y443" s="6" t="str">
        <v>Other Software (inq. Games)</v>
      </c>
      <c r="Z443" s="6" t="str">
        <v>Other Software (inq. Games)</v>
      </c>
      <c r="AA443" s="6" t="str">
        <v>Other Software (inq. Games);Internet Services &amp; Software;Primary Business not Hi-Tech</v>
      </c>
      <c r="AB443" s="6" t="str">
        <v>Primary Business not Hi-Tech;Other Software (inq. Games);Internet Services &amp; Software</v>
      </c>
    </row>
    <row r="444">
      <c r="A444" s="6" t="str">
        <v>05069A</v>
      </c>
      <c r="B444" s="6" t="str">
        <v>United States</v>
      </c>
      <c r="C444" s="6" t="str">
        <v>Audible Inc</v>
      </c>
      <c r="D444" s="6" t="str">
        <v>Amazon.com Inc</v>
      </c>
      <c r="F444" s="6" t="str">
        <v>Germany</v>
      </c>
      <c r="G444" s="6" t="str">
        <v>Audible GmbH</v>
      </c>
      <c r="H444" s="6" t="str">
        <v>Business Services</v>
      </c>
      <c r="I444" s="6" t="str">
        <v>05065Q</v>
      </c>
      <c r="J444" s="6" t="str">
        <v>Amazon.com Inc</v>
      </c>
      <c r="K444" s="6" t="str">
        <v>Audible Inc</v>
      </c>
      <c r="L444" s="7">
        <f>=DATE(2009,4,20)</f>
        <v>39922.99949074074</v>
      </c>
      <c r="M444" s="7">
        <f>=DATE(2009,5,18)</f>
        <v>39950.99949074074</v>
      </c>
      <c r="W444" s="6" t="str">
        <v>Internet Services &amp; Software</v>
      </c>
      <c r="X444" s="6" t="str">
        <v>Networking Systems (LAN,WAN);Internet Services &amp; Software</v>
      </c>
      <c r="Y444" s="6" t="str">
        <v>Internet Services &amp; Software</v>
      </c>
      <c r="Z444" s="6" t="str">
        <v>Primary Business not Hi-Tech</v>
      </c>
      <c r="AA444" s="6" t="str">
        <v>Primary Business not Hi-Tech</v>
      </c>
      <c r="AB444" s="6" t="str">
        <v>Primary Business not Hi-Tech</v>
      </c>
    </row>
    <row r="445">
      <c r="A445" s="6" t="str">
        <v>023135</v>
      </c>
      <c r="B445" s="6" t="str">
        <v>United States</v>
      </c>
      <c r="C445" s="6" t="str">
        <v>Amazon.com Inc</v>
      </c>
      <c r="D445" s="6" t="str">
        <v>Amazon.com Inc</v>
      </c>
      <c r="F445" s="6" t="str">
        <v>United States</v>
      </c>
      <c r="G445" s="6" t="str">
        <v>Lexcycle Inc</v>
      </c>
      <c r="H445" s="6" t="str">
        <v>Prepackaged Software</v>
      </c>
      <c r="I445" s="6" t="str">
        <v>52976J</v>
      </c>
      <c r="J445" s="6" t="str">
        <v>Lexcycle Inc</v>
      </c>
      <c r="K445" s="6" t="str">
        <v>Lexcycle Inc</v>
      </c>
      <c r="L445" s="7">
        <f>=DATE(2009,4,27)</f>
        <v>39929.99949074074</v>
      </c>
      <c r="M445" s="7">
        <f>=DATE(2009,4,27)</f>
        <v>39929.99949074074</v>
      </c>
      <c r="W445" s="6" t="str">
        <v>Primary Business not Hi-Tech</v>
      </c>
      <c r="X445" s="6" t="str">
        <v>Other Software (inq. Games);Applications Software(Home)</v>
      </c>
      <c r="Y445" s="6" t="str">
        <v>Other Software (inq. Games);Applications Software(Home)</v>
      </c>
      <c r="Z445" s="6" t="str">
        <v>Applications Software(Home);Other Software (inq. Games)</v>
      </c>
      <c r="AA445" s="6" t="str">
        <v>Primary Business not Hi-Tech</v>
      </c>
      <c r="AB445" s="6" t="str">
        <v>Primary Business not Hi-Tech</v>
      </c>
    </row>
    <row r="446">
      <c r="A446" s="6" t="str">
        <v>037833</v>
      </c>
      <c r="B446" s="6" t="str">
        <v>United States</v>
      </c>
      <c r="C446" s="6" t="str">
        <v>Apple Inc</v>
      </c>
      <c r="D446" s="6" t="str">
        <v>Apple Inc</v>
      </c>
      <c r="F446" s="6" t="str">
        <v>United States</v>
      </c>
      <c r="G446" s="6" t="str">
        <v>Twitter Inc</v>
      </c>
      <c r="H446" s="6" t="str">
        <v>Business Services</v>
      </c>
      <c r="I446" s="6" t="str">
        <v>90184L</v>
      </c>
      <c r="J446" s="6" t="str">
        <v>Twitter Inc</v>
      </c>
      <c r="K446" s="6" t="str">
        <v>Twitter Inc</v>
      </c>
      <c r="L446" s="7">
        <f>=DATE(2009,5,6)</f>
        <v>39938.99949074074</v>
      </c>
      <c r="W446" s="6" t="str">
        <v>Other Peripherals;Mainframes &amp; Super Computers;Monitors/Terminals;Portable Computers;Micro-Computers (PCs);Other Software (inq. Games);Disk Drives;Printers</v>
      </c>
      <c r="X446" s="6" t="str">
        <v>Internet Services &amp; Software</v>
      </c>
      <c r="Y446" s="6" t="str">
        <v>Internet Services &amp; Software</v>
      </c>
      <c r="Z446" s="6" t="str">
        <v>Internet Services &amp; Software</v>
      </c>
      <c r="AA446" s="6" t="str">
        <v>Printers;Other Peripherals;Disk Drives;Portable Computers;Monitors/Terminals;Other Software (inq. Games);Micro-Computers (PCs);Mainframes &amp; Super Computers</v>
      </c>
      <c r="AB446" s="6" t="str">
        <v>Disk Drives;Micro-Computers (PCs);Monitors/Terminals;Other Software (inq. Games);Printers;Portable Computers;Mainframes &amp; Super Computers;Other Peripherals</v>
      </c>
    </row>
    <row r="447">
      <c r="A447" s="6" t="str">
        <v>594918</v>
      </c>
      <c r="B447" s="6" t="str">
        <v>United States</v>
      </c>
      <c r="C447" s="6" t="str">
        <v>Microsoft Corp</v>
      </c>
      <c r="D447" s="6" t="str">
        <v>Microsoft Corp</v>
      </c>
      <c r="F447" s="6" t="str">
        <v>Canada</v>
      </c>
      <c r="G447" s="6" t="str">
        <v>BigPark Inc</v>
      </c>
      <c r="H447" s="6" t="str">
        <v>Prepackaged Software</v>
      </c>
      <c r="I447" s="6" t="str">
        <v>09220V</v>
      </c>
      <c r="J447" s="6" t="str">
        <v>BigPark Inc</v>
      </c>
      <c r="K447" s="6" t="str">
        <v>BigPark Inc</v>
      </c>
      <c r="L447" s="7">
        <f>=DATE(2009,5,7)</f>
        <v>39939.99949074074</v>
      </c>
      <c r="W447" s="6" t="str">
        <v>Internet Services &amp; Software;Computer Consulting Services;Applications Software(Business;Monitors/Terminals;Other Peripherals;Operating Systems</v>
      </c>
      <c r="X447" s="6" t="str">
        <v>Applications Software(Home);Other Software (inq. Games);Internet Services &amp; Software</v>
      </c>
      <c r="Y447" s="6" t="str">
        <v>Applications Software(Home);Other Software (inq. Games);Internet Services &amp; Software</v>
      </c>
      <c r="Z447" s="6" t="str">
        <v>Other Software (inq. Games);Applications Software(Home);Internet Services &amp; Software</v>
      </c>
      <c r="AA447" s="6" t="str">
        <v>Operating Systems;Monitors/Terminals;Other Peripherals;Applications Software(Business;Computer Consulting Services;Internet Services &amp; Software</v>
      </c>
      <c r="AB447" s="6" t="str">
        <v>Internet Services &amp; Software;Applications Software(Business;Computer Consulting Services;Monitors/Terminals;Other Peripherals;Operating Systems</v>
      </c>
    </row>
    <row r="448">
      <c r="A448" s="6" t="str">
        <v>594918</v>
      </c>
      <c r="B448" s="6" t="str">
        <v>United States</v>
      </c>
      <c r="C448" s="6" t="str">
        <v>Microsoft Corp</v>
      </c>
      <c r="D448" s="6" t="str">
        <v>Microsoft Corp</v>
      </c>
      <c r="F448" s="6" t="str">
        <v>United States</v>
      </c>
      <c r="G448" s="6" t="str">
        <v>Rosetta Biosoftware-Certain Assets</v>
      </c>
      <c r="H448" s="6" t="str">
        <v>Prepackaged Software</v>
      </c>
      <c r="I448" s="6" t="str">
        <v>77836C</v>
      </c>
      <c r="J448" s="6" t="str">
        <v>Merck &amp; Co Inc</v>
      </c>
      <c r="K448" s="6" t="str">
        <v>Rosetta Biosoftware</v>
      </c>
      <c r="L448" s="7">
        <f>=DATE(2009,6,1)</f>
        <v>39964.99949074074</v>
      </c>
      <c r="M448" s="7">
        <f>=DATE(2009,6,29)</f>
        <v>39992.99949074074</v>
      </c>
      <c r="N448" s="8">
        <v>15</v>
      </c>
      <c r="O448" s="8">
        <v>15</v>
      </c>
      <c r="W448" s="6" t="str">
        <v>Monitors/Terminals;Operating Systems;Applications Software(Business;Computer Consulting Services;Other Peripherals;Internet Services &amp; Software</v>
      </c>
      <c r="X448" s="6" t="str">
        <v>Other Software (inq. Games)</v>
      </c>
      <c r="Y448" s="6" t="str">
        <v>Other Software (inq. Games)</v>
      </c>
      <c r="Z448" s="6" t="str">
        <v>Research &amp; Development Firm;General Pharmaceuticals;Other Biotechnology</v>
      </c>
      <c r="AA448" s="6" t="str">
        <v>Internet Services &amp; Software;Applications Software(Business;Other Peripherals;Operating Systems;Monitors/Terminals;Computer Consulting Services</v>
      </c>
      <c r="AB448" s="6" t="str">
        <v>Applications Software(Business;Operating Systems;Other Peripherals;Monitors/Terminals;Computer Consulting Services;Internet Services &amp; Software</v>
      </c>
      <c r="AC448" s="8">
        <v>15</v>
      </c>
      <c r="AD448" s="7">
        <f>=DATE(2009,6,1)</f>
        <v>39964.99949074074</v>
      </c>
      <c r="AJ448" s="8" t="str">
        <v>15.00</v>
      </c>
      <c r="AK448" s="6" t="str">
        <v>US Dollar</v>
      </c>
      <c r="AL448" s="8">
        <v>15</v>
      </c>
    </row>
    <row r="449">
      <c r="A449" s="6" t="str">
        <v>67020Y</v>
      </c>
      <c r="B449" s="6" t="str">
        <v>United States</v>
      </c>
      <c r="C449" s="6" t="str">
        <v>Nuance Communications Inc</v>
      </c>
      <c r="D449" s="6" t="str">
        <v>Nuance Communications Inc</v>
      </c>
      <c r="F449" s="6" t="str">
        <v>Netherlands</v>
      </c>
      <c r="G449" s="6" t="str">
        <v>X-Solutions Group BV</v>
      </c>
      <c r="H449" s="6" t="str">
        <v>Prepackaged Software</v>
      </c>
      <c r="I449" s="6" t="str">
        <v>98220K</v>
      </c>
      <c r="J449" s="6" t="str">
        <v>X-Solutions Group BV</v>
      </c>
      <c r="K449" s="6" t="str">
        <v>X-Solutions Group BV</v>
      </c>
      <c r="L449" s="7">
        <f>=DATE(2009,6,1)</f>
        <v>39964.99949074074</v>
      </c>
      <c r="M449" s="7">
        <f>=DATE(2009,6,1)</f>
        <v>39964.99949074074</v>
      </c>
      <c r="W449" s="6" t="str">
        <v>Primary Business not Hi-Tech;Applications Software(Business;Computer Consulting Services;Other Software (inq. Games);Utilities/File Mgmt Software;Other Computer Related Svcs;Desktop Publishing;Programming Services;Internet Services &amp; Software;Database Software/Programming;Applications Software(Home);Communication/Network Software;Networking Systems (LAN,WAN)</v>
      </c>
      <c r="X449" s="6" t="str">
        <v>Other Software (inq. Games)</v>
      </c>
      <c r="Y449" s="6" t="str">
        <v>Other Software (inq. Games)</v>
      </c>
      <c r="Z449" s="6" t="str">
        <v>Other Software (inq. Games)</v>
      </c>
      <c r="AA449" s="6" t="str">
        <v>Programming Services;Other Software (inq. Games);Desktop Publishing;Primary Business not Hi-Tech;Computer Consulting Services;Networking Systems (LAN,WAN);Applications Software(Home);Internet Services &amp; Software;Utilities/File Mgmt Software;Communication/Network Software;Database Software/Programming;Other Computer Related Svcs;Applications Software(Business</v>
      </c>
      <c r="AB449" s="6" t="str">
        <v>Internet Services &amp; Software;Communication/Network Software;Networking Systems (LAN,WAN);Applications Software(Business;Database Software/Programming;Applications Software(Home);Programming Services;Computer Consulting Services;Other Software (inq. Games);Other Computer Related Svcs;Desktop Publishing;Primary Business not Hi-Tech;Utilities/File Mgmt Software</v>
      </c>
    </row>
    <row r="450">
      <c r="A450" s="6" t="str">
        <v>36908Q</v>
      </c>
      <c r="B450" s="6" t="str">
        <v>United States</v>
      </c>
      <c r="C450" s="6" t="str">
        <v>A9.com Inc</v>
      </c>
      <c r="D450" s="6" t="str">
        <v>Amazon.com Inc</v>
      </c>
      <c r="F450" s="6" t="str">
        <v>United States</v>
      </c>
      <c r="G450" s="6" t="str">
        <v>SnapTell Inc</v>
      </c>
      <c r="H450" s="6" t="str">
        <v>Prepackaged Software</v>
      </c>
      <c r="I450" s="6" t="str">
        <v>82823X</v>
      </c>
      <c r="J450" s="6" t="str">
        <v>SnapTell Inc</v>
      </c>
      <c r="K450" s="6" t="str">
        <v>SnapTell Inc</v>
      </c>
      <c r="L450" s="7">
        <f>=DATE(2009,6,18)</f>
        <v>39981.99949074074</v>
      </c>
      <c r="M450" s="7">
        <f>=DATE(2009,6,18)</f>
        <v>39981.99949074074</v>
      </c>
      <c r="W450" s="6" t="str">
        <v>Internet Services &amp; Software;Other Software (inq. Games)</v>
      </c>
      <c r="X450" s="6" t="str">
        <v>Other Software (inq. Games)</v>
      </c>
      <c r="Y450" s="6" t="str">
        <v>Other Software (inq. Games)</v>
      </c>
      <c r="Z450" s="6" t="str">
        <v>Other Software (inq. Games)</v>
      </c>
      <c r="AA450" s="6" t="str">
        <v>Primary Business not Hi-Tech</v>
      </c>
      <c r="AB450" s="6" t="str">
        <v>Primary Business not Hi-Tech</v>
      </c>
    </row>
    <row r="451">
      <c r="A451" s="6" t="str">
        <v>98967F</v>
      </c>
      <c r="B451" s="6" t="str">
        <v>United States</v>
      </c>
      <c r="C451" s="6" t="str">
        <v>ZeniMax Media Inc</v>
      </c>
      <c r="D451" s="6" t="str">
        <v>ZeniMax Media Inc</v>
      </c>
      <c r="F451" s="6" t="str">
        <v>United States</v>
      </c>
      <c r="G451" s="6" t="str">
        <v>id Software Inc</v>
      </c>
      <c r="H451" s="6" t="str">
        <v>Prepackaged Software</v>
      </c>
      <c r="I451" s="6" t="str">
        <v>46766N</v>
      </c>
      <c r="J451" s="6" t="str">
        <v>id Software Inc</v>
      </c>
      <c r="K451" s="6" t="str">
        <v>id Software Inc</v>
      </c>
      <c r="L451" s="7">
        <f>=DATE(2009,6,24)</f>
        <v>39987.99949074074</v>
      </c>
      <c r="M451" s="7">
        <f>=DATE(2009,6,24)</f>
        <v>39987.99949074074</v>
      </c>
      <c r="W451" s="6" t="str">
        <v>Other Software (inq. Games)</v>
      </c>
      <c r="X451" s="6" t="str">
        <v>Other Software (inq. Games)</v>
      </c>
      <c r="Y451" s="6" t="str">
        <v>Other Software (inq. Games)</v>
      </c>
      <c r="Z451" s="6" t="str">
        <v>Other Software (inq. Games)</v>
      </c>
      <c r="AA451" s="6" t="str">
        <v>Other Software (inq. Games)</v>
      </c>
      <c r="AB451" s="6" t="str">
        <v>Other Software (inq. Games)</v>
      </c>
    </row>
    <row r="452">
      <c r="A452" s="6" t="str">
        <v>023135</v>
      </c>
      <c r="B452" s="6" t="str">
        <v>United States</v>
      </c>
      <c r="C452" s="6" t="str">
        <v>Amazon.com Inc</v>
      </c>
      <c r="D452" s="6" t="str">
        <v>Amazon.com Inc</v>
      </c>
      <c r="F452" s="6" t="str">
        <v>United States</v>
      </c>
      <c r="G452" s="6" t="str">
        <v>Netflix Inc</v>
      </c>
      <c r="H452" s="6" t="str">
        <v>Motion Picture Production and Distribution</v>
      </c>
      <c r="I452" s="6" t="str">
        <v>64110L</v>
      </c>
      <c r="J452" s="6" t="str">
        <v>Netflix Inc</v>
      </c>
      <c r="K452" s="6" t="str">
        <v>Netflix Inc</v>
      </c>
      <c r="L452" s="7">
        <f>=DATE(2009,7,13)</f>
        <v>40006.99949074074</v>
      </c>
      <c r="R452" s="8">
        <v>54.806</v>
      </c>
      <c r="S452" s="8">
        <v>802.607</v>
      </c>
      <c r="T452" s="8">
        <v>-84.928</v>
      </c>
      <c r="U452" s="8">
        <v>-108.417</v>
      </c>
      <c r="V452" s="8">
        <v>140.935</v>
      </c>
      <c r="W452" s="6" t="str">
        <v>Primary Business not Hi-Tech</v>
      </c>
      <c r="X452" s="6" t="str">
        <v>Internet Services &amp; Software</v>
      </c>
      <c r="Y452" s="6" t="str">
        <v>Internet Services &amp; Software</v>
      </c>
      <c r="Z452" s="6" t="str">
        <v>Internet Services &amp; Software</v>
      </c>
      <c r="AA452" s="6" t="str">
        <v>Primary Business not Hi-Tech</v>
      </c>
      <c r="AB452" s="6" t="str">
        <v>Primary Business not Hi-Tech</v>
      </c>
    </row>
    <row r="453">
      <c r="A453" s="6" t="str">
        <v>052660</v>
      </c>
      <c r="B453" s="6" t="str">
        <v>United States</v>
      </c>
      <c r="C453" s="6" t="str">
        <v>AuthenTec Inc</v>
      </c>
      <c r="D453" s="6" t="str">
        <v>AuthenTec Inc</v>
      </c>
      <c r="F453" s="6" t="str">
        <v>United States</v>
      </c>
      <c r="G453" s="6" t="str">
        <v>Atrua Technologies Inc</v>
      </c>
      <c r="H453" s="6" t="str">
        <v>Electronic and Electrical Equipment</v>
      </c>
      <c r="I453" s="6" t="str">
        <v>01157Z</v>
      </c>
      <c r="J453" s="6" t="str">
        <v>Atrua Technologies Inc</v>
      </c>
      <c r="K453" s="6" t="str">
        <v>Atrua Technologies Inc</v>
      </c>
      <c r="L453" s="7">
        <f>=DATE(2009,7,14)</f>
        <v>40007.99949074074</v>
      </c>
      <c r="M453" s="7">
        <f>=DATE(2009,7,14)</f>
        <v>40007.99949074074</v>
      </c>
      <c r="N453" s="8">
        <v>4.9</v>
      </c>
      <c r="O453" s="8">
        <v>4.9</v>
      </c>
      <c r="W453" s="6" t="str">
        <v>Other Electronics;Search, Detection, Navigation;Semiconductors</v>
      </c>
      <c r="X453" s="6" t="str">
        <v>Communication/Network Software;Semiconductors;Applications Software(Business</v>
      </c>
      <c r="Y453" s="6" t="str">
        <v>Semiconductors;Applications Software(Business;Communication/Network Software</v>
      </c>
      <c r="Z453" s="6" t="str">
        <v>Communication/Network Software;Semiconductors;Applications Software(Business</v>
      </c>
      <c r="AA453" s="6" t="str">
        <v>Semiconductors;Search, Detection, Navigation;Other Electronics</v>
      </c>
      <c r="AB453" s="6" t="str">
        <v>Search, Detection, Navigation;Semiconductors;Other Electronics</v>
      </c>
      <c r="AC453" s="8">
        <v>4.9</v>
      </c>
      <c r="AD453" s="7">
        <f>=DATE(2009,7,14)</f>
        <v>40007.99949074074</v>
      </c>
      <c r="AJ453" s="8" t="str">
        <v>4.90</v>
      </c>
      <c r="AK453" s="6" t="str">
        <v>US Dollar</v>
      </c>
      <c r="AL453" s="8">
        <v>4.9</v>
      </c>
    </row>
    <row r="454">
      <c r="A454" s="6" t="str">
        <v>67020Y</v>
      </c>
      <c r="B454" s="6" t="str">
        <v>United States</v>
      </c>
      <c r="C454" s="6" t="str">
        <v>Nuance Communications Inc</v>
      </c>
      <c r="D454" s="6" t="str">
        <v>Nuance Communications Inc</v>
      </c>
      <c r="F454" s="6" t="str">
        <v>United States</v>
      </c>
      <c r="G454" s="6" t="str">
        <v>Jott Networks Inc</v>
      </c>
      <c r="H454" s="6" t="str">
        <v>Prepackaged Software</v>
      </c>
      <c r="I454" s="6" t="str">
        <v>44669N</v>
      </c>
      <c r="J454" s="6" t="str">
        <v>Jott Networks Inc</v>
      </c>
      <c r="K454" s="6" t="str">
        <v>Jott Networks Inc</v>
      </c>
      <c r="L454" s="7">
        <f>=DATE(2009,7,14)</f>
        <v>40007.99949074074</v>
      </c>
      <c r="M454" s="7">
        <f>=DATE(2009,7,14)</f>
        <v>40007.99949074074</v>
      </c>
      <c r="W454" s="6" t="str">
        <v>Applications Software(Business;Desktop Publishing;Communication/Network Software;Database Software/Programming;Applications Software(Home);Computer Consulting Services;Programming Services;Other Computer Related Svcs;Utilities/File Mgmt Software;Internet Services &amp; Software;Other Software (inq. Games);Primary Business not Hi-Tech;Networking Systems (LAN,WAN)</v>
      </c>
      <c r="X454" s="6" t="str">
        <v>Internet Services &amp; Software;Communication/Network Software</v>
      </c>
      <c r="Y454" s="6" t="str">
        <v>Communication/Network Software;Internet Services &amp; Software</v>
      </c>
      <c r="Z454" s="6" t="str">
        <v>Internet Services &amp; Software;Communication/Network Software</v>
      </c>
      <c r="AA454" s="6" t="str">
        <v>Programming Services;Communication/Network Software;Other Software (inq. Games);Internet Services &amp; Software;Database Software/Programming;Desktop Publishing;Utilities/File Mgmt Software;Primary Business not Hi-Tech;Computer Consulting Services;Other Computer Related Svcs;Applications Software(Home);Networking Systems (LAN,WAN);Applications Software(Business</v>
      </c>
      <c r="AB454" s="6" t="str">
        <v>Programming Services;Communication/Network Software;Utilities/File Mgmt Software;Primary Business not Hi-Tech;Networking Systems (LAN,WAN);Other Computer Related Svcs;Other Software (inq. Games);Computer Consulting Services;Desktop Publishing;Applications Software(Business;Database Software/Programming;Applications Software(Home);Internet Services &amp; Software</v>
      </c>
    </row>
    <row r="455">
      <c r="A455" s="6" t="str">
        <v>023135</v>
      </c>
      <c r="B455" s="6" t="str">
        <v>United States</v>
      </c>
      <c r="C455" s="6" t="str">
        <v>Amazon.com Inc</v>
      </c>
      <c r="D455" s="6" t="str">
        <v>Amazon.com Inc</v>
      </c>
      <c r="F455" s="6" t="str">
        <v>United States</v>
      </c>
      <c r="G455" s="6" t="str">
        <v>Zappos.com Inc</v>
      </c>
      <c r="H455" s="6" t="str">
        <v>Miscellaneous Retail Trade</v>
      </c>
      <c r="I455" s="6" t="str">
        <v>99101J</v>
      </c>
      <c r="J455" s="6" t="str">
        <v>Zappos.com Inc</v>
      </c>
      <c r="K455" s="6" t="str">
        <v>Zappos.com Inc</v>
      </c>
      <c r="L455" s="7">
        <f>=DATE(2009,7,22)</f>
        <v>40015.99949074074</v>
      </c>
      <c r="M455" s="7">
        <f>=DATE(2009,11,2)</f>
        <v>40118.99949074074</v>
      </c>
      <c r="N455" s="8">
        <v>1228.1</v>
      </c>
      <c r="O455" s="8">
        <v>930.1</v>
      </c>
      <c r="W455" s="6" t="str">
        <v>Primary Business not Hi-Tech</v>
      </c>
      <c r="X455" s="6" t="str">
        <v>Internet Services &amp; Software</v>
      </c>
      <c r="Y455" s="6" t="str">
        <v>Internet Services &amp; Software</v>
      </c>
      <c r="Z455" s="6" t="str">
        <v>Internet Services &amp; Software</v>
      </c>
      <c r="AA455" s="6" t="str">
        <v>Primary Business not Hi-Tech</v>
      </c>
      <c r="AB455" s="6" t="str">
        <v>Primary Business not Hi-Tech</v>
      </c>
      <c r="AC455" s="8">
        <v>930.1</v>
      </c>
      <c r="AD455" s="7">
        <f>=DATE(2009,7,22)</f>
        <v>40015.99949074074</v>
      </c>
      <c r="AF455" s="8" t="str">
        <v>930.10</v>
      </c>
      <c r="AG455" s="8" t="str">
        <v>1,228.10</v>
      </c>
      <c r="AH455" s="8" t="str">
        <v>930.10</v>
      </c>
      <c r="AI455" s="8" t="str">
        <v>930.10</v>
      </c>
      <c r="AJ455" s="8" t="str">
        <v>40.00;890.10</v>
      </c>
      <c r="AK455" s="6" t="str">
        <v>;US Dollar;US Dollar</v>
      </c>
      <c r="AL455" s="8">
        <v>930.1</v>
      </c>
    </row>
    <row r="456">
      <c r="A456" s="6" t="str">
        <v>38259P</v>
      </c>
      <c r="B456" s="6" t="str">
        <v>United States</v>
      </c>
      <c r="C456" s="6" t="str">
        <v>Google Inc</v>
      </c>
      <c r="D456" s="6" t="str">
        <v>Alphabet Inc</v>
      </c>
      <c r="F456" s="6" t="str">
        <v>United States</v>
      </c>
      <c r="G456" s="6" t="str">
        <v>On2 Technologies Inc</v>
      </c>
      <c r="H456" s="6" t="str">
        <v>Prepackaged Software</v>
      </c>
      <c r="I456" s="6" t="str">
        <v>68338A</v>
      </c>
      <c r="J456" s="6" t="str">
        <v>On2 Technologies Inc</v>
      </c>
      <c r="K456" s="6" t="str">
        <v>On2 Technologies Inc</v>
      </c>
      <c r="L456" s="7">
        <f>=DATE(2009,8,5)</f>
        <v>40029.99949074074</v>
      </c>
      <c r="M456" s="7">
        <f>=DATE(2010,2,19)</f>
        <v>40227.99949074074</v>
      </c>
      <c r="N456" s="8">
        <v>121.237</v>
      </c>
      <c r="O456" s="8">
        <v>133.083</v>
      </c>
      <c r="P456" s="8" t="str">
        <v>133.04</v>
      </c>
      <c r="R456" s="8">
        <v>-4.799</v>
      </c>
      <c r="S456" s="8">
        <v>14.271</v>
      </c>
      <c r="T456" s="8">
        <v>-0.329</v>
      </c>
      <c r="U456" s="8">
        <v>-0.173</v>
      </c>
      <c r="V456" s="8">
        <v>-1.376</v>
      </c>
      <c r="W456" s="6" t="str">
        <v>Programming Services;Internet Services &amp; Software</v>
      </c>
      <c r="X456" s="6" t="str">
        <v>Other Software (inq. Games)</v>
      </c>
      <c r="Y456" s="6" t="str">
        <v>Other Software (inq. Games)</v>
      </c>
      <c r="Z456" s="6" t="str">
        <v>Other Software (inq. Games)</v>
      </c>
      <c r="AA456" s="6" t="str">
        <v>Telecommunications Equipment;Internet Services &amp; Software;Primary Business not Hi-Tech;Computer Consulting Services;Programming Services</v>
      </c>
      <c r="AB456" s="6" t="str">
        <v>Internet Services &amp; Software;Telecommunications Equipment;Programming Services;Computer Consulting Services;Primary Business not Hi-Tech</v>
      </c>
      <c r="AC456" s="8">
        <v>133.083</v>
      </c>
      <c r="AD456" s="7">
        <f>=DATE(2010,1,7)</f>
        <v>40184.99949074074</v>
      </c>
      <c r="AE456" s="8">
        <v>133.037338</v>
      </c>
      <c r="AF456" s="8" t="str">
        <v>133.04</v>
      </c>
      <c r="AG456" s="8" t="str">
        <v>121.19</v>
      </c>
      <c r="AH456" s="8" t="str">
        <v>121.19</v>
      </c>
      <c r="AI456" s="8" t="str">
        <v>133.04</v>
      </c>
      <c r="AK456" s="6" t="str">
        <v>US Dollar;US Dollar</v>
      </c>
      <c r="AL456" s="8">
        <v>133.083</v>
      </c>
    </row>
    <row r="457">
      <c r="A457" s="6" t="str">
        <v>30303M</v>
      </c>
      <c r="B457" s="6" t="str">
        <v>United States</v>
      </c>
      <c r="C457" s="6" t="str">
        <v>Facebook Inc</v>
      </c>
      <c r="D457" s="6" t="str">
        <v>Facebook Inc</v>
      </c>
      <c r="F457" s="6" t="str">
        <v>United States</v>
      </c>
      <c r="G457" s="6" t="str">
        <v>FriendFeed Inc</v>
      </c>
      <c r="H457" s="6" t="str">
        <v>Business Services</v>
      </c>
      <c r="I457" s="6" t="str">
        <v>35854T</v>
      </c>
      <c r="J457" s="6" t="str">
        <v>FriendFeed Inc</v>
      </c>
      <c r="K457" s="6" t="str">
        <v>FriendFeed Inc</v>
      </c>
      <c r="L457" s="7">
        <f>=DATE(2009,8,10)</f>
        <v>40034.99949074074</v>
      </c>
      <c r="M457" s="7">
        <f>=DATE(2009,8,10)</f>
        <v>40034.99949074074</v>
      </c>
      <c r="W457" s="6" t="str">
        <v>Internet Services &amp; Software</v>
      </c>
      <c r="X457" s="6" t="str">
        <v>Internet Services &amp; Software</v>
      </c>
      <c r="Y457" s="6" t="str">
        <v>Internet Services &amp; Software</v>
      </c>
      <c r="Z457" s="6" t="str">
        <v>Internet Services &amp; Software</v>
      </c>
      <c r="AA457" s="6" t="str">
        <v>Internet Services &amp; Software</v>
      </c>
      <c r="AB457" s="6" t="str">
        <v>Internet Services &amp; Software</v>
      </c>
    </row>
    <row r="458">
      <c r="A458" s="6" t="str">
        <v>55383E</v>
      </c>
      <c r="B458" s="6" t="str">
        <v>United States</v>
      </c>
      <c r="C458" s="6" t="str">
        <v>MSNBC</v>
      </c>
      <c r="D458" s="6" t="str">
        <v>General Electric Co</v>
      </c>
      <c r="F458" s="6" t="str">
        <v>United States</v>
      </c>
      <c r="G458" s="6" t="str">
        <v>EveryBlock</v>
      </c>
      <c r="H458" s="6" t="str">
        <v>Business Services</v>
      </c>
      <c r="I458" s="6" t="str">
        <v>29815N</v>
      </c>
      <c r="J458" s="6" t="str">
        <v>EveryBlock</v>
      </c>
      <c r="K458" s="6" t="str">
        <v>EveryBlock</v>
      </c>
      <c r="L458" s="7">
        <f>=DATE(2009,8,17)</f>
        <v>40041.99949074074</v>
      </c>
      <c r="M458" s="7">
        <f>=DATE(2009,8,17)</f>
        <v>40041.99949074074</v>
      </c>
      <c r="W458" s="6" t="str">
        <v>Internet Services &amp; Software</v>
      </c>
      <c r="X458" s="6" t="str">
        <v>Internet Services &amp; Software</v>
      </c>
      <c r="Y458" s="6" t="str">
        <v>Internet Services &amp; Software</v>
      </c>
      <c r="Z458" s="6" t="str">
        <v>Internet Services &amp; Software</v>
      </c>
      <c r="AA458" s="6" t="str">
        <v>Primary Business not Hi-Tech</v>
      </c>
      <c r="AB458" s="6" t="str">
        <v>Other Electronics;Other High Technology Industry</v>
      </c>
    </row>
    <row r="459">
      <c r="A459" s="6" t="str">
        <v>31708V</v>
      </c>
      <c r="B459" s="6" t="str">
        <v>United States</v>
      </c>
      <c r="C459" s="6" t="str">
        <v>TheFind Inc</v>
      </c>
      <c r="D459" s="6" t="str">
        <v>TheFind Inc</v>
      </c>
      <c r="F459" s="6" t="str">
        <v>United States</v>
      </c>
      <c r="G459" s="6" t="str">
        <v>iStorez Inc</v>
      </c>
      <c r="H459" s="6" t="str">
        <v>Miscellaneous Retail Trade</v>
      </c>
      <c r="I459" s="6" t="str">
        <v>47170X</v>
      </c>
      <c r="J459" s="6" t="str">
        <v>iStorez Inc</v>
      </c>
      <c r="K459" s="6" t="str">
        <v>iStorez Inc</v>
      </c>
      <c r="L459" s="7">
        <f>=DATE(2009,9,2)</f>
        <v>40057.99949074074</v>
      </c>
      <c r="M459" s="7">
        <f>=DATE(2009,9,2)</f>
        <v>40057.99949074074</v>
      </c>
      <c r="W459" s="6" t="str">
        <v>Internet Services &amp; Software</v>
      </c>
      <c r="X459" s="6" t="str">
        <v>Internet Services &amp; Software</v>
      </c>
      <c r="Y459" s="6" t="str">
        <v>Internet Services &amp; Software</v>
      </c>
      <c r="Z459" s="6" t="str">
        <v>Internet Services &amp; Software</v>
      </c>
      <c r="AA459" s="6" t="str">
        <v>Internet Services &amp; Software</v>
      </c>
      <c r="AB459" s="6" t="str">
        <v>Internet Services &amp; Software</v>
      </c>
    </row>
    <row r="460">
      <c r="A460" s="6" t="str">
        <v>38259P</v>
      </c>
      <c r="B460" s="6" t="str">
        <v>United States</v>
      </c>
      <c r="C460" s="6" t="str">
        <v>Google Inc</v>
      </c>
      <c r="D460" s="6" t="str">
        <v>Alphabet Inc</v>
      </c>
      <c r="F460" s="6" t="str">
        <v>United States</v>
      </c>
      <c r="G460" s="6" t="str">
        <v>reCAPTCHA</v>
      </c>
      <c r="H460" s="6" t="str">
        <v>Business Services</v>
      </c>
      <c r="I460" s="6" t="str">
        <v>75786Q</v>
      </c>
      <c r="J460" s="6" t="str">
        <v>reCAPTCHA</v>
      </c>
      <c r="K460" s="6" t="str">
        <v>reCAPTCHA</v>
      </c>
      <c r="L460" s="7">
        <f>=DATE(2009,9,16)</f>
        <v>40071.99949074074</v>
      </c>
      <c r="M460" s="7">
        <f>=DATE(2009,9,16)</f>
        <v>40071.99949074074</v>
      </c>
      <c r="W460" s="6" t="str">
        <v>Internet Services &amp; Software;Programming Services</v>
      </c>
      <c r="X460" s="6" t="str">
        <v>Networking Systems (LAN,WAN);Internet Services &amp; Software</v>
      </c>
      <c r="Y460" s="6" t="str">
        <v>Internet Services &amp; Software;Networking Systems (LAN,WAN)</v>
      </c>
      <c r="Z460" s="6" t="str">
        <v>Networking Systems (LAN,WAN);Internet Services &amp; Software</v>
      </c>
      <c r="AA460" s="6" t="str">
        <v>Primary Business not Hi-Tech;Telecommunications Equipment;Computer Consulting Services;Programming Services;Internet Services &amp; Software</v>
      </c>
      <c r="AB460" s="6" t="str">
        <v>Programming Services;Computer Consulting Services;Primary Business not Hi-Tech;Telecommunications Equipment;Internet Services &amp; Software</v>
      </c>
    </row>
    <row r="461">
      <c r="A461" s="6" t="str">
        <v>594918</v>
      </c>
      <c r="B461" s="6" t="str">
        <v>United States</v>
      </c>
      <c r="C461" s="6" t="str">
        <v>Microsoft Corp</v>
      </c>
      <c r="D461" s="6" t="str">
        <v>Microsoft Corp</v>
      </c>
      <c r="F461" s="6" t="str">
        <v>United States</v>
      </c>
      <c r="G461" s="6" t="str">
        <v>Interactive Supercomputing</v>
      </c>
      <c r="H461" s="6" t="str">
        <v>Prepackaged Software</v>
      </c>
      <c r="I461" s="6" t="str">
        <v>47183L</v>
      </c>
      <c r="J461" s="6" t="str">
        <v>Interactive Supercomputing</v>
      </c>
      <c r="K461" s="6" t="str">
        <v>Interactive Supercomputing</v>
      </c>
      <c r="L461" s="7">
        <f>=DATE(2009,9,22)</f>
        <v>40077.99949074074</v>
      </c>
      <c r="M461" s="7">
        <f>=DATE(2009,9,22)</f>
        <v>40077.99949074074</v>
      </c>
      <c r="W461" s="6" t="str">
        <v>Computer Consulting Services;Internet Services &amp; Software;Other Peripherals;Monitors/Terminals;Operating Systems;Applications Software(Business</v>
      </c>
      <c r="X461" s="6" t="str">
        <v>Other Software (inq. Games)</v>
      </c>
      <c r="Y461" s="6" t="str">
        <v>Other Software (inq. Games)</v>
      </c>
      <c r="Z461" s="6" t="str">
        <v>Other Software (inq. Games)</v>
      </c>
      <c r="AA461" s="6" t="str">
        <v>Operating Systems;Computer Consulting Services;Applications Software(Business;Other Peripherals;Monitors/Terminals;Internet Services &amp; Software</v>
      </c>
      <c r="AB461" s="6" t="str">
        <v>Applications Software(Business;Monitors/Terminals;Operating Systems;Other Peripherals;Computer Consulting Services;Internet Services &amp; Software</v>
      </c>
    </row>
    <row r="462">
      <c r="A462" s="6" t="str">
        <v>594918</v>
      </c>
      <c r="B462" s="6" t="str">
        <v>United States</v>
      </c>
      <c r="C462" s="6" t="str">
        <v>Microsoft Corp</v>
      </c>
      <c r="D462" s="6" t="str">
        <v>Microsoft Corp</v>
      </c>
      <c r="F462" s="6" t="str">
        <v>United States</v>
      </c>
      <c r="G462" s="6" t="str">
        <v>Electronic Arts Inc</v>
      </c>
      <c r="H462" s="6" t="str">
        <v>Prepackaged Software</v>
      </c>
      <c r="I462" s="6" t="str">
        <v>285512</v>
      </c>
      <c r="J462" s="6" t="str">
        <v>Electronic Arts Inc</v>
      </c>
      <c r="K462" s="6" t="str">
        <v>Electronic Arts Inc</v>
      </c>
      <c r="L462" s="7">
        <f>=DATE(2009,9,23)</f>
        <v>40078.99949074074</v>
      </c>
      <c r="R462" s="8">
        <v>-1088</v>
      </c>
      <c r="S462" s="8">
        <v>4212</v>
      </c>
      <c r="T462" s="8">
        <v>91</v>
      </c>
      <c r="U462" s="8">
        <v>23</v>
      </c>
      <c r="V462" s="8">
        <v>12</v>
      </c>
      <c r="W462" s="6" t="str">
        <v>Applications Software(Business;Operating Systems;Internet Services &amp; Software;Monitors/Terminals;Other Peripherals;Computer Consulting Services</v>
      </c>
      <c r="X462" s="6" t="str">
        <v>Internet Services &amp; Software;Other Software (inq. Games);Communication/Network Software</v>
      </c>
      <c r="Y462" s="6" t="str">
        <v>Internet Services &amp; Software;Other Software (inq. Games);Communication/Network Software</v>
      </c>
      <c r="Z462" s="6" t="str">
        <v>Communication/Network Software;Other Software (inq. Games);Internet Services &amp; Software</v>
      </c>
      <c r="AA462" s="6" t="str">
        <v>Monitors/Terminals;Computer Consulting Services;Applications Software(Business;Other Peripherals;Operating Systems;Internet Services &amp; Software</v>
      </c>
      <c r="AB462" s="6" t="str">
        <v>Other Peripherals;Applications Software(Business;Computer Consulting Services;Internet Services &amp; Software;Monitors/Terminals;Operating Systems</v>
      </c>
    </row>
    <row r="463">
      <c r="A463" s="6" t="str">
        <v>594918</v>
      </c>
      <c r="B463" s="6" t="str">
        <v>United States</v>
      </c>
      <c r="C463" s="6" t="str">
        <v>Microsoft Corp</v>
      </c>
      <c r="D463" s="6" t="str">
        <v>Microsoft Corp</v>
      </c>
      <c r="F463" s="6" t="str">
        <v>United Kingdom</v>
      </c>
      <c r="G463" s="6" t="str">
        <v>Autonomy Corp PLC</v>
      </c>
      <c r="H463" s="6" t="str">
        <v>Prepackaged Software</v>
      </c>
      <c r="I463" s="6" t="str">
        <v>05329Q</v>
      </c>
      <c r="J463" s="6" t="str">
        <v>Autonomy Corp PLC</v>
      </c>
      <c r="K463" s="6" t="str">
        <v>Autonomy Corp PLC</v>
      </c>
      <c r="L463" s="7">
        <f>=DATE(2009,9,24)</f>
        <v>40079.99949074074</v>
      </c>
      <c r="R463" s="8">
        <v>134.374897105792</v>
      </c>
      <c r="S463" s="8">
        <v>358.908168976985</v>
      </c>
      <c r="T463" s="8">
        <v>527.5139025</v>
      </c>
      <c r="U463" s="8">
        <v>-701.2163595</v>
      </c>
      <c r="V463" s="8">
        <v>115.0656525</v>
      </c>
      <c r="W463" s="6" t="str">
        <v>Computer Consulting Services;Operating Systems;Internet Services &amp; Software;Applications Software(Business;Monitors/Terminals;Other Peripherals</v>
      </c>
      <c r="X463" s="6" t="str">
        <v>Applications Software(Business;Computer Consulting Services;Other Computer Related Svcs;Other Software (inq. Games)</v>
      </c>
      <c r="Y463" s="6" t="str">
        <v>Applications Software(Business;Other Software (inq. Games);Other Computer Related Svcs;Computer Consulting Services</v>
      </c>
      <c r="Z463" s="6" t="str">
        <v>Other Computer Related Svcs;Other Software (inq. Games);Computer Consulting Services;Applications Software(Business</v>
      </c>
      <c r="AA463" s="6" t="str">
        <v>Other Peripherals;Internet Services &amp; Software;Operating Systems;Monitors/Terminals;Applications Software(Business;Computer Consulting Services</v>
      </c>
      <c r="AB463" s="6" t="str">
        <v>Monitors/Terminals;Internet Services &amp; Software;Computer Consulting Services;Applications Software(Business;Operating Systems;Other Peripherals</v>
      </c>
    </row>
    <row r="464">
      <c r="A464" s="6" t="str">
        <v>67020Y</v>
      </c>
      <c r="B464" s="6" t="str">
        <v>United States</v>
      </c>
      <c r="C464" s="6" t="str">
        <v>Nuance Communications Inc</v>
      </c>
      <c r="D464" s="6" t="str">
        <v>Nuance Communications Inc</v>
      </c>
      <c r="F464" s="6" t="str">
        <v>United States</v>
      </c>
      <c r="G464" s="6" t="str">
        <v>eCopy Inc</v>
      </c>
      <c r="H464" s="6" t="str">
        <v>Prepackaged Software</v>
      </c>
      <c r="I464" s="6" t="str">
        <v>27907N</v>
      </c>
      <c r="J464" s="6" t="str">
        <v>eCopy Inc</v>
      </c>
      <c r="K464" s="6" t="str">
        <v>eCopy Inc</v>
      </c>
      <c r="L464" s="7">
        <f>=DATE(2009,9,30)</f>
        <v>40085.99949074074</v>
      </c>
      <c r="M464" s="7">
        <f>=DATE(2009,9,30)</f>
        <v>40085.99949074074</v>
      </c>
      <c r="N464" s="8">
        <v>54</v>
      </c>
      <c r="O464" s="8">
        <v>54</v>
      </c>
      <c r="W464" s="6" t="str">
        <v>Programming Services;Applications Software(Home);Networking Systems (LAN,WAN);Communication/Network Software;Applications Software(Business;Other Computer Related Svcs;Internet Services &amp; Software;Primary Business not Hi-Tech;Utilities/File Mgmt Software;Other Software (inq. Games);Database Software/Programming;Desktop Publishing;Computer Consulting Services</v>
      </c>
      <c r="X464" s="6" t="str">
        <v>Applications Software(Business;Data Processing Services</v>
      </c>
      <c r="Y464" s="6" t="str">
        <v>Data Processing Services;Applications Software(Business</v>
      </c>
      <c r="Z464" s="6" t="str">
        <v>Applications Software(Business;Data Processing Services</v>
      </c>
      <c r="AA464" s="6" t="str">
        <v>Programming Services;Desktop Publishing;Other Software (inq. Games);Communication/Network Software;Applications Software(Business;Database Software/Programming;Applications Software(Home);Computer Consulting Services;Other Computer Related Svcs;Networking Systems (LAN,WAN);Primary Business not Hi-Tech;Internet Services &amp; Software;Utilities/File Mgmt Software</v>
      </c>
      <c r="AB464" s="6" t="str">
        <v>Networking Systems (LAN,WAN);Applications Software(Business;Computer Consulting Services;Other Software (inq. Games);Primary Business not Hi-Tech;Other Computer Related Svcs;Database Software/Programming;Communication/Network Software;Applications Software(Home);Desktop Publishing;Internet Services &amp; Software;Utilities/File Mgmt Software;Programming Services</v>
      </c>
      <c r="AC464" s="8">
        <v>54</v>
      </c>
      <c r="AD464" s="7">
        <f>=DATE(2009,10,5)</f>
        <v>40090.99949074074</v>
      </c>
      <c r="AF464" s="8" t="str">
        <v>54.00</v>
      </c>
      <c r="AG464" s="8" t="str">
        <v>54.00</v>
      </c>
      <c r="AH464" s="8" t="str">
        <v>54.00</v>
      </c>
      <c r="AI464" s="8" t="str">
        <v>54.00</v>
      </c>
      <c r="AJ464" s="8" t="str">
        <v>54.00</v>
      </c>
      <c r="AK464" s="6" t="str">
        <v>US Dollar</v>
      </c>
      <c r="AL464" s="8">
        <v>54</v>
      </c>
    </row>
    <row r="465">
      <c r="A465" s="6" t="str">
        <v>38259P</v>
      </c>
      <c r="B465" s="6" t="str">
        <v>United States</v>
      </c>
      <c r="C465" s="6" t="str">
        <v>Google Inc</v>
      </c>
      <c r="D465" s="6" t="str">
        <v>Alphabet Inc</v>
      </c>
      <c r="F465" s="6" t="str">
        <v>United States</v>
      </c>
      <c r="G465" s="6" t="str">
        <v>Akamai Technologies Inc</v>
      </c>
      <c r="H465" s="6" t="str">
        <v>Business Services</v>
      </c>
      <c r="I465" s="6" t="str">
        <v>00971T</v>
      </c>
      <c r="J465" s="6" t="str">
        <v>Akamai Technologies Inc</v>
      </c>
      <c r="K465" s="6" t="str">
        <v>Akamai Technologies Inc</v>
      </c>
      <c r="L465" s="7">
        <f>=DATE(2009,10,15)</f>
        <v>40100.99949074074</v>
      </c>
      <c r="R465" s="8">
        <v>105.833</v>
      </c>
      <c r="S465" s="8">
        <v>621.468</v>
      </c>
      <c r="T465" s="8">
        <v>-36.438</v>
      </c>
      <c r="U465" s="8">
        <v>-217.559</v>
      </c>
      <c r="V465" s="8">
        <v>299.543</v>
      </c>
      <c r="W465" s="6" t="str">
        <v>Internet Services &amp; Software;Programming Services</v>
      </c>
      <c r="X465" s="6" t="str">
        <v>Utilities/File Mgmt Software;Communication/Network Software;Other Software (inq. Games);Applications Software(Business;Applications Software(Home);Database Software/Programming;Programming Services;Desktop Publishing;Internet Services &amp; Software</v>
      </c>
      <c r="Y465" s="6" t="str">
        <v>Applications Software(Business;Database Software/Programming;Utilities/File Mgmt Software;Applications Software(Home);Internet Services &amp; Software;Communication/Network Software;Programming Services;Other Software (inq. Games);Desktop Publishing</v>
      </c>
      <c r="Z465" s="6" t="str">
        <v>Communication/Network Software;Other Software (inq. Games);Utilities/File Mgmt Software;Applications Software(Business;Desktop Publishing;Internet Services &amp; Software;Database Software/Programming;Applications Software(Home);Programming Services</v>
      </c>
      <c r="AA465" s="6" t="str">
        <v>Telecommunications Equipment;Internet Services &amp; Software;Primary Business not Hi-Tech;Computer Consulting Services;Programming Services</v>
      </c>
      <c r="AB465" s="6" t="str">
        <v>Telecommunications Equipment;Programming Services;Computer Consulting Services;Internet Services &amp; Software;Primary Business not Hi-Tech</v>
      </c>
    </row>
    <row r="466">
      <c r="A466" s="6" t="str">
        <v>037833</v>
      </c>
      <c r="B466" s="6" t="str">
        <v>United States</v>
      </c>
      <c r="C466" s="6" t="str">
        <v>Apple Inc</v>
      </c>
      <c r="D466" s="6" t="str">
        <v>Apple Inc</v>
      </c>
      <c r="F466" s="6" t="str">
        <v>United States</v>
      </c>
      <c r="G466" s="6" t="str">
        <v>Placebase</v>
      </c>
      <c r="H466" s="6" t="str">
        <v>Business Services</v>
      </c>
      <c r="I466" s="6" t="str">
        <v>72599W</v>
      </c>
      <c r="J466" s="6" t="str">
        <v>Placebase</v>
      </c>
      <c r="K466" s="6" t="str">
        <v>Placebase</v>
      </c>
      <c r="L466" s="7">
        <f>=DATE(2009,10,31)</f>
        <v>40116.99949074074</v>
      </c>
      <c r="M466" s="7">
        <f>=DATE(2009,10,31)</f>
        <v>40116.99949074074</v>
      </c>
      <c r="W466" s="6" t="str">
        <v>Disk Drives;Micro-Computers (PCs);Other Software (inq. Games);Other Peripherals;Mainframes &amp; Super Computers;Portable Computers;Monitors/Terminals;Printers</v>
      </c>
      <c r="X466" s="6" t="str">
        <v>Internet Services &amp; Software</v>
      </c>
      <c r="Y466" s="6" t="str">
        <v>Internet Services &amp; Software</v>
      </c>
      <c r="Z466" s="6" t="str">
        <v>Internet Services &amp; Software</v>
      </c>
      <c r="AA466" s="6" t="str">
        <v>Other Software (inq. Games);Micro-Computers (PCs);Portable Computers;Printers;Monitors/Terminals;Other Peripherals;Disk Drives;Mainframes &amp; Super Computers</v>
      </c>
      <c r="AB466" s="6" t="str">
        <v>Mainframes &amp; Super Computers;Disk Drives;Micro-Computers (PCs);Monitors/Terminals;Portable Computers;Other Software (inq. Games);Printers;Other Peripherals</v>
      </c>
    </row>
    <row r="467">
      <c r="A467" s="6" t="str">
        <v>38259P</v>
      </c>
      <c r="B467" s="6" t="str">
        <v>United States</v>
      </c>
      <c r="C467" s="6" t="str">
        <v>Google Inc</v>
      </c>
      <c r="D467" s="6" t="str">
        <v>Alphabet Inc</v>
      </c>
      <c r="F467" s="6" t="str">
        <v>United States</v>
      </c>
      <c r="G467" s="6" t="str">
        <v>AdMob Inc</v>
      </c>
      <c r="H467" s="6" t="str">
        <v>Advertising Services</v>
      </c>
      <c r="I467" s="6" t="str">
        <v>23930W</v>
      </c>
      <c r="J467" s="6" t="str">
        <v>AdMob Inc</v>
      </c>
      <c r="K467" s="6" t="str">
        <v>AdMob Inc</v>
      </c>
      <c r="L467" s="7">
        <f>=DATE(2009,11,9)</f>
        <v>40125.99949074074</v>
      </c>
      <c r="M467" s="7">
        <f>=DATE(2010,5,27)</f>
        <v>40324.99949074074</v>
      </c>
      <c r="N467" s="8">
        <v>750</v>
      </c>
      <c r="O467" s="8">
        <v>750</v>
      </c>
      <c r="W467" s="6" t="str">
        <v>Programming Services;Internet Services &amp; Software</v>
      </c>
      <c r="X467" s="6" t="str">
        <v>Internet Services &amp; Software;Primary Business not Hi-Tech</v>
      </c>
      <c r="Y467" s="6" t="str">
        <v>Internet Services &amp; Software;Primary Business not Hi-Tech</v>
      </c>
      <c r="Z467" s="6" t="str">
        <v>Internet Services &amp; Software;Primary Business not Hi-Tech</v>
      </c>
      <c r="AA467" s="6" t="str">
        <v>Primary Business not Hi-Tech;Telecommunications Equipment;Internet Services &amp; Software;Programming Services;Computer Consulting Services</v>
      </c>
      <c r="AB467" s="6" t="str">
        <v>Primary Business not Hi-Tech;Internet Services &amp; Software;Computer Consulting Services;Telecommunications Equipment;Programming Services</v>
      </c>
      <c r="AC467" s="8">
        <v>750</v>
      </c>
      <c r="AD467" s="7">
        <f>=DATE(2009,11,9)</f>
        <v>40125.99949074074</v>
      </c>
      <c r="AF467" s="8" t="str">
        <v>750.00</v>
      </c>
      <c r="AH467" s="8" t="str">
        <v>750.00</v>
      </c>
      <c r="AI467" s="8" t="str">
        <v>750.00</v>
      </c>
      <c r="AJ467" s="8" t="str">
        <v>750.00</v>
      </c>
      <c r="AK467" s="6" t="str">
        <v>US Dollar</v>
      </c>
      <c r="AL467" s="8">
        <v>750</v>
      </c>
    </row>
    <row r="468">
      <c r="A468" s="6" t="str">
        <v>38259P</v>
      </c>
      <c r="B468" s="6" t="str">
        <v>United States</v>
      </c>
      <c r="C468" s="6" t="str">
        <v>Google Inc</v>
      </c>
      <c r="D468" s="6" t="str">
        <v>Alphabet Inc</v>
      </c>
      <c r="F468" s="6" t="str">
        <v>United States</v>
      </c>
      <c r="G468" s="6" t="str">
        <v>Gizmo5</v>
      </c>
      <c r="H468" s="6" t="str">
        <v>Telecommunications</v>
      </c>
      <c r="I468" s="6" t="str">
        <v>37629Y</v>
      </c>
      <c r="J468" s="6" t="str">
        <v>Gizmo5</v>
      </c>
      <c r="K468" s="6" t="str">
        <v>Gizmo5</v>
      </c>
      <c r="L468" s="7">
        <f>=DATE(2009,11,9)</f>
        <v>40125.99949074074</v>
      </c>
      <c r="M468" s="7">
        <f>=DATE(2009,11,13)</f>
        <v>40129.99949074074</v>
      </c>
      <c r="W468" s="6" t="str">
        <v>Programming Services;Internet Services &amp; Software</v>
      </c>
      <c r="X468" s="6" t="str">
        <v>Internet Services &amp; Software;Communication/Network Software;Telecommunications Equipment</v>
      </c>
      <c r="Y468" s="6" t="str">
        <v>Communication/Network Software;Telecommunications Equipment;Internet Services &amp; Software</v>
      </c>
      <c r="Z468" s="6" t="str">
        <v>Telecommunications Equipment;Communication/Network Software;Internet Services &amp; Software</v>
      </c>
      <c r="AA468" s="6" t="str">
        <v>Programming Services;Computer Consulting Services;Telecommunications Equipment;Internet Services &amp; Software;Primary Business not Hi-Tech</v>
      </c>
      <c r="AB468" s="6" t="str">
        <v>Computer Consulting Services;Telecommunications Equipment;Programming Services;Internet Services &amp; Software;Primary Business not Hi-Tech</v>
      </c>
    </row>
    <row r="469">
      <c r="A469" s="6" t="str">
        <v>594918</v>
      </c>
      <c r="B469" s="6" t="str">
        <v>United States</v>
      </c>
      <c r="C469" s="6" t="str">
        <v>Microsoft Corp</v>
      </c>
      <c r="D469" s="6" t="str">
        <v>Microsoft Corp</v>
      </c>
      <c r="F469" s="6" t="str">
        <v>United States</v>
      </c>
      <c r="G469" s="6" t="str">
        <v>SourceGear LLC-Teamprise Assets</v>
      </c>
      <c r="H469" s="6" t="str">
        <v>Business Services</v>
      </c>
      <c r="I469" s="6" t="str">
        <v>83771J</v>
      </c>
      <c r="J469" s="6" t="str">
        <v>SourceGear LLC</v>
      </c>
      <c r="K469" s="6" t="str">
        <v>SourceGear LLC</v>
      </c>
      <c r="L469" s="7">
        <f>=DATE(2009,11,9)</f>
        <v>40125.99949074074</v>
      </c>
      <c r="M469" s="7">
        <f>=DATE(2009,11,9)</f>
        <v>40125.99949074074</v>
      </c>
      <c r="W469" s="6" t="str">
        <v>Other Peripherals;Applications Software(Business;Internet Services &amp; Software;Computer Consulting Services;Monitors/Terminals;Operating Systems</v>
      </c>
      <c r="X469" s="6" t="str">
        <v>Database Software/Programming;Programming Services;Applications Software(Business</v>
      </c>
      <c r="Y469" s="6" t="str">
        <v>Applications Software(Business;Programming Services;Database Software/Programming</v>
      </c>
      <c r="Z469" s="6" t="str">
        <v>Database Software/Programming;Applications Software(Business;Programming Services</v>
      </c>
      <c r="AA469" s="6" t="str">
        <v>Applications Software(Business;Other Peripherals;Internet Services &amp; Software;Monitors/Terminals;Computer Consulting Services;Operating Systems</v>
      </c>
      <c r="AB469" s="6" t="str">
        <v>Monitors/Terminals;Other Peripherals;Applications Software(Business;Computer Consulting Services;Operating Systems;Internet Services &amp; Software</v>
      </c>
    </row>
    <row r="470">
      <c r="A470" s="6" t="str">
        <v>38259P</v>
      </c>
      <c r="B470" s="6" t="str">
        <v>United States</v>
      </c>
      <c r="C470" s="6" t="str">
        <v>Google Inc</v>
      </c>
      <c r="D470" s="6" t="str">
        <v>Alphabet Inc</v>
      </c>
      <c r="F470" s="6" t="str">
        <v>United States</v>
      </c>
      <c r="G470" s="6" t="str">
        <v>Teracent Corp</v>
      </c>
      <c r="H470" s="6" t="str">
        <v>Prepackaged Software</v>
      </c>
      <c r="I470" s="6" t="str">
        <v>86522N</v>
      </c>
      <c r="J470" s="6" t="str">
        <v>Teracent Corp</v>
      </c>
      <c r="K470" s="6" t="str">
        <v>Teracent Corp</v>
      </c>
      <c r="L470" s="7">
        <f>=DATE(2009,11,23)</f>
        <v>40139.99949074074</v>
      </c>
      <c r="M470" s="7">
        <f>=DATE(2009,12,31)</f>
        <v>40177.99949074074</v>
      </c>
      <c r="W470" s="6" t="str">
        <v>Programming Services;Internet Services &amp; Software</v>
      </c>
      <c r="X470" s="6" t="str">
        <v>Communication/Network Software;Internet Services &amp; Software</v>
      </c>
      <c r="Y470" s="6" t="str">
        <v>Communication/Network Software;Internet Services &amp; Software</v>
      </c>
      <c r="Z470" s="6" t="str">
        <v>Communication/Network Software;Internet Services &amp; Software</v>
      </c>
      <c r="AA470" s="6" t="str">
        <v>Programming Services;Internet Services &amp; Software;Primary Business not Hi-Tech;Computer Consulting Services;Telecommunications Equipment</v>
      </c>
      <c r="AB470" s="6" t="str">
        <v>Primary Business not Hi-Tech;Programming Services;Computer Consulting Services;Internet Services &amp; Software;Telecommunications Equipment</v>
      </c>
    </row>
    <row r="471">
      <c r="A471" s="6" t="str">
        <v>38259P</v>
      </c>
      <c r="B471" s="6" t="str">
        <v>United States</v>
      </c>
      <c r="C471" s="6" t="str">
        <v>Google Inc</v>
      </c>
      <c r="D471" s="6" t="str">
        <v>Alphabet Inc</v>
      </c>
      <c r="F471" s="6" t="str">
        <v>United States</v>
      </c>
      <c r="G471" s="6" t="str">
        <v>AppJet Inc</v>
      </c>
      <c r="H471" s="6" t="str">
        <v>Prepackaged Software</v>
      </c>
      <c r="I471" s="6" t="str">
        <v>01506C</v>
      </c>
      <c r="J471" s="6" t="str">
        <v>AppJet Inc</v>
      </c>
      <c r="K471" s="6" t="str">
        <v>AppJet Inc</v>
      </c>
      <c r="L471" s="7">
        <f>=DATE(2009,12,4)</f>
        <v>40150.99949074074</v>
      </c>
      <c r="M471" s="7">
        <f>=DATE(2009,12,4)</f>
        <v>40150.99949074074</v>
      </c>
      <c r="W471" s="6" t="str">
        <v>Internet Services &amp; Software;Programming Services</v>
      </c>
      <c r="X471" s="6" t="str">
        <v>Internet Services &amp; Software;Communication/Network Software</v>
      </c>
      <c r="Y471" s="6" t="str">
        <v>Communication/Network Software;Internet Services &amp; Software</v>
      </c>
      <c r="Z471" s="6" t="str">
        <v>Communication/Network Software;Internet Services &amp; Software</v>
      </c>
      <c r="AA471" s="6" t="str">
        <v>Programming Services;Telecommunications Equipment;Primary Business not Hi-Tech;Computer Consulting Services;Internet Services &amp; Software</v>
      </c>
      <c r="AB471" s="6" t="str">
        <v>Telecommunications Equipment;Programming Services;Primary Business not Hi-Tech;Computer Consulting Services;Internet Services &amp; Software</v>
      </c>
    </row>
    <row r="472">
      <c r="A472" s="6" t="str">
        <v>037833</v>
      </c>
      <c r="B472" s="6" t="str">
        <v>United States</v>
      </c>
      <c r="C472" s="6" t="str">
        <v>Apple Inc</v>
      </c>
      <c r="D472" s="6" t="str">
        <v>Apple Inc</v>
      </c>
      <c r="F472" s="6" t="str">
        <v>United States</v>
      </c>
      <c r="G472" s="6" t="str">
        <v>la la Media Inc</v>
      </c>
      <c r="H472" s="6" t="str">
        <v>Business Services</v>
      </c>
      <c r="I472" s="6" t="str">
        <v>49755M</v>
      </c>
      <c r="J472" s="6" t="str">
        <v>la la Media Inc</v>
      </c>
      <c r="K472" s="6" t="str">
        <v>la la Media Inc</v>
      </c>
      <c r="L472" s="7">
        <f>=DATE(2009,12,4)</f>
        <v>40150.99949074074</v>
      </c>
      <c r="M472" s="7">
        <f>=DATE(2009,12,6)</f>
        <v>40152.99949074074</v>
      </c>
      <c r="W472" s="6" t="str">
        <v>Monitors/Terminals;Other Peripherals;Other Software (inq. Games);Mainframes &amp; Super Computers;Disk Drives;Printers;Portable Computers;Micro-Computers (PCs)</v>
      </c>
      <c r="X472" s="6" t="str">
        <v>Internet Services &amp; Software</v>
      </c>
      <c r="Y472" s="6" t="str">
        <v>Internet Services &amp; Software</v>
      </c>
      <c r="Z472" s="6" t="str">
        <v>Internet Services &amp; Software</v>
      </c>
      <c r="AA472" s="6" t="str">
        <v>Monitors/Terminals;Disk Drives;Mainframes &amp; Super Computers;Other Peripherals;Printers;Micro-Computers (PCs);Portable Computers;Other Software (inq. Games)</v>
      </c>
      <c r="AB472" s="6" t="str">
        <v>Disk Drives;Other Software (inq. Games);Micro-Computers (PCs);Other Peripherals;Mainframes &amp; Super Computers;Portable Computers;Printers;Monitors/Terminals</v>
      </c>
    </row>
    <row r="473">
      <c r="A473" s="6" t="str">
        <v>023135</v>
      </c>
      <c r="B473" s="6" t="str">
        <v>United States</v>
      </c>
      <c r="C473" s="6" t="str">
        <v>Amazon.com Inc</v>
      </c>
      <c r="D473" s="6" t="str">
        <v>Amazon.com Inc</v>
      </c>
      <c r="F473" s="6" t="str">
        <v>France</v>
      </c>
      <c r="G473" s="6" t="str">
        <v>Vente-Privee com SA</v>
      </c>
      <c r="H473" s="6" t="str">
        <v>Miscellaneous Retail Trade</v>
      </c>
      <c r="I473" s="6" t="str">
        <v>92380R</v>
      </c>
      <c r="J473" s="6" t="str">
        <v>Vente-Privee com SA</v>
      </c>
      <c r="K473" s="6" t="str">
        <v>Vente-Privee com SA</v>
      </c>
      <c r="L473" s="7">
        <f>=DATE(2009,12,4)</f>
        <v>40150.99949074074</v>
      </c>
      <c r="W473" s="6" t="str">
        <v>Primary Business not Hi-Tech</v>
      </c>
      <c r="X473" s="6" t="str">
        <v>Internet Services &amp; Software</v>
      </c>
      <c r="Y473" s="6" t="str">
        <v>Internet Services &amp; Software</v>
      </c>
      <c r="Z473" s="6" t="str">
        <v>Internet Services &amp; Software</v>
      </c>
      <c r="AA473" s="6" t="str">
        <v>Primary Business not Hi-Tech</v>
      </c>
      <c r="AB473" s="6" t="str">
        <v>Primary Business not Hi-Tech</v>
      </c>
    </row>
    <row r="474">
      <c r="A474" s="6" t="str">
        <v>59558H</v>
      </c>
      <c r="B474" s="6" t="str">
        <v>United States</v>
      </c>
      <c r="C474" s="6" t="str">
        <v>Microsoft Corp-Internet Search &amp; Advertising Operations</v>
      </c>
      <c r="D474" s="6" t="str">
        <v>Microsoft Corp</v>
      </c>
      <c r="F474" s="6" t="str">
        <v>United States</v>
      </c>
      <c r="G474" s="6" t="str">
        <v>Yahoo! Inc-Internet Search &amp; Advertising Operations</v>
      </c>
      <c r="H474" s="6" t="str">
        <v>Business Services</v>
      </c>
      <c r="I474" s="6" t="str">
        <v>98700F</v>
      </c>
      <c r="J474" s="6" t="str">
        <v>Yahoo! Inc</v>
      </c>
      <c r="K474" s="6" t="str">
        <v>Yahoo! Inc</v>
      </c>
      <c r="L474" s="7">
        <f>=DATE(2009,12,4)</f>
        <v>40150.99949074074</v>
      </c>
      <c r="M474" s="7">
        <f>=DATE(2009,12,31)</f>
        <v>40177.99949074074</v>
      </c>
      <c r="W474" s="6" t="str">
        <v>Internet Services &amp; Software;Computer Consulting Services;Monitors/Terminals;Applications Software(Business;Operating Systems;Other Peripherals</v>
      </c>
      <c r="X474" s="6" t="str">
        <v>Internet Services &amp; Software</v>
      </c>
      <c r="Y474" s="6" t="str">
        <v>Internet Services &amp; Software</v>
      </c>
      <c r="Z474" s="6" t="str">
        <v>Internet Services &amp; Software</v>
      </c>
      <c r="AA474" s="6" t="str">
        <v>Operating Systems;Other Peripherals;Internet Services &amp; Software;Computer Consulting Services;Applications Software(Business;Monitors/Terminals</v>
      </c>
      <c r="AB474" s="6" t="str">
        <v>Other Peripherals;Computer Consulting Services;Operating Systems;Applications Software(Business;Monitors/Terminals;Internet Services &amp; Software</v>
      </c>
    </row>
    <row r="475">
      <c r="A475" s="6" t="str">
        <v>594918</v>
      </c>
      <c r="B475" s="6" t="str">
        <v>United States</v>
      </c>
      <c r="C475" s="6" t="str">
        <v>Microsoft Corp</v>
      </c>
      <c r="D475" s="6" t="str">
        <v>Microsoft Corp</v>
      </c>
      <c r="F475" s="6" t="str">
        <v>United States</v>
      </c>
      <c r="G475" s="6" t="str">
        <v>Sentillion Inc</v>
      </c>
      <c r="H475" s="6" t="str">
        <v>Prepackaged Software</v>
      </c>
      <c r="I475" s="6" t="str">
        <v>81828W</v>
      </c>
      <c r="J475" s="6" t="str">
        <v>Sentillion Inc</v>
      </c>
      <c r="K475" s="6" t="str">
        <v>Sentillion Inc</v>
      </c>
      <c r="L475" s="7">
        <f>=DATE(2009,12,10)</f>
        <v>40156.99949074074</v>
      </c>
      <c r="M475" s="7">
        <f>=DATE(2010,2,2)</f>
        <v>40210.99949074074</v>
      </c>
      <c r="W475" s="6" t="str">
        <v>Operating Systems;Applications Software(Business;Other Peripherals;Monitors/Terminals;Internet Services &amp; Software;Computer Consulting Services</v>
      </c>
      <c r="X475" s="6" t="str">
        <v>Other Software (inq. Games)</v>
      </c>
      <c r="Y475" s="6" t="str">
        <v>Other Software (inq. Games)</v>
      </c>
      <c r="Z475" s="6" t="str">
        <v>Other Software (inq. Games)</v>
      </c>
      <c r="AA475" s="6" t="str">
        <v>Computer Consulting Services;Other Peripherals;Applications Software(Business;Monitors/Terminals;Operating Systems;Internet Services &amp; Software</v>
      </c>
      <c r="AB475" s="6" t="str">
        <v>Other Peripherals;Operating Systems;Applications Software(Business;Computer Consulting Services;Monitors/Terminals;Internet Services &amp; Software</v>
      </c>
    </row>
    <row r="476">
      <c r="A476" s="6" t="str">
        <v>594918</v>
      </c>
      <c r="B476" s="6" t="str">
        <v>United States</v>
      </c>
      <c r="C476" s="6" t="str">
        <v>Microsoft Corp</v>
      </c>
      <c r="D476" s="6" t="str">
        <v>Microsoft Corp</v>
      </c>
      <c r="F476" s="6" t="str">
        <v>Canada</v>
      </c>
      <c r="G476" s="6" t="str">
        <v>Opalis Software Inc</v>
      </c>
      <c r="H476" s="6" t="str">
        <v>Prepackaged Software</v>
      </c>
      <c r="I476" s="6" t="str">
        <v>68350P</v>
      </c>
      <c r="J476" s="6" t="str">
        <v>Microsoft Corp</v>
      </c>
      <c r="K476" s="6" t="str">
        <v>Microsoft Corp</v>
      </c>
      <c r="L476" s="7">
        <f>=DATE(2009,12,11)</f>
        <v>40157.99949074074</v>
      </c>
      <c r="M476" s="7">
        <f>=DATE(2009,12,11)</f>
        <v>40157.99949074074</v>
      </c>
      <c r="W476" s="6" t="str">
        <v>Applications Software(Business;Other Peripherals;Internet Services &amp; Software;Monitors/Terminals;Operating Systems;Computer Consulting Services</v>
      </c>
      <c r="X476" s="6" t="str">
        <v>Other Software (inq. Games)</v>
      </c>
      <c r="Y476" s="6" t="str">
        <v>Other Peripherals;Computer Consulting Services;Monitors/Terminals;Applications Software(Business;Internet Services &amp; Software;Operating Systems</v>
      </c>
      <c r="Z476" s="6" t="str">
        <v>Monitors/Terminals;Internet Services &amp; Software;Other Peripherals;Computer Consulting Services;Operating Systems;Applications Software(Business</v>
      </c>
      <c r="AA476" s="6" t="str">
        <v>Computer Consulting Services;Applications Software(Business;Operating Systems;Internet Services &amp; Software;Other Peripherals;Monitors/Terminals</v>
      </c>
      <c r="AB476" s="6" t="str">
        <v>Applications Software(Business;Monitors/Terminals;Internet Services &amp; Software;Other Peripherals;Computer Consulting Services;Operating Systems</v>
      </c>
    </row>
    <row r="477">
      <c r="A477" s="6" t="str">
        <v>38259P</v>
      </c>
      <c r="B477" s="6" t="str">
        <v>United States</v>
      </c>
      <c r="C477" s="6" t="str">
        <v>Google Inc</v>
      </c>
      <c r="D477" s="6" t="str">
        <v>Alphabet Inc</v>
      </c>
      <c r="F477" s="6" t="str">
        <v>United States</v>
      </c>
      <c r="G477" s="6" t="str">
        <v>Yelp! Inc</v>
      </c>
      <c r="H477" s="6" t="str">
        <v>Business Services</v>
      </c>
      <c r="I477" s="6" t="str">
        <v>99257T</v>
      </c>
      <c r="J477" s="6" t="str">
        <v>Yelp! Inc</v>
      </c>
      <c r="K477" s="6" t="str">
        <v>Yelp! Inc</v>
      </c>
      <c r="L477" s="7">
        <f>=DATE(2009,12,18)</f>
        <v>40164.99949074074</v>
      </c>
      <c r="W477" s="6" t="str">
        <v>Programming Services;Internet Services &amp; Software</v>
      </c>
      <c r="X477" s="6" t="str">
        <v>Internet Services &amp; Software</v>
      </c>
      <c r="Y477" s="6" t="str">
        <v>Internet Services &amp; Software</v>
      </c>
      <c r="Z477" s="6" t="str">
        <v>Internet Services &amp; Software</v>
      </c>
      <c r="AA477" s="6" t="str">
        <v>Internet Services &amp; Software;Computer Consulting Services;Primary Business not Hi-Tech;Telecommunications Equipment;Programming Services</v>
      </c>
      <c r="AB477" s="6" t="str">
        <v>Internet Services &amp; Software;Primary Business not Hi-Tech;Computer Consulting Services;Telecommunications Equipment;Programming Services</v>
      </c>
    </row>
    <row r="478">
      <c r="A478" s="6" t="str">
        <v>38259P</v>
      </c>
      <c r="B478" s="6" t="str">
        <v>United States</v>
      </c>
      <c r="C478" s="6" t="str">
        <v>Google Inc</v>
      </c>
      <c r="D478" s="6" t="str">
        <v>Alphabet Inc</v>
      </c>
      <c r="F478" s="6" t="str">
        <v>Vietnam</v>
      </c>
      <c r="G478" s="6" t="str">
        <v>Socbay.com</v>
      </c>
      <c r="H478" s="6" t="str">
        <v>Business Services</v>
      </c>
      <c r="I478" s="6" t="str">
        <v>83781Q</v>
      </c>
      <c r="J478" s="6" t="str">
        <v>Naiscorp Information Technology Services JSC</v>
      </c>
      <c r="K478" s="6" t="str">
        <v>Naiscorp Information Technology Services JSC</v>
      </c>
      <c r="L478" s="7">
        <f>=DATE(2009,12,21)</f>
        <v>40167.99949074074</v>
      </c>
      <c r="W478" s="6" t="str">
        <v>Programming Services;Internet Services &amp; Software</v>
      </c>
      <c r="X478" s="6" t="str">
        <v>Internet Services &amp; Software</v>
      </c>
      <c r="Y478" s="6" t="str">
        <v>Other Computer Related Svcs;Computer Consulting Services;Data Processing Services;Internet Services &amp; Software;Other Software (inq. Games)</v>
      </c>
      <c r="Z478" s="6" t="str">
        <v>Data Processing Services;Internet Services &amp; Software;Computer Consulting Services;Other Computer Related Svcs;Other Software (inq. Games)</v>
      </c>
      <c r="AA478" s="6" t="str">
        <v>Telecommunications Equipment;Computer Consulting Services;Internet Services &amp; Software;Primary Business not Hi-Tech;Programming Services</v>
      </c>
      <c r="AB478" s="6" t="str">
        <v>Programming Services;Internet Services &amp; Software;Primary Business not Hi-Tech;Telecommunications Equipment;Computer Consulting Services</v>
      </c>
    </row>
    <row r="479">
      <c r="A479" s="6" t="str">
        <v>67020Y</v>
      </c>
      <c r="B479" s="6" t="str">
        <v>United States</v>
      </c>
      <c r="C479" s="6" t="str">
        <v>Nuance Communications Inc</v>
      </c>
      <c r="D479" s="6" t="str">
        <v>Nuance Communications Inc</v>
      </c>
      <c r="F479" s="6" t="str">
        <v>United Kingdom</v>
      </c>
      <c r="G479" s="6" t="str">
        <v>SpinVox Ltd</v>
      </c>
      <c r="H479" s="6" t="str">
        <v>Telecommunications</v>
      </c>
      <c r="I479" s="6" t="str">
        <v>78863H</v>
      </c>
      <c r="J479" s="6" t="str">
        <v>SpinVox Ltd</v>
      </c>
      <c r="K479" s="6" t="str">
        <v>SpinVox Ltd</v>
      </c>
      <c r="L479" s="7">
        <f>=DATE(2009,12,30)</f>
        <v>40176.99949074074</v>
      </c>
      <c r="M479" s="7">
        <f>=DATE(2009,12,30)</f>
        <v>40176.99949074074</v>
      </c>
      <c r="N479" s="8">
        <v>80.3236277156447</v>
      </c>
      <c r="O479" s="8">
        <v>80.3236277156447</v>
      </c>
      <c r="R479" s="8">
        <v>-72.0750223280738</v>
      </c>
      <c r="S479" s="8">
        <v>4.08256425523469</v>
      </c>
      <c r="W479" s="6" t="str">
        <v>Applications Software(Business;Primary Business not Hi-Tech;Database Software/Programming;Desktop Publishing;Computer Consulting Services;Internet Services &amp; Software;Networking Systems (LAN,WAN);Other Computer Related Svcs;Programming Services;Communication/Network Software;Other Software (inq. Games);Applications Software(Home);Utilities/File Mgmt Software</v>
      </c>
      <c r="X479" s="6" t="str">
        <v>Internet Services &amp; Software;Communication/Network Software</v>
      </c>
      <c r="Y479" s="6" t="str">
        <v>Internet Services &amp; Software;Communication/Network Software</v>
      </c>
      <c r="Z479" s="6" t="str">
        <v>Internet Services &amp; Software;Communication/Network Software</v>
      </c>
      <c r="AA479" s="6" t="str">
        <v>Utilities/File Mgmt Software;Other Computer Related Svcs;Programming Services;Communication/Network Software;Database Software/Programming;Other Software (inq. Games);Primary Business not Hi-Tech;Internet Services &amp; Software;Computer Consulting Services;Desktop Publishing;Applications Software(Business;Applications Software(Home);Networking Systems (LAN,WAN)</v>
      </c>
      <c r="AB479" s="6" t="str">
        <v>Other Software (inq. Games);Other Computer Related Svcs;Internet Services &amp; Software;Applications Software(Business;Database Software/Programming;Networking Systems (LAN,WAN);Programming Services;Utilities/File Mgmt Software;Primary Business not Hi-Tech;Computer Consulting Services;Desktop Publishing;Applications Software(Home);Communication/Network Software</v>
      </c>
      <c r="AC479" s="8">
        <v>80.3236277156447</v>
      </c>
      <c r="AD479" s="7">
        <f>=DATE(2009,12,30)</f>
        <v>40176.99949074074</v>
      </c>
      <c r="AJ479" s="8" t="str">
        <v>66.00;14.33</v>
      </c>
      <c r="AK479" s="6" t="str">
        <v>US Dollar;US Dollar</v>
      </c>
      <c r="AL479" s="8">
        <v>80.3236277156447</v>
      </c>
    </row>
    <row r="480">
      <c r="A480" s="6" t="str">
        <v>037833</v>
      </c>
      <c r="B480" s="6" t="str">
        <v>United States</v>
      </c>
      <c r="C480" s="6" t="str">
        <v>Apple Inc</v>
      </c>
      <c r="D480" s="6" t="str">
        <v>Apple Inc</v>
      </c>
      <c r="F480" s="6" t="str">
        <v>United States</v>
      </c>
      <c r="G480" s="6" t="str">
        <v>Quattro Wireless Inc</v>
      </c>
      <c r="H480" s="6" t="str">
        <v>Advertising Services</v>
      </c>
      <c r="I480" s="6" t="str">
        <v>75544Y</v>
      </c>
      <c r="J480" s="6" t="str">
        <v>Quattro Wireless Inc</v>
      </c>
      <c r="K480" s="6" t="str">
        <v>Quattro Wireless Inc</v>
      </c>
      <c r="L480" s="7">
        <f>=DATE(2010,1,5)</f>
        <v>40182.99949074074</v>
      </c>
      <c r="M480" s="7">
        <f>=DATE(2010,1,5)</f>
        <v>40182.99949074074</v>
      </c>
      <c r="W480" s="6" t="str">
        <v>Other Software (inq. Games);Mainframes &amp; Super Computers;Micro-Computers (PCs);Printers;Other Peripherals;Portable Computers;Monitors/Terminals;Disk Drives</v>
      </c>
      <c r="X480" s="6" t="str">
        <v>Cellular Communications;Primary Business not Hi-Tech</v>
      </c>
      <c r="Y480" s="6" t="str">
        <v>Cellular Communications;Primary Business not Hi-Tech</v>
      </c>
      <c r="Z480" s="6" t="str">
        <v>Primary Business not Hi-Tech;Cellular Communications</v>
      </c>
      <c r="AA480" s="6" t="str">
        <v>Other Software (inq. Games);Monitors/Terminals;Portable Computers;Micro-Computers (PCs);Other Peripherals;Mainframes &amp; Super Computers;Disk Drives;Printers</v>
      </c>
      <c r="AB480" s="6" t="str">
        <v>Monitors/Terminals;Other Peripherals;Other Software (inq. Games);Micro-Computers (PCs);Disk Drives;Printers;Mainframes &amp; Super Computers;Portable Computers</v>
      </c>
    </row>
    <row r="481">
      <c r="A481" s="6" t="str">
        <v>052660</v>
      </c>
      <c r="B481" s="6" t="str">
        <v>United States</v>
      </c>
      <c r="C481" s="6" t="str">
        <v>AuthenTec Inc</v>
      </c>
      <c r="D481" s="6" t="str">
        <v>AuthenTec Inc</v>
      </c>
      <c r="F481" s="6" t="str">
        <v>United States</v>
      </c>
      <c r="G481" s="6" t="str">
        <v>UPEK Inc</v>
      </c>
      <c r="H481" s="6" t="str">
        <v>Electronic and Electrical Equipment</v>
      </c>
      <c r="I481" s="6" t="str">
        <v>90415Z</v>
      </c>
      <c r="J481" s="6" t="str">
        <v>UPEK Inc</v>
      </c>
      <c r="K481" s="6" t="str">
        <v>UPEK Inc</v>
      </c>
      <c r="L481" s="7">
        <f>=DATE(2010,1,29)</f>
        <v>40206.99949074074</v>
      </c>
      <c r="M481" s="7">
        <f>=DATE(2010,9,7)</f>
        <v>40427.99949074074</v>
      </c>
      <c r="N481" s="8">
        <v>31.984</v>
      </c>
      <c r="O481" s="8">
        <v>31.984</v>
      </c>
      <c r="W481" s="6" t="str">
        <v>Semiconductors;Other Electronics;Search, Detection, Navigation</v>
      </c>
      <c r="X481" s="6" t="str">
        <v>Semiconductors;Other Electronics;Applications Software(Business;Other Software (inq. Games)</v>
      </c>
      <c r="Y481" s="6" t="str">
        <v>Other Electronics;Applications Software(Business;Other Software (inq. Games);Semiconductors</v>
      </c>
      <c r="Z481" s="6" t="str">
        <v>Semiconductors;Other Electronics;Applications Software(Business;Other Software (inq. Games)</v>
      </c>
      <c r="AA481" s="6" t="str">
        <v>Other Electronics;Semiconductors;Search, Detection, Navigation</v>
      </c>
      <c r="AB481" s="6" t="str">
        <v>Other Electronics;Semiconductors;Search, Detection, Navigation</v>
      </c>
      <c r="AC481" s="8">
        <v>31.984</v>
      </c>
      <c r="AD481" s="7">
        <f>=DATE(2010,9,7)</f>
        <v>40427.99949074074</v>
      </c>
      <c r="AF481" s="8" t="str">
        <v>31.98</v>
      </c>
      <c r="AG481" s="8" t="str">
        <v>31.98</v>
      </c>
      <c r="AH481" s="8" t="str">
        <v>31.98</v>
      </c>
      <c r="AI481" s="8" t="str">
        <v>31.98</v>
      </c>
      <c r="AJ481" s="8" t="str">
        <v>10.38;21.60</v>
      </c>
      <c r="AK481" s="6" t="str">
        <v>US Dollar;US Dollar</v>
      </c>
      <c r="AL481" s="8">
        <v>31.984</v>
      </c>
    </row>
    <row r="482">
      <c r="A482" s="6" t="str">
        <v>023135</v>
      </c>
      <c r="B482" s="6" t="str">
        <v>United States</v>
      </c>
      <c r="C482" s="6" t="str">
        <v>Amazon.com Inc</v>
      </c>
      <c r="D482" s="6" t="str">
        <v>Amazon.com Inc</v>
      </c>
      <c r="F482" s="6" t="str">
        <v>United States</v>
      </c>
      <c r="G482" s="6" t="str">
        <v>Touchco Inc</v>
      </c>
      <c r="H482" s="6" t="str">
        <v>Electronic and Electrical Equipment</v>
      </c>
      <c r="I482" s="6" t="str">
        <v>86414C</v>
      </c>
      <c r="J482" s="6" t="str">
        <v>Touchco Inc</v>
      </c>
      <c r="K482" s="6" t="str">
        <v>Touchco Inc</v>
      </c>
      <c r="L482" s="7">
        <f>=DATE(2010,1,31)</f>
        <v>40208.99949074074</v>
      </c>
      <c r="M482" s="7">
        <f>=DATE(2010,1,31)</f>
        <v>40208.99949074074</v>
      </c>
      <c r="W482" s="6" t="str">
        <v>Primary Business not Hi-Tech</v>
      </c>
      <c r="X482" s="6" t="str">
        <v>Micro-Computers (PCs);Database Software/Programming;Other Electronics;Other Computer Related Svcs</v>
      </c>
      <c r="Y482" s="6" t="str">
        <v>Other Electronics;Database Software/Programming;Other Computer Related Svcs;Micro-Computers (PCs)</v>
      </c>
      <c r="Z482" s="6" t="str">
        <v>Database Software/Programming;Other Computer Related Svcs;Other Electronics;Micro-Computers (PCs)</v>
      </c>
      <c r="AA482" s="6" t="str">
        <v>Primary Business not Hi-Tech</v>
      </c>
      <c r="AB482" s="6" t="str">
        <v>Primary Business not Hi-Tech</v>
      </c>
    </row>
    <row r="483">
      <c r="A483" s="6" t="str">
        <v>30303M</v>
      </c>
      <c r="B483" s="6" t="str">
        <v>United States</v>
      </c>
      <c r="C483" s="6" t="str">
        <v>Facebook Inc</v>
      </c>
      <c r="D483" s="6" t="str">
        <v>Facebook Inc</v>
      </c>
      <c r="F483" s="6" t="str">
        <v>Malaysia</v>
      </c>
      <c r="G483" s="6" t="str">
        <v>Octazen Solutions</v>
      </c>
      <c r="H483" s="6" t="str">
        <v>Prepackaged Software</v>
      </c>
      <c r="I483" s="6" t="str">
        <v>44602K</v>
      </c>
      <c r="J483" s="6" t="str">
        <v>Octazen Solutions</v>
      </c>
      <c r="K483" s="6" t="str">
        <v>Octazen Solutions</v>
      </c>
      <c r="L483" s="7">
        <f>=DATE(2010,2,1)</f>
        <v>40209.99949074074</v>
      </c>
      <c r="M483" s="7">
        <f>=DATE(2010,2,1)</f>
        <v>40209.99949074074</v>
      </c>
      <c r="W483" s="6" t="str">
        <v>Internet Services &amp; Software</v>
      </c>
      <c r="X483" s="6" t="str">
        <v>Communication/Network Software;Internet Services &amp; Software</v>
      </c>
      <c r="Y483" s="6" t="str">
        <v>Communication/Network Software;Internet Services &amp; Software</v>
      </c>
      <c r="Z483" s="6" t="str">
        <v>Internet Services &amp; Software;Communication/Network Software</v>
      </c>
      <c r="AA483" s="6" t="str">
        <v>Internet Services &amp; Software</v>
      </c>
      <c r="AB483" s="6" t="str">
        <v>Internet Services &amp; Software</v>
      </c>
    </row>
    <row r="484">
      <c r="A484" s="6" t="str">
        <v>00507V</v>
      </c>
      <c r="B484" s="6" t="str">
        <v>United States</v>
      </c>
      <c r="C484" s="6" t="str">
        <v>Activision Blizzard Inc</v>
      </c>
      <c r="D484" s="6" t="str">
        <v>Vivendi SE</v>
      </c>
      <c r="F484" s="6" t="str">
        <v>United States</v>
      </c>
      <c r="G484" s="6" t="str">
        <v>Activision Blizzard Inc</v>
      </c>
      <c r="H484" s="6" t="str">
        <v>Prepackaged Software</v>
      </c>
      <c r="I484" s="6" t="str">
        <v>00507V</v>
      </c>
      <c r="J484" s="6" t="str">
        <v>Vivendi SE</v>
      </c>
      <c r="K484" s="6" t="str">
        <v>Vivendi SE</v>
      </c>
      <c r="L484" s="7">
        <f>=DATE(2010,2,10)</f>
        <v>40218.99949074074</v>
      </c>
      <c r="M484" s="7">
        <f>=DATE(2010,12,31)</f>
        <v>40542.99949074074</v>
      </c>
      <c r="N484" s="8">
        <v>966</v>
      </c>
      <c r="O484" s="8">
        <v>966</v>
      </c>
      <c r="P484" s="8" t="str">
        <v>11,397.44</v>
      </c>
      <c r="R484" s="8">
        <v>-287</v>
      </c>
      <c r="S484" s="8">
        <v>1557</v>
      </c>
      <c r="T484" s="8">
        <v>-246</v>
      </c>
      <c r="U484" s="8">
        <v>-145</v>
      </c>
      <c r="V484" s="8">
        <v>813</v>
      </c>
      <c r="W484" s="6" t="str">
        <v>Other Software (inq. Games);Other Computer Systems;Operating Systems</v>
      </c>
      <c r="X484" s="6" t="str">
        <v>Other Computer Systems;Other Software (inq. Games);Operating Systems</v>
      </c>
      <c r="Y484" s="6" t="str">
        <v>Internet Services &amp; Software;Other Software (inq. Games);Primary Business not Hi-Tech</v>
      </c>
      <c r="Z484" s="6" t="str">
        <v>Internet Services &amp; Software;Other Software (inq. Games);Primary Business not Hi-Tech</v>
      </c>
      <c r="AA484" s="6" t="str">
        <v>Internet Services &amp; Software;Other Software (inq. Games);Primary Business not Hi-Tech</v>
      </c>
      <c r="AB484" s="6" t="str">
        <v>Internet Services &amp; Software;Other Software (inq. Games);Primary Business not Hi-Tech</v>
      </c>
      <c r="AC484" s="8">
        <v>966</v>
      </c>
      <c r="AD484" s="7">
        <f>=DATE(2010,12,31)</f>
        <v>40542.99949074074</v>
      </c>
      <c r="AF484" s="8" t="str">
        <v>11,397.44</v>
      </c>
      <c r="AG484" s="8" t="str">
        <v>11,397.44</v>
      </c>
      <c r="AH484" s="8" t="str">
        <v>14,246.44</v>
      </c>
      <c r="AI484" s="8" t="str">
        <v>14,246.44</v>
      </c>
      <c r="AJ484" s="8" t="str">
        <v>966.00</v>
      </c>
      <c r="AK484" s="6" t="str">
        <v>US Dollar</v>
      </c>
      <c r="AL484" s="8">
        <v>966</v>
      </c>
    </row>
    <row r="485">
      <c r="A485" s="6" t="str">
        <v>594918</v>
      </c>
      <c r="B485" s="6" t="str">
        <v>United States</v>
      </c>
      <c r="C485" s="6" t="str">
        <v>Microsoft Corp</v>
      </c>
      <c r="D485" s="6" t="str">
        <v>Microsoft Corp</v>
      </c>
      <c r="F485" s="6" t="str">
        <v>United States</v>
      </c>
      <c r="G485" s="6" t="str">
        <v>CrowdStar Inc</v>
      </c>
      <c r="H485" s="6" t="str">
        <v>Prepackaged Software</v>
      </c>
      <c r="I485" s="6" t="str">
        <v>22788T</v>
      </c>
      <c r="J485" s="6" t="str">
        <v>CrowdStar Inc</v>
      </c>
      <c r="K485" s="6" t="str">
        <v>CrowdStar Inc</v>
      </c>
      <c r="L485" s="7">
        <f>=DATE(2010,2,11)</f>
        <v>40219.99949074074</v>
      </c>
      <c r="W485" s="6" t="str">
        <v>Operating Systems;Monitors/Terminals;Internet Services &amp; Software;Applications Software(Business;Other Peripherals;Computer Consulting Services</v>
      </c>
      <c r="X485" s="6" t="str">
        <v>Internet Services &amp; Software;Communication/Network Software</v>
      </c>
      <c r="Y485" s="6" t="str">
        <v>Internet Services &amp; Software;Communication/Network Software</v>
      </c>
      <c r="Z485" s="6" t="str">
        <v>Communication/Network Software;Internet Services &amp; Software</v>
      </c>
      <c r="AA485" s="6" t="str">
        <v>Applications Software(Business;Operating Systems;Monitors/Terminals;Computer Consulting Services;Internet Services &amp; Software;Other Peripherals</v>
      </c>
      <c r="AB485" s="6" t="str">
        <v>Applications Software(Business;Monitors/Terminals;Computer Consulting Services;Other Peripherals;Internet Services &amp; Software;Operating Systems</v>
      </c>
    </row>
    <row r="486">
      <c r="A486" s="6" t="str">
        <v>38259P</v>
      </c>
      <c r="B486" s="6" t="str">
        <v>United States</v>
      </c>
      <c r="C486" s="6" t="str">
        <v>Google Inc</v>
      </c>
      <c r="D486" s="6" t="str">
        <v>Alphabet Inc</v>
      </c>
      <c r="F486" s="6" t="str">
        <v>United States</v>
      </c>
      <c r="G486" s="6" t="str">
        <v>Mechanical Zoo Inc</v>
      </c>
      <c r="H486" s="6" t="str">
        <v>Business Services</v>
      </c>
      <c r="I486" s="6" t="str">
        <v>58357C</v>
      </c>
      <c r="J486" s="6" t="str">
        <v>Mechanical Zoo Inc</v>
      </c>
      <c r="K486" s="6" t="str">
        <v>Mechanical Zoo Inc</v>
      </c>
      <c r="L486" s="7">
        <f>=DATE(2010,2,11)</f>
        <v>40219.99949074074</v>
      </c>
      <c r="M486" s="7">
        <f>=DATE(2010,2,11)</f>
        <v>40219.99949074074</v>
      </c>
      <c r="W486" s="6" t="str">
        <v>Programming Services;Internet Services &amp; Software</v>
      </c>
      <c r="X486" s="6" t="str">
        <v>Internet Services &amp; Software</v>
      </c>
      <c r="Y486" s="6" t="str">
        <v>Internet Services &amp; Software</v>
      </c>
      <c r="Z486" s="6" t="str">
        <v>Internet Services &amp; Software</v>
      </c>
      <c r="AA486" s="6" t="str">
        <v>Computer Consulting Services;Telecommunications Equipment;Programming Services;Primary Business not Hi-Tech;Internet Services &amp; Software</v>
      </c>
      <c r="AB486" s="6" t="str">
        <v>Programming Services;Telecommunications Equipment;Internet Services &amp; Software;Primary Business not Hi-Tech;Computer Consulting Services</v>
      </c>
    </row>
    <row r="487">
      <c r="A487" s="6" t="str">
        <v>67020Y</v>
      </c>
      <c r="B487" s="6" t="str">
        <v>United States</v>
      </c>
      <c r="C487" s="6" t="str">
        <v>Nuance Communications Inc</v>
      </c>
      <c r="D487" s="6" t="str">
        <v>Nuance Communications Inc</v>
      </c>
      <c r="F487" s="6" t="str">
        <v>United States</v>
      </c>
      <c r="G487" s="6" t="str">
        <v>MacSpeech Inc</v>
      </c>
      <c r="H487" s="6" t="str">
        <v>Prepackaged Software</v>
      </c>
      <c r="I487" s="6" t="str">
        <v>55691V</v>
      </c>
      <c r="J487" s="6" t="str">
        <v>MacSpeech Inc</v>
      </c>
      <c r="K487" s="6" t="str">
        <v>MacSpeech Inc</v>
      </c>
      <c r="L487" s="7">
        <f>=DATE(2010,2,16)</f>
        <v>40224.99949074074</v>
      </c>
      <c r="M487" s="7">
        <f>=DATE(2010,2,16)</f>
        <v>40224.99949074074</v>
      </c>
      <c r="W487" s="6" t="str">
        <v>Communication/Network Software;Computer Consulting Services;Other Computer Related Svcs;Desktop Publishing;Utilities/File Mgmt Software;Other Software (inq. Games);Applications Software(Business;Internet Services &amp; Software;Database Software/Programming;Networking Systems (LAN,WAN);Primary Business not Hi-Tech;Applications Software(Home);Programming Services</v>
      </c>
      <c r="X487" s="6" t="str">
        <v>Internet Services &amp; Software;Other Software (inq. Games)</v>
      </c>
      <c r="Y487" s="6" t="str">
        <v>Other Software (inq. Games);Internet Services &amp; Software</v>
      </c>
      <c r="Z487" s="6" t="str">
        <v>Other Software (inq. Games);Internet Services &amp; Software</v>
      </c>
      <c r="AA487" s="6" t="str">
        <v>Networking Systems (LAN,WAN);Programming Services;Other Computer Related Svcs;Computer Consulting Services;Other Software (inq. Games);Database Software/Programming;Primary Business not Hi-Tech;Desktop Publishing;Applications Software(Home);Utilities/File Mgmt Software;Internet Services &amp; Software;Communication/Network Software;Applications Software(Business</v>
      </c>
      <c r="AB487" s="6" t="str">
        <v>Applications Software(Home);Networking Systems (LAN,WAN);Primary Business not Hi-Tech;Other Computer Related Svcs;Programming Services;Applications Software(Business;Internet Services &amp; Software;Communication/Network Software;Utilities/File Mgmt Software;Database Software/Programming;Computer Consulting Services;Desktop Publishing;Other Software (inq. Games)</v>
      </c>
    </row>
    <row r="488">
      <c r="A488" s="6" t="str">
        <v>38259P</v>
      </c>
      <c r="B488" s="6" t="str">
        <v>United States</v>
      </c>
      <c r="C488" s="6" t="str">
        <v>Google Inc</v>
      </c>
      <c r="D488" s="6" t="str">
        <v>Alphabet Inc</v>
      </c>
      <c r="F488" s="6" t="str">
        <v>United States</v>
      </c>
      <c r="G488" s="6" t="str">
        <v>reMail</v>
      </c>
      <c r="H488" s="6" t="str">
        <v>Prepackaged Software</v>
      </c>
      <c r="I488" s="6" t="str">
        <v>76394T</v>
      </c>
      <c r="J488" s="6" t="str">
        <v>reMail</v>
      </c>
      <c r="K488" s="6" t="str">
        <v>reMail</v>
      </c>
      <c r="L488" s="7">
        <f>=DATE(2010,2,17)</f>
        <v>40225.99949074074</v>
      </c>
      <c r="M488" s="7">
        <f>=DATE(2010,2,17)</f>
        <v>40225.99949074074</v>
      </c>
      <c r="W488" s="6" t="str">
        <v>Programming Services;Internet Services &amp; Software</v>
      </c>
      <c r="X488" s="6" t="str">
        <v>Other Software (inq. Games)</v>
      </c>
      <c r="Y488" s="6" t="str">
        <v>Other Software (inq. Games)</v>
      </c>
      <c r="Z488" s="6" t="str">
        <v>Other Software (inq. Games)</v>
      </c>
      <c r="AA488" s="6" t="str">
        <v>Telecommunications Equipment;Computer Consulting Services;Primary Business not Hi-Tech;Internet Services &amp; Software;Programming Services</v>
      </c>
      <c r="AB488" s="6" t="str">
        <v>Computer Consulting Services;Internet Services &amp; Software;Telecommunications Equipment;Programming Services;Primary Business not Hi-Tech</v>
      </c>
    </row>
    <row r="489">
      <c r="A489" s="6" t="str">
        <v>052660</v>
      </c>
      <c r="B489" s="6" t="str">
        <v>United States</v>
      </c>
      <c r="C489" s="6" t="str">
        <v>AuthenTec Inc</v>
      </c>
      <c r="D489" s="6" t="str">
        <v>AuthenTec Inc</v>
      </c>
      <c r="F489" s="6" t="str">
        <v>United States</v>
      </c>
      <c r="G489" s="6" t="str">
        <v>SafeNet Inc-Embedded Security Business</v>
      </c>
      <c r="H489" s="6" t="str">
        <v>Prepackaged Software</v>
      </c>
      <c r="I489" s="6" t="str">
        <v>78953Q</v>
      </c>
      <c r="J489" s="6" t="str">
        <v>Vector Capital Corp</v>
      </c>
      <c r="K489" s="6" t="str">
        <v>SafeNet Inc</v>
      </c>
      <c r="L489" s="7">
        <f>=DATE(2010,2,26)</f>
        <v>40234.99949074074</v>
      </c>
      <c r="M489" s="7">
        <f>=DATE(2010,2,26)</f>
        <v>40234.99949074074</v>
      </c>
      <c r="N489" s="8">
        <v>13.799</v>
      </c>
      <c r="O489" s="8">
        <v>13.799</v>
      </c>
      <c r="R489" s="8">
        <v>7.043</v>
      </c>
      <c r="S489" s="8">
        <v>19.258</v>
      </c>
      <c r="T489" s="8">
        <v>-5.07</v>
      </c>
      <c r="U489" s="8">
        <v>-0.094</v>
      </c>
      <c r="V489" s="8">
        <v>5.406</v>
      </c>
      <c r="W489" s="6" t="str">
        <v>Search, Detection, Navigation;Other Electronics;Semiconductors</v>
      </c>
      <c r="X489" s="6" t="str">
        <v>Applications Software(Business</v>
      </c>
      <c r="Y489" s="6" t="str">
        <v>Communication/Network Software;Other Software (inq. Games);Internet Services &amp; Software;Applications Software(Business;Other Electronics;Other Computer Systems;Semiconductors</v>
      </c>
      <c r="Z489" s="6" t="str">
        <v>Primary Business not Hi-Tech</v>
      </c>
      <c r="AA489" s="6" t="str">
        <v>Search, Detection, Navigation;Other Electronics;Semiconductors</v>
      </c>
      <c r="AB489" s="6" t="str">
        <v>Semiconductors;Other Electronics;Search, Detection, Navigation</v>
      </c>
      <c r="AC489" s="8">
        <v>13.799</v>
      </c>
      <c r="AD489" s="7">
        <f>=DATE(2010,2,26)</f>
        <v>40234.99949074074</v>
      </c>
      <c r="AJ489" s="8" t="str">
        <v>2.80;2.50;8.50</v>
      </c>
      <c r="AK489" s="6" t="str">
        <v>US Dollar;US Dollar;US Dollar</v>
      </c>
      <c r="AL489" s="8">
        <v>13.799</v>
      </c>
    </row>
    <row r="490">
      <c r="A490" s="6" t="str">
        <v>67020Y</v>
      </c>
      <c r="B490" s="6" t="str">
        <v>United States</v>
      </c>
      <c r="C490" s="6" t="str">
        <v>Nuance Communications Inc</v>
      </c>
      <c r="D490" s="6" t="str">
        <v>Nuance Communications Inc</v>
      </c>
      <c r="F490" s="6" t="str">
        <v>United States</v>
      </c>
      <c r="G490" s="6" t="str">
        <v>Language &amp; Computing Inc</v>
      </c>
      <c r="H490" s="6" t="str">
        <v>Prepackaged Software</v>
      </c>
      <c r="I490" s="6" t="str">
        <v>51583Q</v>
      </c>
      <c r="J490" s="6" t="str">
        <v>Language &amp; Computing Inc</v>
      </c>
      <c r="K490" s="6" t="str">
        <v>Language &amp; Computing Inc</v>
      </c>
      <c r="L490" s="7">
        <f>=DATE(2010,3,1)</f>
        <v>40237.99949074074</v>
      </c>
      <c r="M490" s="7">
        <f>=DATE(2010,3,1)</f>
        <v>40237.99949074074</v>
      </c>
      <c r="N490" s="8">
        <v>13.39</v>
      </c>
      <c r="O490" s="8">
        <v>13.39</v>
      </c>
      <c r="W490" s="6" t="str">
        <v>Programming Services;Other Software (inq. Games);Internet Services &amp; Software;Applications Software(Business;Utilities/File Mgmt Software;Networking Systems (LAN,WAN);Communication/Network Software;Applications Software(Home);Primary Business not Hi-Tech;Database Software/Programming;Desktop Publishing;Computer Consulting Services;Other Computer Related Svcs</v>
      </c>
      <c r="X490" s="6" t="str">
        <v>Other Software (inq. Games)</v>
      </c>
      <c r="Y490" s="6" t="str">
        <v>Other Software (inq. Games)</v>
      </c>
      <c r="Z490" s="6" t="str">
        <v>Other Software (inq. Games)</v>
      </c>
      <c r="AA490" s="6" t="str">
        <v>Other Computer Related Svcs;Applications Software(Home);Primary Business not Hi-Tech;Networking Systems (LAN,WAN);Computer Consulting Services;Utilities/File Mgmt Software;Communication/Network Software;Database Software/Programming;Other Software (inq. Games);Desktop Publishing;Internet Services &amp; Software;Applications Software(Business;Programming Services</v>
      </c>
      <c r="AB490" s="6" t="str">
        <v>Programming Services;Networking Systems (LAN,WAN);Other Software (inq. Games);Applications Software(Home);Other Computer Related Svcs;Internet Services &amp; Software;Database Software/Programming;Utilities/File Mgmt Software;Communication/Network Software;Computer Consulting Services;Desktop Publishing;Applications Software(Business;Primary Business not Hi-Tech</v>
      </c>
      <c r="AC490" s="8">
        <v>13.39</v>
      </c>
      <c r="AD490" s="7">
        <f>=DATE(2010,3,1)</f>
        <v>40237.99949074074</v>
      </c>
      <c r="AJ490" s="8" t="str">
        <v>13.39</v>
      </c>
      <c r="AK490" s="6" t="str">
        <v>US Dollar</v>
      </c>
      <c r="AL490" s="8">
        <v>13.39</v>
      </c>
    </row>
    <row r="491">
      <c r="A491" s="6" t="str">
        <v>38259P</v>
      </c>
      <c r="B491" s="6" t="str">
        <v>United States</v>
      </c>
      <c r="C491" s="6" t="str">
        <v>Google Inc</v>
      </c>
      <c r="D491" s="6" t="str">
        <v>Alphabet Inc</v>
      </c>
      <c r="F491" s="6" t="str">
        <v>United States</v>
      </c>
      <c r="G491" s="6" t="str">
        <v>Picnik.com</v>
      </c>
      <c r="H491" s="6" t="str">
        <v>Prepackaged Software</v>
      </c>
      <c r="I491" s="6" t="str">
        <v>69768R</v>
      </c>
      <c r="J491" s="6" t="str">
        <v>Picnik.com</v>
      </c>
      <c r="K491" s="6" t="str">
        <v>Picnik.com</v>
      </c>
      <c r="L491" s="7">
        <f>=DATE(2010,3,1)</f>
        <v>40237.99949074074</v>
      </c>
      <c r="M491" s="7">
        <f>=DATE(2010,3,1)</f>
        <v>40237.99949074074</v>
      </c>
      <c r="N491" s="8">
        <v>5</v>
      </c>
      <c r="O491" s="8">
        <v>5</v>
      </c>
      <c r="W491" s="6" t="str">
        <v>Internet Services &amp; Software;Programming Services</v>
      </c>
      <c r="X491" s="6" t="str">
        <v>Internet Services &amp; Software</v>
      </c>
      <c r="Y491" s="6" t="str">
        <v>Internet Services &amp; Software</v>
      </c>
      <c r="Z491" s="6" t="str">
        <v>Internet Services &amp; Software</v>
      </c>
      <c r="AA491" s="6" t="str">
        <v>Computer Consulting Services;Primary Business not Hi-Tech;Programming Services;Internet Services &amp; Software;Telecommunications Equipment</v>
      </c>
      <c r="AB491" s="6" t="str">
        <v>Programming Services;Internet Services &amp; Software;Primary Business not Hi-Tech;Telecommunications Equipment;Computer Consulting Services</v>
      </c>
      <c r="AC491" s="8">
        <v>5</v>
      </c>
      <c r="AD491" s="7">
        <f>=DATE(2010,3,1)</f>
        <v>40237.99949074074</v>
      </c>
      <c r="AJ491" s="8" t="str">
        <v>5.00</v>
      </c>
      <c r="AK491" s="6" t="str">
        <v>US Dollar</v>
      </c>
      <c r="AL491" s="8">
        <v>5</v>
      </c>
    </row>
    <row r="492">
      <c r="A492" s="6" t="str">
        <v>38259P</v>
      </c>
      <c r="B492" s="6" t="str">
        <v>United States</v>
      </c>
      <c r="C492" s="6" t="str">
        <v>Google Inc</v>
      </c>
      <c r="D492" s="6" t="str">
        <v>Alphabet Inc</v>
      </c>
      <c r="F492" s="6" t="str">
        <v>United States</v>
      </c>
      <c r="G492" s="6" t="str">
        <v>DocVerse Inc</v>
      </c>
      <c r="H492" s="6" t="str">
        <v>Prepackaged Software</v>
      </c>
      <c r="I492" s="6" t="str">
        <v>25602Z</v>
      </c>
      <c r="J492" s="6" t="str">
        <v>DocVerse Inc</v>
      </c>
      <c r="K492" s="6" t="str">
        <v>DocVerse Inc</v>
      </c>
      <c r="L492" s="7">
        <f>=DATE(2010,3,5)</f>
        <v>40241.99949074074</v>
      </c>
      <c r="M492" s="7">
        <f>=DATE(2010,3,5)</f>
        <v>40241.99949074074</v>
      </c>
      <c r="W492" s="6" t="str">
        <v>Programming Services;Internet Services &amp; Software</v>
      </c>
      <c r="X492" s="6" t="str">
        <v>Communication/Network Software;Internet Services &amp; Software</v>
      </c>
      <c r="Y492" s="6" t="str">
        <v>Internet Services &amp; Software;Communication/Network Software</v>
      </c>
      <c r="Z492" s="6" t="str">
        <v>Communication/Network Software;Internet Services &amp; Software</v>
      </c>
      <c r="AA492" s="6" t="str">
        <v>Primary Business not Hi-Tech;Internet Services &amp; Software;Computer Consulting Services;Programming Services;Telecommunications Equipment</v>
      </c>
      <c r="AB492" s="6" t="str">
        <v>Programming Services;Internet Services &amp; Software;Telecommunications Equipment;Primary Business not Hi-Tech;Computer Consulting Services</v>
      </c>
    </row>
    <row r="493">
      <c r="A493" s="6" t="str">
        <v>38259P</v>
      </c>
      <c r="B493" s="6" t="str">
        <v>United States</v>
      </c>
      <c r="C493" s="6" t="str">
        <v>Google Inc</v>
      </c>
      <c r="D493" s="6" t="str">
        <v>Alphabet Inc</v>
      </c>
      <c r="F493" s="6" t="str">
        <v>United States</v>
      </c>
      <c r="G493" s="6" t="str">
        <v>Nuance Communications Inc</v>
      </c>
      <c r="H493" s="6" t="str">
        <v>Prepackaged Software</v>
      </c>
      <c r="I493" s="6" t="str">
        <v>67020Y</v>
      </c>
      <c r="J493" s="6" t="str">
        <v>Nuance Communications Inc</v>
      </c>
      <c r="K493" s="6" t="str">
        <v>Nuance Communications Inc</v>
      </c>
      <c r="L493" s="7">
        <f>=DATE(2010,3,5)</f>
        <v>40241.99949074074</v>
      </c>
      <c r="R493" s="8">
        <v>-4.278</v>
      </c>
      <c r="S493" s="8">
        <v>262.977</v>
      </c>
      <c r="T493" s="8">
        <v>-6.431</v>
      </c>
      <c r="U493" s="8">
        <v>-159.447</v>
      </c>
      <c r="V493" s="8">
        <v>65.052</v>
      </c>
      <c r="W493" s="6" t="str">
        <v>Programming Services;Internet Services &amp; Software</v>
      </c>
      <c r="X493" s="6" t="str">
        <v>Other Computer Related Svcs;Primary Business not Hi-Tech;Other Software (inq. Games);Applications Software(Business;Internet Services &amp; Software;Desktop Publishing;Computer Consulting Services;Networking Systems (LAN,WAN);Utilities/File Mgmt Software;Communication/Network Software;Programming Services;Database Software/Programming;Applications Software(Home)</v>
      </c>
      <c r="Y493" s="6" t="str">
        <v>Applications Software(Business;Applications Software(Home);Database Software/Programming;Internet Services &amp; Software;Computer Consulting Services;Other Software (inq. Games);Desktop Publishing;Utilities/File Mgmt Software;Programming Services;Primary Business not Hi-Tech;Networking Systems (LAN,WAN);Other Computer Related Svcs;Communication/Network Software</v>
      </c>
      <c r="Z493" s="6" t="str">
        <v>Applications Software(Home);Applications Software(Business;Database Software/Programming;Primary Business not Hi-Tech;Desktop Publishing;Communication/Network Software;Utilities/File Mgmt Software;Programming Services;Computer Consulting Services;Other Computer Related Svcs;Networking Systems (LAN,WAN);Internet Services &amp; Software;Other Software (inq. Games)</v>
      </c>
      <c r="AA493" s="6" t="str">
        <v>Computer Consulting Services;Internet Services &amp; Software;Telecommunications Equipment;Primary Business not Hi-Tech;Programming Services</v>
      </c>
      <c r="AB493" s="6" t="str">
        <v>Programming Services;Computer Consulting Services;Primary Business not Hi-Tech;Internet Services &amp; Software;Telecommunications Equipment</v>
      </c>
    </row>
    <row r="494">
      <c r="A494" s="6" t="str">
        <v>38259P</v>
      </c>
      <c r="B494" s="6" t="str">
        <v>United States</v>
      </c>
      <c r="C494" s="6" t="str">
        <v>Google Inc</v>
      </c>
      <c r="D494" s="6" t="str">
        <v>Alphabet Inc</v>
      </c>
      <c r="F494" s="6" t="str">
        <v>United States</v>
      </c>
      <c r="G494" s="6" t="str">
        <v>Episodic Inc</v>
      </c>
      <c r="H494" s="6" t="str">
        <v>Business Services</v>
      </c>
      <c r="I494" s="6" t="str">
        <v>30031L</v>
      </c>
      <c r="J494" s="6" t="str">
        <v>Episodic Inc</v>
      </c>
      <c r="K494" s="6" t="str">
        <v>Episodic Inc</v>
      </c>
      <c r="L494" s="7">
        <f>=DATE(2010,4,2)</f>
        <v>40269.99949074074</v>
      </c>
      <c r="M494" s="7">
        <f>=DATE(2010,4,2)</f>
        <v>40269.99949074074</v>
      </c>
      <c r="W494" s="6" t="str">
        <v>Internet Services &amp; Software;Programming Services</v>
      </c>
      <c r="X494" s="6" t="str">
        <v>Internet Services &amp; Software</v>
      </c>
      <c r="Y494" s="6" t="str">
        <v>Internet Services &amp; Software</v>
      </c>
      <c r="Z494" s="6" t="str">
        <v>Internet Services &amp; Software</v>
      </c>
      <c r="AA494" s="6" t="str">
        <v>Programming Services;Telecommunications Equipment;Primary Business not Hi-Tech;Computer Consulting Services;Internet Services &amp; Software</v>
      </c>
      <c r="AB494" s="6" t="str">
        <v>Telecommunications Equipment;Internet Services &amp; Software;Primary Business not Hi-Tech;Computer Consulting Services;Programming Services</v>
      </c>
    </row>
    <row r="495">
      <c r="A495" s="6" t="str">
        <v>893929</v>
      </c>
      <c r="B495" s="6" t="str">
        <v>United States</v>
      </c>
      <c r="C495" s="6" t="str">
        <v>Transcend Services Inc</v>
      </c>
      <c r="D495" s="6" t="str">
        <v>Transcend Services Inc</v>
      </c>
      <c r="F495" s="6" t="str">
        <v>United States</v>
      </c>
      <c r="G495" s="6" t="str">
        <v>Spheris Inc</v>
      </c>
      <c r="H495" s="6" t="str">
        <v>Business Services</v>
      </c>
      <c r="I495" s="6" t="str">
        <v>84852L</v>
      </c>
      <c r="J495" s="6" t="str">
        <v>Spheris Inc</v>
      </c>
      <c r="K495" s="6" t="str">
        <v>Spheris Inc</v>
      </c>
      <c r="L495" s="7">
        <f>=DATE(2010,4,9)</f>
        <v>40276.99949074074</v>
      </c>
      <c r="N495" s="8">
        <v>78.25</v>
      </c>
      <c r="O495" s="8">
        <v>78.25</v>
      </c>
      <c r="W495" s="6" t="str">
        <v>Data Processing Services;Other Computer Related Svcs</v>
      </c>
      <c r="X495" s="6" t="str">
        <v>Data Processing Services</v>
      </c>
      <c r="Y495" s="6" t="str">
        <v>Data Processing Services</v>
      </c>
      <c r="Z495" s="6" t="str">
        <v>Data Processing Services</v>
      </c>
      <c r="AA495" s="6" t="str">
        <v>Data Processing Services;Other Computer Related Svcs</v>
      </c>
      <c r="AB495" s="6" t="str">
        <v>Data Processing Services;Other Computer Related Svcs</v>
      </c>
      <c r="AC495" s="8">
        <v>78.25</v>
      </c>
      <c r="AD495" s="7">
        <f>=DATE(2010,4,9)</f>
        <v>40276.99949074074</v>
      </c>
      <c r="AJ495" s="8" t="str">
        <v>78.25</v>
      </c>
      <c r="AK495" s="6" t="str">
        <v>US Dollar</v>
      </c>
      <c r="AL495" s="8">
        <v>78.25</v>
      </c>
    </row>
    <row r="496">
      <c r="A496" s="6" t="str">
        <v>38259P</v>
      </c>
      <c r="B496" s="6" t="str">
        <v>United States</v>
      </c>
      <c r="C496" s="6" t="str">
        <v>Google Inc</v>
      </c>
      <c r="D496" s="6" t="str">
        <v>Alphabet Inc</v>
      </c>
      <c r="F496" s="6" t="str">
        <v>United Kingdom</v>
      </c>
      <c r="G496" s="6" t="str">
        <v>Plink Search Ltd</v>
      </c>
      <c r="H496" s="6" t="str">
        <v>Prepackaged Software</v>
      </c>
      <c r="I496" s="6" t="str">
        <v>27852J</v>
      </c>
      <c r="J496" s="6" t="str">
        <v>Plink Search Ltd</v>
      </c>
      <c r="K496" s="6" t="str">
        <v>Plink Search Ltd</v>
      </c>
      <c r="L496" s="7">
        <f>=DATE(2010,4,12)</f>
        <v>40279.99949074074</v>
      </c>
      <c r="M496" s="7">
        <f>=DATE(2010,4,12)</f>
        <v>40279.99949074074</v>
      </c>
      <c r="W496" s="6" t="str">
        <v>Programming Services;Internet Services &amp; Software</v>
      </c>
      <c r="X496" s="6" t="str">
        <v>Communication/Network Software;Internet Services &amp; Software</v>
      </c>
      <c r="Y496" s="6" t="str">
        <v>Internet Services &amp; Software;Communication/Network Software</v>
      </c>
      <c r="Z496" s="6" t="str">
        <v>Internet Services &amp; Software;Communication/Network Software</v>
      </c>
      <c r="AA496" s="6" t="str">
        <v>Computer Consulting Services;Telecommunications Equipment;Internet Services &amp; Software;Programming Services;Primary Business not Hi-Tech</v>
      </c>
      <c r="AB496" s="6" t="str">
        <v>Programming Services;Internet Services &amp; Software;Telecommunications Equipment;Computer Consulting Services;Primary Business not Hi-Tech</v>
      </c>
    </row>
    <row r="497">
      <c r="A497" s="6" t="str">
        <v>38259P</v>
      </c>
      <c r="B497" s="6" t="str">
        <v>United States</v>
      </c>
      <c r="C497" s="6" t="str">
        <v>Google Inc</v>
      </c>
      <c r="D497" s="6" t="str">
        <v>Alphabet Inc</v>
      </c>
      <c r="F497" s="6" t="str">
        <v>United States</v>
      </c>
      <c r="G497" s="6" t="str">
        <v>Agnilux Inc</v>
      </c>
      <c r="H497" s="6" t="str">
        <v>Business Services</v>
      </c>
      <c r="I497" s="6" t="str">
        <v>63955J</v>
      </c>
      <c r="J497" s="6" t="str">
        <v>Apple Inc</v>
      </c>
      <c r="K497" s="6" t="str">
        <v>Apple Inc</v>
      </c>
      <c r="L497" s="7">
        <f>=DATE(2010,4,21)</f>
        <v>40288.99949074074</v>
      </c>
      <c r="M497" s="7">
        <f>=DATE(2010,4,21)</f>
        <v>40288.99949074074</v>
      </c>
      <c r="W497" s="6" t="str">
        <v>Programming Services;Internet Services &amp; Software</v>
      </c>
      <c r="X497" s="6" t="str">
        <v>Other Computer Related Svcs;Other Software (inq. Games);Computer Consulting Services;Data Processing Services;Applications Software(Business</v>
      </c>
      <c r="Y497" s="6" t="str">
        <v>Micro-Computers (PCs);Monitors/Terminals;Other Software (inq. Games);Portable Computers;Printers;Disk Drives;Other Peripherals;Mainframes &amp; Super Computers</v>
      </c>
      <c r="Z497" s="6" t="str">
        <v>Monitors/Terminals;Micro-Computers (PCs);Disk Drives;Portable Computers;Mainframes &amp; Super Computers;Printers;Other Peripherals;Other Software (inq. Games)</v>
      </c>
      <c r="AA497" s="6" t="str">
        <v>Computer Consulting Services;Telecommunications Equipment;Programming Services;Internet Services &amp; Software;Primary Business not Hi-Tech</v>
      </c>
      <c r="AB497" s="6" t="str">
        <v>Telecommunications Equipment;Programming Services;Internet Services &amp; Software;Computer Consulting Services;Primary Business not Hi-Tech</v>
      </c>
    </row>
    <row r="498">
      <c r="A498" s="6" t="str">
        <v>037833</v>
      </c>
      <c r="B498" s="6" t="str">
        <v>United States</v>
      </c>
      <c r="C498" s="6" t="str">
        <v>Apple Inc</v>
      </c>
      <c r="D498" s="6" t="str">
        <v>Apple Inc</v>
      </c>
      <c r="F498" s="6" t="str">
        <v>United Kingdom</v>
      </c>
      <c r="G498" s="6" t="str">
        <v>ARM Holdings PLC</v>
      </c>
      <c r="H498" s="6" t="str">
        <v>Electronic and Electrical Equipment</v>
      </c>
      <c r="I498" s="6" t="str">
        <v>5P4723</v>
      </c>
      <c r="J498" s="6" t="str">
        <v>ARM Holdings PLC</v>
      </c>
      <c r="K498" s="6" t="str">
        <v>ARM Holdings PLC</v>
      </c>
      <c r="L498" s="7">
        <f>=DATE(2010,4,22)</f>
        <v>40289.99949074074</v>
      </c>
      <c r="R498" s="8">
        <v>76.2536626838933</v>
      </c>
      <c r="S498" s="8">
        <v>481.978836139493</v>
      </c>
      <c r="T498" s="8">
        <v>-14.9937432</v>
      </c>
      <c r="U498" s="8">
        <v>-187.9334234</v>
      </c>
      <c r="V498" s="8">
        <v>148.5361334</v>
      </c>
      <c r="W498" s="6" t="str">
        <v>Disk Drives;Other Peripherals;Other Software (inq. Games);Mainframes &amp; Super Computers;Monitors/Terminals;Printers;Micro-Computers (PCs);Portable Computers</v>
      </c>
      <c r="X498" s="6" t="str">
        <v>Semiconductors</v>
      </c>
      <c r="Y498" s="6" t="str">
        <v>Semiconductors</v>
      </c>
      <c r="Z498" s="6" t="str">
        <v>Semiconductors</v>
      </c>
      <c r="AA498" s="6" t="str">
        <v>Other Software (inq. Games);Other Peripherals;Mainframes &amp; Super Computers;Disk Drives;Printers;Micro-Computers (PCs);Portable Computers;Monitors/Terminals</v>
      </c>
      <c r="AB498" s="6" t="str">
        <v>Mainframes &amp; Super Computers;Monitors/Terminals;Printers;Portable Computers;Disk Drives;Other Peripherals;Micro-Computers (PCs);Other Software (inq. Games)</v>
      </c>
    </row>
    <row r="499">
      <c r="A499" s="6" t="str">
        <v>01864J</v>
      </c>
      <c r="B499" s="6" t="str">
        <v>United States</v>
      </c>
      <c r="C499" s="6" t="str">
        <v>Avanade Inc</v>
      </c>
      <c r="D499" s="6" t="str">
        <v>Accenture PLC</v>
      </c>
      <c r="F499" s="6" t="str">
        <v>United States</v>
      </c>
      <c r="G499" s="6" t="str">
        <v>Ascentium Corp-US Microsoft Dynamics CRM Business</v>
      </c>
      <c r="H499" s="6" t="str">
        <v>Business Services</v>
      </c>
      <c r="I499" s="6" t="str">
        <v>04440V</v>
      </c>
      <c r="J499" s="6" t="str">
        <v>Ascentium Corp</v>
      </c>
      <c r="K499" s="6" t="str">
        <v>Ascentium Corp</v>
      </c>
      <c r="L499" s="7">
        <f>=DATE(2010,4,23)</f>
        <v>40290.99949074074</v>
      </c>
      <c r="M499" s="7">
        <f>=DATE(2010,5,18)</f>
        <v>40315.99949074074</v>
      </c>
      <c r="W499" s="6" t="str">
        <v>Other Computer Related Svcs;Other Software (inq. Games);Computer Consulting Services</v>
      </c>
      <c r="X499" s="6" t="str">
        <v>Computer Consulting Services;Internet Services &amp; Software;Applications Software(Business</v>
      </c>
      <c r="Y499" s="6" t="str">
        <v>Applications Software(Business;Internet Services &amp; Software;Computer Consulting Services</v>
      </c>
      <c r="Z499" s="6" t="str">
        <v>Applications Software(Business;Internet Services &amp; Software;Computer Consulting Services</v>
      </c>
      <c r="AA499" s="6" t="str">
        <v>Workstations;Desktop Publishing;Communication/Network Software;Utilities/File Mgmt Software;Other Software (inq. Games);CAD/CAM/CAE/Graphics Systems;Networking Systems (LAN,WAN);Operating Systems;Data Commun(Exclude networking;Other Computer Related Svcs;Turnkey Systems;Other Computer Systems;Computer Consulting Services;Data Processing Services;Primary Business not Hi-Tech;Applications Software(Home);Applications Software(Business;Internet Services &amp; Software</v>
      </c>
      <c r="AB499" s="6" t="str">
        <v>Data Commun(Exclude networking;Primary Business not Hi-Tech;Networking Systems (LAN,WAN);Internet Services &amp; Software;Operating Systems;Utilities/File Mgmt Software;Applications Software(Business;CAD/CAM/CAE/Graphics Systems;Turnkey Systems;Desktop Publishing;Data Processing Services;Other Computer Systems;Computer Consulting Services;Workstations;Applications Software(Home);Other Computer Related Svcs;Communication/Network Software;Other Software (inq. Games)</v>
      </c>
    </row>
    <row r="500">
      <c r="A500" s="6" t="str">
        <v>037833</v>
      </c>
      <c r="B500" s="6" t="str">
        <v>United States</v>
      </c>
      <c r="C500" s="6" t="str">
        <v>Apple Inc</v>
      </c>
      <c r="D500" s="6" t="str">
        <v>Apple Inc</v>
      </c>
      <c r="F500" s="6" t="str">
        <v>United States</v>
      </c>
      <c r="G500" s="6" t="str">
        <v>Intrinsity Inc</v>
      </c>
      <c r="H500" s="6" t="str">
        <v>Electronic and Electrical Equipment</v>
      </c>
      <c r="I500" s="6" t="str">
        <v>46198N</v>
      </c>
      <c r="J500" s="6" t="str">
        <v>Intrinsity Inc</v>
      </c>
      <c r="K500" s="6" t="str">
        <v>Intrinsity Inc</v>
      </c>
      <c r="L500" s="7">
        <f>=DATE(2010,4,28)</f>
        <v>40295.99949074074</v>
      </c>
      <c r="W500" s="6" t="str">
        <v>Printers;Other Peripherals;Mainframes &amp; Super Computers;Portable Computers;Monitors/Terminals;Other Software (inq. Games);Micro-Computers (PCs);Disk Drives</v>
      </c>
      <c r="X500" s="6" t="str">
        <v>Semiconductors</v>
      </c>
      <c r="Y500" s="6" t="str">
        <v>Semiconductors</v>
      </c>
      <c r="Z500" s="6" t="str">
        <v>Semiconductors</v>
      </c>
      <c r="AA500" s="6" t="str">
        <v>Mainframes &amp; Super Computers;Disk Drives;Micro-Computers (PCs);Other Software (inq. Games);Monitors/Terminals;Printers;Other Peripherals;Portable Computers</v>
      </c>
      <c r="AB500" s="6" t="str">
        <v>Printers;Portable Computers;Other Software (inq. Games);Monitors/Terminals;Disk Drives;Other Peripherals;Micro-Computers (PCs);Mainframes &amp; Super Computers</v>
      </c>
    </row>
    <row r="501">
      <c r="A501" s="6" t="str">
        <v>38259P</v>
      </c>
      <c r="B501" s="6" t="str">
        <v>United States</v>
      </c>
      <c r="C501" s="6" t="str">
        <v>Google Inc</v>
      </c>
      <c r="D501" s="6" t="str">
        <v>Alphabet Inc</v>
      </c>
      <c r="F501" s="6" t="str">
        <v>Israel</v>
      </c>
      <c r="G501" s="6" t="str">
        <v>LabPixies</v>
      </c>
      <c r="H501" s="6" t="str">
        <v>Prepackaged Software</v>
      </c>
      <c r="I501" s="6" t="str">
        <v>50749F</v>
      </c>
      <c r="J501" s="6" t="str">
        <v>LabPixies</v>
      </c>
      <c r="K501" s="6" t="str">
        <v>LabPixies</v>
      </c>
      <c r="L501" s="7">
        <f>=DATE(2010,4,28)</f>
        <v>40295.99949074074</v>
      </c>
      <c r="M501" s="7">
        <f>=DATE(2010,4,28)</f>
        <v>40295.99949074074</v>
      </c>
      <c r="N501" s="8">
        <v>25.0066773504273</v>
      </c>
      <c r="O501" s="8">
        <v>25.0066773504273</v>
      </c>
      <c r="W501" s="6" t="str">
        <v>Internet Services &amp; Software;Programming Services</v>
      </c>
      <c r="X501" s="6" t="str">
        <v>Other Software (inq. Games)</v>
      </c>
      <c r="Y501" s="6" t="str">
        <v>Other Software (inq. Games)</v>
      </c>
      <c r="Z501" s="6" t="str">
        <v>Other Software (inq. Games)</v>
      </c>
      <c r="AA501" s="6" t="str">
        <v>Internet Services &amp; Software;Computer Consulting Services;Telecommunications Equipment;Programming Services;Primary Business not Hi-Tech</v>
      </c>
      <c r="AB501" s="6" t="str">
        <v>Internet Services &amp; Software;Telecommunications Equipment;Primary Business not Hi-Tech;Computer Consulting Services;Programming Services</v>
      </c>
      <c r="AC501" s="8">
        <v>25.0066773504273</v>
      </c>
      <c r="AD501" s="7">
        <f>=DATE(2010,4,28)</f>
        <v>40295.99949074074</v>
      </c>
      <c r="AJ501" s="8" t="str">
        <v>25.00</v>
      </c>
      <c r="AK501" s="6" t="str">
        <v>US Dollar</v>
      </c>
      <c r="AL501" s="8">
        <v>25.0066773504273</v>
      </c>
    </row>
    <row r="502">
      <c r="A502" s="6" t="str">
        <v>037833</v>
      </c>
      <c r="B502" s="6" t="str">
        <v>United States</v>
      </c>
      <c r="C502" s="6" t="str">
        <v>Apple Inc</v>
      </c>
      <c r="D502" s="6" t="str">
        <v>Apple Inc</v>
      </c>
      <c r="F502" s="6" t="str">
        <v>United States</v>
      </c>
      <c r="G502" s="6" t="str">
        <v>SIRI Inc</v>
      </c>
      <c r="H502" s="6" t="str">
        <v>Prepackaged Software</v>
      </c>
      <c r="I502" s="6" t="str">
        <v>78967T</v>
      </c>
      <c r="J502" s="6" t="str">
        <v>SIRI Inc</v>
      </c>
      <c r="K502" s="6" t="str">
        <v>SIRI Inc</v>
      </c>
      <c r="L502" s="7">
        <f>=DATE(2010,4,28)</f>
        <v>40295.99949074074</v>
      </c>
      <c r="M502" s="7">
        <f>=DATE(2010,4,28)</f>
        <v>40295.99949074074</v>
      </c>
      <c r="W502" s="6" t="str">
        <v>Printers;Other Peripherals;Micro-Computers (PCs);Monitors/Terminals;Mainframes &amp; Super Computers;Disk Drives;Portable Computers;Other Software (inq. Games)</v>
      </c>
      <c r="X502" s="6" t="str">
        <v>Internet Services &amp; Software;Communication/Network Software</v>
      </c>
      <c r="Y502" s="6" t="str">
        <v>Internet Services &amp; Software;Communication/Network Software</v>
      </c>
      <c r="Z502" s="6" t="str">
        <v>Internet Services &amp; Software;Communication/Network Software</v>
      </c>
      <c r="AA502" s="6" t="str">
        <v>Portable Computers;Other Peripherals;Monitors/Terminals;Printers;Micro-Computers (PCs);Mainframes &amp; Super Computers;Disk Drives;Other Software (inq. Games)</v>
      </c>
      <c r="AB502" s="6" t="str">
        <v>Monitors/Terminals;Other Peripherals;Mainframes &amp; Super Computers;Portable Computers;Disk Drives;Other Software (inq. Games);Micro-Computers (PCs);Printers</v>
      </c>
    </row>
    <row r="503">
      <c r="A503" s="6" t="str">
        <v>38259P</v>
      </c>
      <c r="B503" s="6" t="str">
        <v>United States</v>
      </c>
      <c r="C503" s="6" t="str">
        <v>Google Inc</v>
      </c>
      <c r="D503" s="6" t="str">
        <v>Alphabet Inc</v>
      </c>
      <c r="F503" s="6" t="str">
        <v>Canada</v>
      </c>
      <c r="G503" s="6" t="str">
        <v>BumpTop</v>
      </c>
      <c r="H503" s="6" t="str">
        <v>Prepackaged Software</v>
      </c>
      <c r="I503" s="6" t="str">
        <v>12051P</v>
      </c>
      <c r="J503" s="6" t="str">
        <v>BumpTop</v>
      </c>
      <c r="K503" s="6" t="str">
        <v>BumpTop</v>
      </c>
      <c r="L503" s="7">
        <f>=DATE(2010,5,2)</f>
        <v>40299.99949074074</v>
      </c>
      <c r="M503" s="7">
        <f>=DATE(2010,5,2)</f>
        <v>40299.99949074074</v>
      </c>
      <c r="W503" s="6" t="str">
        <v>Programming Services;Internet Services &amp; Software</v>
      </c>
      <c r="X503" s="6" t="str">
        <v>Other Software (inq. Games)</v>
      </c>
      <c r="Y503" s="6" t="str">
        <v>Other Software (inq. Games)</v>
      </c>
      <c r="Z503" s="6" t="str">
        <v>Other Software (inq. Games)</v>
      </c>
      <c r="AA503" s="6" t="str">
        <v>Telecommunications Equipment;Programming Services;Computer Consulting Services;Primary Business not Hi-Tech;Internet Services &amp; Software</v>
      </c>
      <c r="AB503" s="6" t="str">
        <v>Primary Business not Hi-Tech;Programming Services;Telecommunications Equipment;Computer Consulting Services;Internet Services &amp; Software</v>
      </c>
    </row>
    <row r="504">
      <c r="A504" s="6" t="str">
        <v>17406P</v>
      </c>
      <c r="B504" s="6" t="str">
        <v>United States</v>
      </c>
      <c r="C504" s="6" t="str">
        <v>ChoiceVendor Inc</v>
      </c>
      <c r="D504" s="6" t="str">
        <v>ChoiceVendor Inc</v>
      </c>
      <c r="F504" s="6" t="str">
        <v>United States</v>
      </c>
      <c r="G504" s="6" t="str">
        <v>VendorCity</v>
      </c>
      <c r="H504" s="6" t="str">
        <v>Business Services</v>
      </c>
      <c r="I504" s="6" t="str">
        <v>92428L</v>
      </c>
      <c r="J504" s="6" t="str">
        <v>VendorCity</v>
      </c>
      <c r="K504" s="6" t="str">
        <v>VendorCity</v>
      </c>
      <c r="L504" s="7">
        <f>=DATE(2010,5,3)</f>
        <v>40300.99949074074</v>
      </c>
      <c r="M504" s="7">
        <f>=DATE(2010,5,3)</f>
        <v>40300.99949074074</v>
      </c>
      <c r="W504" s="6" t="str">
        <v>Internet Services &amp; Software</v>
      </c>
      <c r="X504" s="6" t="str">
        <v>Internet Services &amp; Software</v>
      </c>
      <c r="Y504" s="6" t="str">
        <v>Internet Services &amp; Software</v>
      </c>
      <c r="Z504" s="6" t="str">
        <v>Internet Services &amp; Software</v>
      </c>
      <c r="AA504" s="6" t="str">
        <v>Internet Services &amp; Software</v>
      </c>
      <c r="AB504" s="6" t="str">
        <v>Internet Services &amp; Software</v>
      </c>
    </row>
    <row r="505">
      <c r="A505" s="6" t="str">
        <v>37861C</v>
      </c>
      <c r="B505" s="6" t="str">
        <v>United States</v>
      </c>
      <c r="C505" s="6" t="str">
        <v>Google Acquisition Holdings Inc</v>
      </c>
      <c r="D505" s="6" t="str">
        <v>Alphabet Inc</v>
      </c>
      <c r="F505" s="6" t="str">
        <v>Sweden</v>
      </c>
      <c r="G505" s="6" t="str">
        <v>Global IP Solutions (GIPS) Holding AB</v>
      </c>
      <c r="H505" s="6" t="str">
        <v>Prepackaged Software</v>
      </c>
      <c r="I505" s="6" t="str">
        <v>37903C</v>
      </c>
      <c r="J505" s="6" t="str">
        <v>Global IP Solutions (GIPS) Holding AB</v>
      </c>
      <c r="K505" s="6" t="str">
        <v>Global IP Solutions (GIPS) Holding AB</v>
      </c>
      <c r="L505" s="7">
        <f>=DATE(2010,5,18)</f>
        <v>40315.99949074074</v>
      </c>
      <c r="M505" s="7">
        <f>=DATE(2010,6,28)</f>
        <v>40356.99949074074</v>
      </c>
      <c r="N505" s="8">
        <v>59.6453097975379</v>
      </c>
      <c r="O505" s="8">
        <v>59.6453097975379</v>
      </c>
      <c r="P505" s="8" t="str">
        <v>55.49</v>
      </c>
      <c r="R505" s="8">
        <v>-7.35202927292534</v>
      </c>
      <c r="S505" s="8">
        <v>12.7492248819865</v>
      </c>
      <c r="U505" s="8">
        <v>-1.951900929</v>
      </c>
      <c r="V505" s="8">
        <v>-4.064747339</v>
      </c>
      <c r="W505" s="6" t="str">
        <v>Primary Business not Hi-Tech</v>
      </c>
      <c r="X505" s="6" t="str">
        <v>Other Software (inq. Games);Communication/Network Software</v>
      </c>
      <c r="Y505" s="6" t="str">
        <v>Other Software (inq. Games);Communication/Network Software</v>
      </c>
      <c r="Z505" s="6" t="str">
        <v>Other Software (inq. Games);Communication/Network Software</v>
      </c>
      <c r="AA505" s="6" t="str">
        <v>Programming Services;Internet Services &amp; Software</v>
      </c>
      <c r="AB505" s="6" t="str">
        <v>Telecommunications Equipment;Computer Consulting Services;Programming Services;Internet Services &amp; Software;Primary Business not Hi-Tech</v>
      </c>
      <c r="AC505" s="8">
        <v>59.6453097975379</v>
      </c>
      <c r="AD505" s="7">
        <f>=DATE(2010,5,28)</f>
        <v>40325.99949074074</v>
      </c>
      <c r="AE505" s="8">
        <v>66.1204792125343</v>
      </c>
      <c r="AF505" s="8" t="str">
        <v>65.26</v>
      </c>
      <c r="AG505" s="8" t="str">
        <v>51.36</v>
      </c>
      <c r="AH505" s="8" t="str">
        <v>52.23</v>
      </c>
      <c r="AI505" s="8" t="str">
        <v>66.12</v>
      </c>
      <c r="AK505" s="6" t="str">
        <v>Norwegian Krone</v>
      </c>
      <c r="AL505" s="8">
        <v>59.6453097975379</v>
      </c>
    </row>
    <row r="506">
      <c r="A506" s="6" t="str">
        <v>38259P</v>
      </c>
      <c r="B506" s="6" t="str">
        <v>United States</v>
      </c>
      <c r="C506" s="6" t="str">
        <v>Google Inc</v>
      </c>
      <c r="D506" s="6" t="str">
        <v>Alphabet Inc</v>
      </c>
      <c r="F506" s="6" t="str">
        <v>United States</v>
      </c>
      <c r="G506" s="6" t="str">
        <v>Ruba Inc</v>
      </c>
      <c r="H506" s="6" t="str">
        <v>Business Services</v>
      </c>
      <c r="I506" s="6" t="str">
        <v>78088Q</v>
      </c>
      <c r="J506" s="6" t="str">
        <v>Ruba Inc</v>
      </c>
      <c r="K506" s="6" t="str">
        <v>Ruba Inc</v>
      </c>
      <c r="L506" s="7">
        <f>=DATE(2010,5,21)</f>
        <v>40318.99949074074</v>
      </c>
      <c r="M506" s="7">
        <f>=DATE(2010,5,21)</f>
        <v>40318.99949074074</v>
      </c>
      <c r="W506" s="6" t="str">
        <v>Programming Services;Internet Services &amp; Software</v>
      </c>
      <c r="X506" s="6" t="str">
        <v>Internet Services &amp; Software</v>
      </c>
      <c r="Y506" s="6" t="str">
        <v>Internet Services &amp; Software</v>
      </c>
      <c r="Z506" s="6" t="str">
        <v>Internet Services &amp; Software</v>
      </c>
      <c r="AA506" s="6" t="str">
        <v>Telecommunications Equipment;Computer Consulting Services;Programming Services;Primary Business not Hi-Tech;Internet Services &amp; Software</v>
      </c>
      <c r="AB506" s="6" t="str">
        <v>Primary Business not Hi-Tech;Internet Services &amp; Software;Programming Services;Computer Consulting Services;Telecommunications Equipment</v>
      </c>
    </row>
    <row r="507">
      <c r="A507" s="6" t="str">
        <v>38259P</v>
      </c>
      <c r="B507" s="6" t="str">
        <v>United States</v>
      </c>
      <c r="C507" s="6" t="str">
        <v>Google Inc</v>
      </c>
      <c r="D507" s="6" t="str">
        <v>Alphabet Inc</v>
      </c>
      <c r="F507" s="6" t="str">
        <v>United States</v>
      </c>
      <c r="G507" s="6" t="str">
        <v>Simplify Media Inc</v>
      </c>
      <c r="H507" s="6" t="str">
        <v>Business Services</v>
      </c>
      <c r="I507" s="6" t="str">
        <v>83854T</v>
      </c>
      <c r="J507" s="6" t="str">
        <v>Simplify Media Inc</v>
      </c>
      <c r="K507" s="6" t="str">
        <v>Simplify Media Inc</v>
      </c>
      <c r="L507" s="7">
        <f>=DATE(2010,5,21)</f>
        <v>40318.99949074074</v>
      </c>
      <c r="M507" s="7">
        <f>=DATE(2010,5,21)</f>
        <v>40318.99949074074</v>
      </c>
      <c r="W507" s="6" t="str">
        <v>Internet Services &amp; Software;Programming Services</v>
      </c>
      <c r="X507" s="6" t="str">
        <v>Internet Services &amp; Software</v>
      </c>
      <c r="Y507" s="6" t="str">
        <v>Internet Services &amp; Software</v>
      </c>
      <c r="Z507" s="6" t="str">
        <v>Internet Services &amp; Software</v>
      </c>
      <c r="AA507" s="6" t="str">
        <v>Telecommunications Equipment;Internet Services &amp; Software;Computer Consulting Services;Primary Business not Hi-Tech;Programming Services</v>
      </c>
      <c r="AB507" s="6" t="str">
        <v>Programming Services;Telecommunications Equipment;Internet Services &amp; Software;Computer Consulting Services;Primary Business not Hi-Tech</v>
      </c>
    </row>
    <row r="508">
      <c r="A508" s="6" t="str">
        <v>30303M</v>
      </c>
      <c r="B508" s="6" t="str">
        <v>United States</v>
      </c>
      <c r="C508" s="6" t="str">
        <v>Facebook Inc</v>
      </c>
      <c r="D508" s="6" t="str">
        <v>Facebook Inc</v>
      </c>
      <c r="F508" s="6" t="str">
        <v>United States</v>
      </c>
      <c r="G508" s="6" t="str">
        <v>Sharegrove Inc</v>
      </c>
      <c r="H508" s="6" t="str">
        <v>Business Services</v>
      </c>
      <c r="I508" s="6" t="str">
        <v>81485M</v>
      </c>
      <c r="J508" s="6" t="str">
        <v>Sharegrove Inc</v>
      </c>
      <c r="K508" s="6" t="str">
        <v>Sharegrove Inc</v>
      </c>
      <c r="L508" s="7">
        <f>=DATE(2010,5,26)</f>
        <v>40323.99949074074</v>
      </c>
      <c r="M508" s="7">
        <f>=DATE(2010,5,26)</f>
        <v>40323.99949074074</v>
      </c>
      <c r="W508" s="6" t="str">
        <v>Internet Services &amp; Software</v>
      </c>
      <c r="X508" s="6" t="str">
        <v>Internet Services &amp; Software</v>
      </c>
      <c r="Y508" s="6" t="str">
        <v>Internet Services &amp; Software</v>
      </c>
      <c r="Z508" s="6" t="str">
        <v>Internet Services &amp; Software</v>
      </c>
      <c r="AA508" s="6" t="str">
        <v>Internet Services &amp; Software</v>
      </c>
      <c r="AB508" s="6" t="str">
        <v>Internet Services &amp; Software</v>
      </c>
    </row>
    <row r="509">
      <c r="A509" s="6" t="str">
        <v>67020Y</v>
      </c>
      <c r="B509" s="6" t="str">
        <v>United States</v>
      </c>
      <c r="C509" s="6" t="str">
        <v>Nuance Communications Inc</v>
      </c>
      <c r="D509" s="6" t="str">
        <v>Nuance Communications Inc</v>
      </c>
      <c r="F509" s="6" t="str">
        <v>United States</v>
      </c>
      <c r="G509" s="6" t="str">
        <v>Shapewriter Inc</v>
      </c>
      <c r="H509" s="6" t="str">
        <v>Prepackaged Software</v>
      </c>
      <c r="I509" s="6" t="str">
        <v>83891H</v>
      </c>
      <c r="J509" s="6" t="str">
        <v>Shapewriter Inc</v>
      </c>
      <c r="K509" s="6" t="str">
        <v>Shapewriter Inc</v>
      </c>
      <c r="L509" s="7">
        <f>=DATE(2010,5,28)</f>
        <v>40325.99949074074</v>
      </c>
      <c r="M509" s="7">
        <f>=DATE(2010,5,28)</f>
        <v>40325.99949074074</v>
      </c>
      <c r="W509" s="6" t="str">
        <v>Programming Services;Primary Business not Hi-Tech;Database Software/Programming;Desktop Publishing;Communication/Network Software;Computer Consulting Services;Other Computer Related Svcs;Other Software (inq. Games);Utilities/File Mgmt Software;Networking Systems (LAN,WAN);Internet Services &amp; Software;Applications Software(Business;Applications Software(Home)</v>
      </c>
      <c r="X509" s="6" t="str">
        <v>Other Software (inq. Games)</v>
      </c>
      <c r="Y509" s="6" t="str">
        <v>Other Software (inq. Games)</v>
      </c>
      <c r="Z509" s="6" t="str">
        <v>Other Software (inq. Games)</v>
      </c>
      <c r="AA509" s="6" t="str">
        <v>Database Software/Programming;Computer Consulting Services;Primary Business not Hi-Tech;Internet Services &amp; Software;Applications Software(Home);Utilities/File Mgmt Software;Programming Services;Other Computer Related Svcs;Communication/Network Software;Networking Systems (LAN,WAN);Other Software (inq. Games);Applications Software(Business;Desktop Publishing</v>
      </c>
      <c r="AB509" s="6" t="str">
        <v>Applications Software(Business;Desktop Publishing;Communication/Network Software;Internet Services &amp; Software;Primary Business not Hi-Tech;Networking Systems (LAN,WAN);Other Software (inq. Games);Programming Services;Other Computer Related Svcs;Computer Consulting Services;Utilities/File Mgmt Software;Database Software/Programming;Applications Software(Home)</v>
      </c>
    </row>
    <row r="510">
      <c r="A510" s="6" t="str">
        <v>38259P</v>
      </c>
      <c r="B510" s="6" t="str">
        <v>United States</v>
      </c>
      <c r="C510" s="6" t="str">
        <v>Google Inc</v>
      </c>
      <c r="D510" s="6" t="str">
        <v>Alphabet Inc</v>
      </c>
      <c r="F510" s="6" t="str">
        <v>United States</v>
      </c>
      <c r="G510" s="6" t="str">
        <v>Invite Media Inc</v>
      </c>
      <c r="H510" s="6" t="str">
        <v>Business Services</v>
      </c>
      <c r="I510" s="6" t="str">
        <v>47273H</v>
      </c>
      <c r="J510" s="6" t="str">
        <v>Invite Media Inc</v>
      </c>
      <c r="K510" s="6" t="str">
        <v>Invite Media Inc</v>
      </c>
      <c r="L510" s="7">
        <f>=DATE(2010,6,2)</f>
        <v>40330.99949074074</v>
      </c>
      <c r="M510" s="7">
        <f>=DATE(2010,6,2)</f>
        <v>40330.99949074074</v>
      </c>
      <c r="W510" s="6" t="str">
        <v>Internet Services &amp; Software;Programming Services</v>
      </c>
      <c r="X510" s="6" t="str">
        <v>Internet Services &amp; Software</v>
      </c>
      <c r="Y510" s="6" t="str">
        <v>Internet Services &amp; Software</v>
      </c>
      <c r="Z510" s="6" t="str">
        <v>Internet Services &amp; Software</v>
      </c>
      <c r="AA510" s="6" t="str">
        <v>Telecommunications Equipment;Computer Consulting Services;Primary Business not Hi-Tech;Internet Services &amp; Software;Programming Services</v>
      </c>
      <c r="AB510" s="6" t="str">
        <v>Programming Services;Telecommunications Equipment;Primary Business not Hi-Tech;Computer Consulting Services;Internet Services &amp; Software</v>
      </c>
      <c r="AD510" s="7">
        <f>=DATE(2010,6,2)</f>
        <v>40330.99949074074</v>
      </c>
    </row>
    <row r="511">
      <c r="A511" s="6" t="str">
        <v>38259P</v>
      </c>
      <c r="B511" s="6" t="str">
        <v>United States</v>
      </c>
      <c r="C511" s="6" t="str">
        <v>Google Inc</v>
      </c>
      <c r="D511" s="6" t="str">
        <v>Alphabet Inc</v>
      </c>
      <c r="F511" s="6" t="str">
        <v>United States</v>
      </c>
      <c r="G511" s="6" t="str">
        <v>ITA Software Inc</v>
      </c>
      <c r="H511" s="6" t="str">
        <v>Prepackaged Software</v>
      </c>
      <c r="I511" s="6" t="str">
        <v>46748M</v>
      </c>
      <c r="J511" s="6" t="str">
        <v>ITA Software Inc</v>
      </c>
      <c r="K511" s="6" t="str">
        <v>ITA Software Inc</v>
      </c>
      <c r="L511" s="7">
        <f>=DATE(2010,7,1)</f>
        <v>40359.99949074074</v>
      </c>
      <c r="M511" s="7">
        <f>=DATE(2011,4,12)</f>
        <v>40644.99949074074</v>
      </c>
      <c r="N511" s="8">
        <v>700</v>
      </c>
      <c r="O511" s="8">
        <v>700</v>
      </c>
      <c r="W511" s="6" t="str">
        <v>Internet Services &amp; Software;Programming Services</v>
      </c>
      <c r="X511" s="6" t="str">
        <v>Other Software (inq. Games)</v>
      </c>
      <c r="Y511" s="6" t="str">
        <v>Other Software (inq. Games)</v>
      </c>
      <c r="Z511" s="6" t="str">
        <v>Other Software (inq. Games)</v>
      </c>
      <c r="AA511" s="6" t="str">
        <v>Telecommunications Equipment;Internet Services &amp; Software;Computer Consulting Services;Primary Business not Hi-Tech;Programming Services</v>
      </c>
      <c r="AB511" s="6" t="str">
        <v>Primary Business not Hi-Tech;Internet Services &amp; Software;Telecommunications Equipment;Programming Services;Computer Consulting Services</v>
      </c>
      <c r="AC511" s="8">
        <v>700</v>
      </c>
      <c r="AD511" s="7">
        <f>=DATE(2010,7,1)</f>
        <v>40359.99949074074</v>
      </c>
      <c r="AJ511" s="8" t="str">
        <v>700.00</v>
      </c>
      <c r="AK511" s="6" t="str">
        <v>US Dollar</v>
      </c>
      <c r="AL511" s="8">
        <v>700</v>
      </c>
    </row>
    <row r="512">
      <c r="A512" s="6" t="str">
        <v>023135</v>
      </c>
      <c r="B512" s="6" t="str">
        <v>United States</v>
      </c>
      <c r="C512" s="6" t="str">
        <v>Amazon.com Inc</v>
      </c>
      <c r="D512" s="6" t="str">
        <v>Amazon.com Inc</v>
      </c>
      <c r="F512" s="6" t="str">
        <v>United States</v>
      </c>
      <c r="G512" s="6" t="str">
        <v>Woot Inc</v>
      </c>
      <c r="H512" s="6" t="str">
        <v>Miscellaneous Retail Trade</v>
      </c>
      <c r="I512" s="6" t="str">
        <v>98103N</v>
      </c>
      <c r="J512" s="6" t="str">
        <v>Woot Inc</v>
      </c>
      <c r="K512" s="6" t="str">
        <v>Woot Inc</v>
      </c>
      <c r="L512" s="7">
        <f>=DATE(2010,7,1)</f>
        <v>40359.99949074074</v>
      </c>
      <c r="M512" s="7">
        <f>=DATE(2010,7,1)</f>
        <v>40359.99949074074</v>
      </c>
      <c r="W512" s="6" t="str">
        <v>Primary Business not Hi-Tech</v>
      </c>
      <c r="X512" s="6" t="str">
        <v>Internet Services &amp; Software</v>
      </c>
      <c r="Y512" s="6" t="str">
        <v>Internet Services &amp; Software</v>
      </c>
      <c r="Z512" s="6" t="str">
        <v>Internet Services &amp; Software</v>
      </c>
      <c r="AA512" s="6" t="str">
        <v>Primary Business not Hi-Tech</v>
      </c>
      <c r="AB512" s="6" t="str">
        <v>Primary Business not Hi-Tech</v>
      </c>
    </row>
    <row r="513">
      <c r="A513" s="6" t="str">
        <v>30303M</v>
      </c>
      <c r="B513" s="6" t="str">
        <v>United States</v>
      </c>
      <c r="C513" s="6" t="str">
        <v>Facebook Inc</v>
      </c>
      <c r="D513" s="6" t="str">
        <v>Facebook Inc</v>
      </c>
      <c r="F513" s="6" t="str">
        <v>United States</v>
      </c>
      <c r="G513" s="6" t="str">
        <v>Nextstop.com</v>
      </c>
      <c r="H513" s="6" t="str">
        <v>Business Services</v>
      </c>
      <c r="I513" s="6" t="str">
        <v>65835V</v>
      </c>
      <c r="J513" s="6" t="str">
        <v>Nextstop.com</v>
      </c>
      <c r="K513" s="6" t="str">
        <v>Nextstop.com</v>
      </c>
      <c r="L513" s="7">
        <f>=DATE(2010,7,8)</f>
        <v>40366.99949074074</v>
      </c>
      <c r="M513" s="7">
        <f>=DATE(2010,7,8)</f>
        <v>40366.99949074074</v>
      </c>
      <c r="W513" s="6" t="str">
        <v>Internet Services &amp; Software</v>
      </c>
      <c r="X513" s="6" t="str">
        <v>Internet Services &amp; Software;Database Software/Programming</v>
      </c>
      <c r="Y513" s="6" t="str">
        <v>Database Software/Programming;Internet Services &amp; Software</v>
      </c>
      <c r="Z513" s="6" t="str">
        <v>Internet Services &amp; Software;Database Software/Programming</v>
      </c>
      <c r="AA513" s="6" t="str">
        <v>Internet Services &amp; Software</v>
      </c>
      <c r="AB513" s="6" t="str">
        <v>Internet Services &amp; Software</v>
      </c>
    </row>
    <row r="514">
      <c r="A514" s="6" t="str">
        <v>037833</v>
      </c>
      <c r="B514" s="6" t="str">
        <v>United States</v>
      </c>
      <c r="C514" s="6" t="str">
        <v>Apple Inc</v>
      </c>
      <c r="D514" s="6" t="str">
        <v>Apple Inc</v>
      </c>
      <c r="F514" s="6" t="str">
        <v>Canada</v>
      </c>
      <c r="G514" s="6" t="str">
        <v>Poly9 Inc</v>
      </c>
      <c r="H514" s="6" t="str">
        <v>Business Services</v>
      </c>
      <c r="I514" s="6" t="str">
        <v>73209A</v>
      </c>
      <c r="J514" s="6" t="str">
        <v>Poly9 Inc</v>
      </c>
      <c r="K514" s="6" t="str">
        <v>Poly9 Inc</v>
      </c>
      <c r="L514" s="7">
        <f>=DATE(2010,7,14)</f>
        <v>40372.99949074074</v>
      </c>
      <c r="M514" s="7">
        <f>=DATE(2010,7,14)</f>
        <v>40372.99949074074</v>
      </c>
      <c r="W514" s="6" t="str">
        <v>Printers;Monitors/Terminals;Other Software (inq. Games);Mainframes &amp; Super Computers;Portable Computers;Disk Drives;Micro-Computers (PCs);Other Peripherals</v>
      </c>
      <c r="X514" s="6" t="str">
        <v>Internet Services &amp; Software</v>
      </c>
      <c r="Y514" s="6" t="str">
        <v>Internet Services &amp; Software</v>
      </c>
      <c r="Z514" s="6" t="str">
        <v>Internet Services &amp; Software</v>
      </c>
      <c r="AA514" s="6" t="str">
        <v>Monitors/Terminals;Micro-Computers (PCs);Mainframes &amp; Super Computers;Other Software (inq. Games);Printers;Portable Computers;Disk Drives;Other Peripherals</v>
      </c>
      <c r="AB514" s="6" t="str">
        <v>Disk Drives;Printers;Portable Computers;Mainframes &amp; Super Computers;Micro-Computers (PCs);Other Peripherals;Other Software (inq. Games);Monitors/Terminals</v>
      </c>
    </row>
    <row r="515">
      <c r="A515" s="6" t="str">
        <v>38259P</v>
      </c>
      <c r="B515" s="6" t="str">
        <v>United States</v>
      </c>
      <c r="C515" s="6" t="str">
        <v>Google Inc</v>
      </c>
      <c r="D515" s="6" t="str">
        <v>Alphabet Inc</v>
      </c>
      <c r="F515" s="6" t="str">
        <v>United States</v>
      </c>
      <c r="G515" s="6" t="str">
        <v>Metaweb Technologies Inc</v>
      </c>
      <c r="H515" s="6" t="str">
        <v>Business Services</v>
      </c>
      <c r="I515" s="6" t="str">
        <v>59228N</v>
      </c>
      <c r="J515" s="6" t="str">
        <v>Metaweb Technologies Inc</v>
      </c>
      <c r="K515" s="6" t="str">
        <v>Metaweb Technologies Inc</v>
      </c>
      <c r="L515" s="7">
        <f>=DATE(2010,7,16)</f>
        <v>40374.99949074074</v>
      </c>
      <c r="M515" s="7">
        <f>=DATE(2010,7,16)</f>
        <v>40374.99949074074</v>
      </c>
      <c r="W515" s="6" t="str">
        <v>Internet Services &amp; Software;Programming Services</v>
      </c>
      <c r="X515" s="6" t="str">
        <v>Internet Services &amp; Software</v>
      </c>
      <c r="Y515" s="6" t="str">
        <v>Internet Services &amp; Software</v>
      </c>
      <c r="Z515" s="6" t="str">
        <v>Internet Services &amp; Software</v>
      </c>
      <c r="AA515" s="6" t="str">
        <v>Telecommunications Equipment;Computer Consulting Services;Primary Business not Hi-Tech;Internet Services &amp; Software;Programming Services</v>
      </c>
      <c r="AB515" s="6" t="str">
        <v>Internet Services &amp; Software;Computer Consulting Services;Programming Services;Primary Business not Hi-Tech;Telecommunications Equipment</v>
      </c>
    </row>
    <row r="516">
      <c r="A516" s="6" t="str">
        <v>67020Y</v>
      </c>
      <c r="B516" s="6" t="str">
        <v>United States</v>
      </c>
      <c r="C516" s="6" t="str">
        <v>Nuance Communications Inc</v>
      </c>
      <c r="D516" s="6" t="str">
        <v>Nuance Communications Inc</v>
      </c>
      <c r="F516" s="6" t="str">
        <v>Australia</v>
      </c>
      <c r="G516" s="6" t="str">
        <v>Information Technologies Australia Pty Ltd</v>
      </c>
      <c r="H516" s="6" t="str">
        <v>Business Services</v>
      </c>
      <c r="I516" s="6" t="str">
        <v>44610V</v>
      </c>
      <c r="J516" s="6" t="str">
        <v>Information Technologies Australia Pty Ltd</v>
      </c>
      <c r="K516" s="6" t="str">
        <v>Information Technologies Australia Pty Ltd</v>
      </c>
      <c r="L516" s="7">
        <f>=DATE(2010,7,21)</f>
        <v>40379.99949074074</v>
      </c>
      <c r="M516" s="7">
        <f>=DATE(2010,7,21)</f>
        <v>40379.99949074074</v>
      </c>
      <c r="W516" s="6" t="str">
        <v>Utilities/File Mgmt Software;Internet Services &amp; Software;Applications Software(Home);Database Software/Programming;Primary Business not Hi-Tech;Programming Services;Communication/Network Software;Other Software (inq. Games);Computer Consulting Services;Desktop Publishing;Other Computer Related Svcs;Applications Software(Business;Networking Systems (LAN,WAN)</v>
      </c>
      <c r="X516" s="6" t="str">
        <v>Data Processing Services;Other Computer Related Svcs</v>
      </c>
      <c r="Y516" s="6" t="str">
        <v>Other Computer Related Svcs;Data Processing Services</v>
      </c>
      <c r="Z516" s="6" t="str">
        <v>Data Processing Services;Other Computer Related Svcs</v>
      </c>
      <c r="AA516" s="6" t="str">
        <v>Applications Software(Business;Computer Consulting Services;Programming Services;Primary Business not Hi-Tech;Other Computer Related Svcs;Other Software (inq. Games);Networking Systems (LAN,WAN);Desktop Publishing;Applications Software(Home);Utilities/File Mgmt Software;Internet Services &amp; Software;Communication/Network Software;Database Software/Programming</v>
      </c>
      <c r="AB516" s="6" t="str">
        <v>Desktop Publishing;Applications Software(Home);Communication/Network Software;Computer Consulting Services;Internet Services &amp; Software;Utilities/File Mgmt Software;Programming Services;Other Software (inq. Games);Database Software/Programming;Primary Business not Hi-Tech;Other Computer Related Svcs;Applications Software(Business;Networking Systems (LAN,WAN)</v>
      </c>
    </row>
    <row r="517">
      <c r="A517" s="6" t="str">
        <v>53578A</v>
      </c>
      <c r="B517" s="6" t="str">
        <v>United States</v>
      </c>
      <c r="C517" s="6" t="str">
        <v>LinkedIn Corp</v>
      </c>
      <c r="D517" s="6" t="str">
        <v>LinkedIn Corp</v>
      </c>
      <c r="F517" s="6" t="str">
        <v>United States</v>
      </c>
      <c r="G517" s="6" t="str">
        <v>mSpoke Inc</v>
      </c>
      <c r="H517" s="6" t="str">
        <v>Business Services</v>
      </c>
      <c r="I517" s="6" t="str">
        <v>55703M</v>
      </c>
      <c r="J517" s="6" t="str">
        <v>mSpoke Inc</v>
      </c>
      <c r="K517" s="6" t="str">
        <v>mSpoke Inc</v>
      </c>
      <c r="L517" s="7">
        <f>=DATE(2010,8,4)</f>
        <v>40393.99949074074</v>
      </c>
      <c r="M517" s="7">
        <f>=DATE(2010,8,4)</f>
        <v>40393.99949074074</v>
      </c>
      <c r="W517" s="6" t="str">
        <v>Internet Services &amp; Software</v>
      </c>
      <c r="X517" s="6" t="str">
        <v>Data Processing Services;Other Software (inq. Games);Computer Consulting Services;Other Computer Related Svcs</v>
      </c>
      <c r="Y517" s="6" t="str">
        <v>Data Processing Services;Computer Consulting Services;Other Software (inq. Games);Other Computer Related Svcs</v>
      </c>
      <c r="Z517" s="6" t="str">
        <v>Computer Consulting Services;Other Software (inq. Games);Other Computer Related Svcs;Data Processing Services</v>
      </c>
      <c r="AA517" s="6" t="str">
        <v>Internet Services &amp; Software</v>
      </c>
      <c r="AB517" s="6" t="str">
        <v>Internet Services &amp; Software</v>
      </c>
    </row>
    <row r="518">
      <c r="A518" s="6" t="str">
        <v>38259P</v>
      </c>
      <c r="B518" s="6" t="str">
        <v>United States</v>
      </c>
      <c r="C518" s="6" t="str">
        <v>Google Inc</v>
      </c>
      <c r="D518" s="6" t="str">
        <v>Alphabet Inc</v>
      </c>
      <c r="F518" s="6" t="str">
        <v>United States</v>
      </c>
      <c r="G518" s="6" t="str">
        <v>Slide Inc</v>
      </c>
      <c r="H518" s="6" t="str">
        <v>Prepackaged Software</v>
      </c>
      <c r="I518" s="6" t="str">
        <v>83887K</v>
      </c>
      <c r="J518" s="6" t="str">
        <v>Slide Inc</v>
      </c>
      <c r="K518" s="6" t="str">
        <v>Slide Inc</v>
      </c>
      <c r="L518" s="7">
        <f>=DATE(2010,8,4)</f>
        <v>40393.99949074074</v>
      </c>
      <c r="M518" s="7">
        <f>=DATE(2010,8,7)</f>
        <v>40396.99949074074</v>
      </c>
      <c r="N518" s="8">
        <v>182</v>
      </c>
      <c r="O518" s="8">
        <v>182</v>
      </c>
      <c r="W518" s="6" t="str">
        <v>Programming Services;Internet Services &amp; Software</v>
      </c>
      <c r="X518" s="6" t="str">
        <v>Communication/Network Software;Internet Services &amp; Software</v>
      </c>
      <c r="Y518" s="6" t="str">
        <v>Communication/Network Software;Internet Services &amp; Software</v>
      </c>
      <c r="Z518" s="6" t="str">
        <v>Internet Services &amp; Software;Communication/Network Software</v>
      </c>
      <c r="AA518" s="6" t="str">
        <v>Programming Services;Primary Business not Hi-Tech;Telecommunications Equipment;Internet Services &amp; Software;Computer Consulting Services</v>
      </c>
      <c r="AB518" s="6" t="str">
        <v>Primary Business not Hi-Tech;Computer Consulting Services;Programming Services;Internet Services &amp; Software;Telecommunications Equipment</v>
      </c>
      <c r="AC518" s="8">
        <v>182</v>
      </c>
      <c r="AD518" s="7">
        <f>=DATE(2010,8,7)</f>
        <v>40396.99949074074</v>
      </c>
      <c r="AJ518" s="8" t="str">
        <v>182.00</v>
      </c>
      <c r="AK518" s="6" t="str">
        <v>US Dollar</v>
      </c>
      <c r="AL518" s="8">
        <v>182</v>
      </c>
    </row>
    <row r="519">
      <c r="A519" s="6" t="str">
        <v>037833</v>
      </c>
      <c r="B519" s="6" t="str">
        <v>United States</v>
      </c>
      <c r="C519" s="6" t="str">
        <v>Apple Inc</v>
      </c>
      <c r="D519" s="6" t="str">
        <v>Apple Inc</v>
      </c>
      <c r="F519" s="6" t="str">
        <v>China (Mainland)</v>
      </c>
      <c r="G519" s="6" t="str">
        <v>Handseeing Infirmation Technology Co Ltd</v>
      </c>
      <c r="H519" s="6" t="str">
        <v>Prepackaged Software</v>
      </c>
      <c r="I519" s="6" t="str">
        <v>41089P</v>
      </c>
      <c r="J519" s="6" t="str">
        <v>Handseeing Infirmation Technology Co Ltd</v>
      </c>
      <c r="K519" s="6" t="str">
        <v>Handseeing Infirmation Technology Co Ltd</v>
      </c>
      <c r="L519" s="7">
        <f>=DATE(2010,8,6)</f>
        <v>40395.99949074074</v>
      </c>
      <c r="W519" s="6" t="str">
        <v>Disk Drives;Portable Computers;Micro-Computers (PCs);Monitors/Terminals;Printers;Other Software (inq. Games);Other Peripherals;Mainframes &amp; Super Computers</v>
      </c>
      <c r="X519" s="6" t="str">
        <v>Communication/Network Software;Other Software (inq. Games);Applications Software(Business</v>
      </c>
      <c r="Y519" s="6" t="str">
        <v>Applications Software(Business;Communication/Network Software;Other Software (inq. Games)</v>
      </c>
      <c r="Z519" s="6" t="str">
        <v>Other Software (inq. Games);Applications Software(Business;Communication/Network Software</v>
      </c>
      <c r="AA519" s="6" t="str">
        <v>Printers;Disk Drives;Micro-Computers (PCs);Portable Computers;Other Peripherals;Other Software (inq. Games);Monitors/Terminals;Mainframes &amp; Super Computers</v>
      </c>
      <c r="AB519" s="6" t="str">
        <v>Other Software (inq. Games);Other Peripherals;Mainframes &amp; Super Computers;Printers;Disk Drives;Monitors/Terminals;Micro-Computers (PCs);Portable Computers</v>
      </c>
    </row>
    <row r="520">
      <c r="A520" s="6" t="str">
        <v>38259P</v>
      </c>
      <c r="B520" s="6" t="str">
        <v>United States</v>
      </c>
      <c r="C520" s="6" t="str">
        <v>Google Inc</v>
      </c>
      <c r="D520" s="6" t="str">
        <v>Alphabet Inc</v>
      </c>
      <c r="F520" s="6" t="str">
        <v>United States</v>
      </c>
      <c r="G520" s="6" t="str">
        <v>Jambool Inc</v>
      </c>
      <c r="H520" s="6" t="str">
        <v>Business Services</v>
      </c>
      <c r="I520" s="6" t="str">
        <v>47298F</v>
      </c>
      <c r="J520" s="6" t="str">
        <v>Jambool Inc</v>
      </c>
      <c r="K520" s="6" t="str">
        <v>Jambool Inc</v>
      </c>
      <c r="L520" s="7">
        <f>=DATE(2010,8,9)</f>
        <v>40398.99949074074</v>
      </c>
      <c r="M520" s="7">
        <f>=DATE(2010,8,13)</f>
        <v>40402.99949074074</v>
      </c>
      <c r="W520" s="6" t="str">
        <v>Programming Services;Internet Services &amp; Software</v>
      </c>
      <c r="X520" s="6" t="str">
        <v>Internet Services &amp; Software</v>
      </c>
      <c r="Y520" s="6" t="str">
        <v>Internet Services &amp; Software</v>
      </c>
      <c r="Z520" s="6" t="str">
        <v>Internet Services &amp; Software</v>
      </c>
      <c r="AA520" s="6" t="str">
        <v>Computer Consulting Services;Primary Business not Hi-Tech;Telecommunications Equipment;Internet Services &amp; Software;Programming Services</v>
      </c>
      <c r="AB520" s="6" t="str">
        <v>Computer Consulting Services;Internet Services &amp; Software;Programming Services;Primary Business not Hi-Tech;Telecommunications Equipment</v>
      </c>
      <c r="AD520" s="7">
        <f>=DATE(2010,8,9)</f>
        <v>40398.99949074074</v>
      </c>
    </row>
    <row r="521">
      <c r="A521" s="6" t="str">
        <v>98967F</v>
      </c>
      <c r="B521" s="6" t="str">
        <v>United States</v>
      </c>
      <c r="C521" s="6" t="str">
        <v>ZeniMax Media Inc</v>
      </c>
      <c r="D521" s="6" t="str">
        <v>ZeniMax Media Inc</v>
      </c>
      <c r="F521" s="6" t="str">
        <v>France</v>
      </c>
      <c r="G521" s="6" t="str">
        <v>Arkane Studios</v>
      </c>
      <c r="H521" s="6" t="str">
        <v>Prepackaged Software</v>
      </c>
      <c r="I521" s="6" t="str">
        <v>04087T</v>
      </c>
      <c r="J521" s="6" t="str">
        <v>Arkane Studios</v>
      </c>
      <c r="K521" s="6" t="str">
        <v>Arkane Studios</v>
      </c>
      <c r="L521" s="7">
        <f>=DATE(2010,8,12)</f>
        <v>40401.99949074074</v>
      </c>
      <c r="M521" s="7">
        <f>=DATE(2010,8,12)</f>
        <v>40401.99949074074</v>
      </c>
      <c r="W521" s="6" t="str">
        <v>Other Software (inq. Games)</v>
      </c>
      <c r="X521" s="6" t="str">
        <v>Other Software (inq. Games)</v>
      </c>
      <c r="Y521" s="6" t="str">
        <v>Other Software (inq. Games)</v>
      </c>
      <c r="Z521" s="6" t="str">
        <v>Other Software (inq. Games)</v>
      </c>
      <c r="AA521" s="6" t="str">
        <v>Other Software (inq. Games)</v>
      </c>
      <c r="AB521" s="6" t="str">
        <v>Other Software (inq. Games)</v>
      </c>
    </row>
    <row r="522">
      <c r="A522" s="6" t="str">
        <v>30303M</v>
      </c>
      <c r="B522" s="6" t="str">
        <v>United States</v>
      </c>
      <c r="C522" s="6" t="str">
        <v>Facebook Inc</v>
      </c>
      <c r="D522" s="6" t="str">
        <v>Facebook Inc</v>
      </c>
      <c r="F522" s="6" t="str">
        <v>United States</v>
      </c>
      <c r="G522" s="6" t="str">
        <v>Chai Labs Inc</v>
      </c>
      <c r="H522" s="6" t="str">
        <v>Business Services</v>
      </c>
      <c r="I522" s="6" t="str">
        <v>15605T</v>
      </c>
      <c r="J522" s="6" t="str">
        <v>Chai Labs Inc</v>
      </c>
      <c r="K522" s="6" t="str">
        <v>Chai Labs Inc</v>
      </c>
      <c r="L522" s="7">
        <f>=DATE(2010,8,15)</f>
        <v>40404.99949074074</v>
      </c>
      <c r="M522" s="7">
        <f>=DATE(2010,8,15)</f>
        <v>40404.99949074074</v>
      </c>
      <c r="N522" s="8">
        <v>10</v>
      </c>
      <c r="O522" s="8">
        <v>10</v>
      </c>
      <c r="W522" s="6" t="str">
        <v>Internet Services &amp; Software</v>
      </c>
      <c r="X522" s="6" t="str">
        <v>Internet Services &amp; Software</v>
      </c>
      <c r="Y522" s="6" t="str">
        <v>Internet Services &amp; Software</v>
      </c>
      <c r="Z522" s="6" t="str">
        <v>Internet Services &amp; Software</v>
      </c>
      <c r="AA522" s="6" t="str">
        <v>Internet Services &amp; Software</v>
      </c>
      <c r="AB522" s="6" t="str">
        <v>Internet Services &amp; Software</v>
      </c>
      <c r="AC522" s="8">
        <v>10</v>
      </c>
      <c r="AD522" s="7">
        <f>=DATE(2010,8,15)</f>
        <v>40404.99949074074</v>
      </c>
      <c r="AJ522" s="8" t="str">
        <v>10.00</v>
      </c>
      <c r="AK522" s="6" t="str">
        <v>US Dollar</v>
      </c>
      <c r="AL522" s="8">
        <v>10</v>
      </c>
    </row>
    <row r="523">
      <c r="A523" s="6" t="str">
        <v>30303M</v>
      </c>
      <c r="B523" s="6" t="str">
        <v>United States</v>
      </c>
      <c r="C523" s="6" t="str">
        <v>Facebook Inc</v>
      </c>
      <c r="D523" s="6" t="str">
        <v>Facebook Inc</v>
      </c>
      <c r="F523" s="6" t="str">
        <v>United States</v>
      </c>
      <c r="G523" s="6" t="str">
        <v>HotPotato Media Inc</v>
      </c>
      <c r="H523" s="6" t="str">
        <v>Business Services</v>
      </c>
      <c r="I523" s="6" t="str">
        <v>44203X</v>
      </c>
      <c r="J523" s="6" t="str">
        <v>HotPotato Media Inc</v>
      </c>
      <c r="K523" s="6" t="str">
        <v>HotPotato Media Inc</v>
      </c>
      <c r="L523" s="7">
        <f>=DATE(2010,8,20)</f>
        <v>40409.99949074074</v>
      </c>
      <c r="M523" s="7">
        <f>=DATE(2010,8,20)</f>
        <v>40409.99949074074</v>
      </c>
      <c r="W523" s="6" t="str">
        <v>Internet Services &amp; Software</v>
      </c>
      <c r="X523" s="6" t="str">
        <v>Internet Services &amp; Software</v>
      </c>
      <c r="Y523" s="6" t="str">
        <v>Internet Services &amp; Software</v>
      </c>
      <c r="Z523" s="6" t="str">
        <v>Internet Services &amp; Software</v>
      </c>
      <c r="AA523" s="6" t="str">
        <v>Internet Services &amp; Software</v>
      </c>
      <c r="AB523" s="6" t="str">
        <v>Internet Services &amp; Software</v>
      </c>
    </row>
    <row r="524">
      <c r="A524" s="6" t="str">
        <v>38259P</v>
      </c>
      <c r="B524" s="6" t="str">
        <v>United States</v>
      </c>
      <c r="C524" s="6" t="str">
        <v>Google Inc</v>
      </c>
      <c r="D524" s="6" t="str">
        <v>Alphabet Inc</v>
      </c>
      <c r="F524" s="6" t="str">
        <v>United States</v>
      </c>
      <c r="G524" s="6" t="str">
        <v>Like.com</v>
      </c>
      <c r="H524" s="6" t="str">
        <v>Business Services</v>
      </c>
      <c r="I524" s="6" t="str">
        <v>53289H</v>
      </c>
      <c r="J524" s="6" t="str">
        <v>Like.com</v>
      </c>
      <c r="K524" s="6" t="str">
        <v>Like.com</v>
      </c>
      <c r="L524" s="7">
        <f>=DATE(2010,8,20)</f>
        <v>40409.99949074074</v>
      </c>
      <c r="M524" s="7">
        <f>=DATE(2010,8,20)</f>
        <v>40409.99949074074</v>
      </c>
      <c r="W524" s="6" t="str">
        <v>Programming Services;Internet Services &amp; Software</v>
      </c>
      <c r="X524" s="6" t="str">
        <v>Internet Services &amp; Software</v>
      </c>
      <c r="Y524" s="6" t="str">
        <v>Internet Services &amp; Software</v>
      </c>
      <c r="Z524" s="6" t="str">
        <v>Internet Services &amp; Software</v>
      </c>
      <c r="AA524" s="6" t="str">
        <v>Primary Business not Hi-Tech;Programming Services;Computer Consulting Services;Telecommunications Equipment;Internet Services &amp; Software</v>
      </c>
      <c r="AB524" s="6" t="str">
        <v>Internet Services &amp; Software;Programming Services;Computer Consulting Services;Telecommunications Equipment;Primary Business not Hi-Tech</v>
      </c>
    </row>
    <row r="525">
      <c r="A525" s="6" t="str">
        <v>38259P</v>
      </c>
      <c r="B525" s="6" t="str">
        <v>United States</v>
      </c>
      <c r="C525" s="6" t="str">
        <v>Google Inc</v>
      </c>
      <c r="D525" s="6" t="str">
        <v>Alphabet Inc</v>
      </c>
      <c r="F525" s="6" t="str">
        <v>United States</v>
      </c>
      <c r="G525" s="6" t="str">
        <v>Angstro Inc</v>
      </c>
      <c r="H525" s="6" t="str">
        <v>Business Services</v>
      </c>
      <c r="I525" s="6" t="str">
        <v>03498T</v>
      </c>
      <c r="J525" s="6" t="str">
        <v>Angstro Inc</v>
      </c>
      <c r="K525" s="6" t="str">
        <v>Angstro Inc</v>
      </c>
      <c r="L525" s="7">
        <f>=DATE(2010,8,26)</f>
        <v>40415.99949074074</v>
      </c>
      <c r="M525" s="7">
        <f>=DATE(2010,8,26)</f>
        <v>40415.99949074074</v>
      </c>
      <c r="W525" s="6" t="str">
        <v>Programming Services;Internet Services &amp; Software</v>
      </c>
      <c r="X525" s="6" t="str">
        <v>Internet Services &amp; Software</v>
      </c>
      <c r="Y525" s="6" t="str">
        <v>Internet Services &amp; Software</v>
      </c>
      <c r="Z525" s="6" t="str">
        <v>Internet Services &amp; Software</v>
      </c>
      <c r="AA525" s="6" t="str">
        <v>Primary Business not Hi-Tech;Programming Services;Telecommunications Equipment;Internet Services &amp; Software;Computer Consulting Services</v>
      </c>
      <c r="AB525" s="6" t="str">
        <v>Computer Consulting Services;Telecommunications Equipment;Internet Services &amp; Software;Programming Services;Primary Business not Hi-Tech</v>
      </c>
    </row>
    <row r="526">
      <c r="A526" s="6" t="str">
        <v>38259P</v>
      </c>
      <c r="B526" s="6" t="str">
        <v>United States</v>
      </c>
      <c r="C526" s="6" t="str">
        <v>Google Inc</v>
      </c>
      <c r="D526" s="6" t="str">
        <v>Alphabet Inc</v>
      </c>
      <c r="F526" s="6" t="str">
        <v>Canada</v>
      </c>
      <c r="G526" s="6" t="str">
        <v>SocialDeck Inc</v>
      </c>
      <c r="H526" s="6" t="str">
        <v>Prepackaged Software</v>
      </c>
      <c r="I526" s="6" t="str">
        <v>83895X</v>
      </c>
      <c r="J526" s="6" t="str">
        <v>SocialDeck Inc</v>
      </c>
      <c r="K526" s="6" t="str">
        <v>SocialDeck Inc</v>
      </c>
      <c r="L526" s="7">
        <f>=DATE(2010,8,30)</f>
        <v>40419.99949074074</v>
      </c>
      <c r="M526" s="7">
        <f>=DATE(2010,8,30)</f>
        <v>40419.99949074074</v>
      </c>
      <c r="W526" s="6" t="str">
        <v>Programming Services;Internet Services &amp; Software</v>
      </c>
      <c r="X526" s="6" t="str">
        <v>Internet Services &amp; Software;Communication/Network Software</v>
      </c>
      <c r="Y526" s="6" t="str">
        <v>Internet Services &amp; Software;Communication/Network Software</v>
      </c>
      <c r="Z526" s="6" t="str">
        <v>Communication/Network Software;Internet Services &amp; Software</v>
      </c>
      <c r="AA526" s="6" t="str">
        <v>Internet Services &amp; Software;Computer Consulting Services;Primary Business not Hi-Tech;Telecommunications Equipment;Programming Services</v>
      </c>
      <c r="AB526" s="6" t="str">
        <v>Internet Services &amp; Software;Programming Services;Telecommunications Equipment;Primary Business not Hi-Tech;Computer Consulting Services</v>
      </c>
    </row>
    <row r="527">
      <c r="A527" s="6" t="str">
        <v>023135</v>
      </c>
      <c r="B527" s="6" t="str">
        <v>United States</v>
      </c>
      <c r="C527" s="6" t="str">
        <v>Amazon.com Inc</v>
      </c>
      <c r="D527" s="6" t="str">
        <v>Amazon.com Inc</v>
      </c>
      <c r="F527" s="6" t="str">
        <v>United States</v>
      </c>
      <c r="G527" s="6" t="str">
        <v>Amie Street Inc</v>
      </c>
      <c r="H527" s="6" t="str">
        <v>Miscellaneous Retail Trade</v>
      </c>
      <c r="I527" s="6" t="str">
        <v>01288Y</v>
      </c>
      <c r="J527" s="6" t="str">
        <v>Amie Street Inc</v>
      </c>
      <c r="K527" s="6" t="str">
        <v>Amie Street Inc</v>
      </c>
      <c r="L527" s="7">
        <f>=DATE(2010,9,9)</f>
        <v>40429.99949074074</v>
      </c>
      <c r="M527" s="7">
        <f>=DATE(2010,9,9)</f>
        <v>40429.99949074074</v>
      </c>
      <c r="W527" s="6" t="str">
        <v>Primary Business not Hi-Tech</v>
      </c>
      <c r="X527" s="6" t="str">
        <v>Internet Services &amp; Software</v>
      </c>
      <c r="Y527" s="6" t="str">
        <v>Internet Services &amp; Software</v>
      </c>
      <c r="Z527" s="6" t="str">
        <v>Internet Services &amp; Software</v>
      </c>
      <c r="AA527" s="6" t="str">
        <v>Primary Business not Hi-Tech</v>
      </c>
      <c r="AB527" s="6" t="str">
        <v>Primary Business not Hi-Tech</v>
      </c>
    </row>
    <row r="528">
      <c r="A528" s="6" t="str">
        <v>38259P</v>
      </c>
      <c r="B528" s="6" t="str">
        <v>United States</v>
      </c>
      <c r="C528" s="6" t="str">
        <v>Google Inc</v>
      </c>
      <c r="D528" s="6" t="str">
        <v>Alphabet Inc</v>
      </c>
      <c r="F528" s="6" t="str">
        <v>Israel</v>
      </c>
      <c r="G528" s="6" t="str">
        <v>MentorWave Technologies Ltd</v>
      </c>
      <c r="H528" s="6" t="str">
        <v>Prepackaged Software</v>
      </c>
      <c r="I528" s="6" t="str">
        <v>58745Q</v>
      </c>
      <c r="J528" s="6" t="str">
        <v>MentorWave Technologies Ltd</v>
      </c>
      <c r="K528" s="6" t="str">
        <v>MentorWave Technologies Ltd</v>
      </c>
      <c r="L528" s="7">
        <f>=DATE(2010,9,13)</f>
        <v>40433.99949074074</v>
      </c>
      <c r="M528" s="7">
        <f>=DATE(2010,9,13)</f>
        <v>40433.99949074074</v>
      </c>
      <c r="W528" s="6" t="str">
        <v>Internet Services &amp; Software;Programming Services</v>
      </c>
      <c r="X528" s="6" t="str">
        <v>Other Software (inq. Games)</v>
      </c>
      <c r="Y528" s="6" t="str">
        <v>Other Software (inq. Games)</v>
      </c>
      <c r="Z528" s="6" t="str">
        <v>Other Software (inq. Games)</v>
      </c>
      <c r="AA528" s="6" t="str">
        <v>Primary Business not Hi-Tech;Internet Services &amp; Software;Programming Services;Computer Consulting Services;Telecommunications Equipment</v>
      </c>
      <c r="AB528" s="6" t="str">
        <v>Computer Consulting Services;Internet Services &amp; Software;Primary Business not Hi-Tech;Programming Services;Telecommunications Equipment</v>
      </c>
      <c r="AD528" s="7">
        <f>=DATE(2010,9,13)</f>
        <v>40433.99949074074</v>
      </c>
    </row>
    <row r="529">
      <c r="A529" s="6" t="str">
        <v>037833</v>
      </c>
      <c r="B529" s="6" t="str">
        <v>United States</v>
      </c>
      <c r="C529" s="6" t="str">
        <v>Apple Inc</v>
      </c>
      <c r="D529" s="6" t="str">
        <v>Apple Inc</v>
      </c>
      <c r="F529" s="6" t="str">
        <v>Sweden</v>
      </c>
      <c r="G529" s="6" t="str">
        <v>Polar Rose AB</v>
      </c>
      <c r="H529" s="6" t="str">
        <v>Prepackaged Software</v>
      </c>
      <c r="I529" s="6" t="str">
        <v>73133W</v>
      </c>
      <c r="J529" s="6" t="str">
        <v>Nordic Venture Partners ApS</v>
      </c>
      <c r="K529" s="6" t="str">
        <v>Nordic Venture Partners ApS</v>
      </c>
      <c r="L529" s="7">
        <f>=DATE(2010,9,20)</f>
        <v>40440.99949074074</v>
      </c>
      <c r="M529" s="7">
        <f>=DATE(2010,9,20)</f>
        <v>40440.99949074074</v>
      </c>
      <c r="W529" s="6" t="str">
        <v>Monitors/Terminals;Mainframes &amp; Super Computers;Printers;Portable Computers;Other Peripherals;Other Software (inq. Games);Disk Drives;Micro-Computers (PCs)</v>
      </c>
      <c r="X529" s="6" t="str">
        <v>Applications Software(Business</v>
      </c>
      <c r="Y529" s="6" t="str">
        <v>Primary Business not Hi-Tech</v>
      </c>
      <c r="Z529" s="6" t="str">
        <v>Primary Business not Hi-Tech</v>
      </c>
      <c r="AA529" s="6" t="str">
        <v>Mainframes &amp; Super Computers;Monitors/Terminals;Other Software (inq. Games);Micro-Computers (PCs);Portable Computers;Other Peripherals;Printers;Disk Drives</v>
      </c>
      <c r="AB529" s="6" t="str">
        <v>Other Software (inq. Games);Micro-Computers (PCs);Printers;Monitors/Terminals;Mainframes &amp; Super Computers;Disk Drives;Portable Computers;Other Peripherals</v>
      </c>
    </row>
    <row r="530">
      <c r="A530" s="6" t="str">
        <v>53578A</v>
      </c>
      <c r="B530" s="6" t="str">
        <v>United States</v>
      </c>
      <c r="C530" s="6" t="str">
        <v>LinkedIn Corp</v>
      </c>
      <c r="D530" s="6" t="str">
        <v>LinkedIn Corp</v>
      </c>
      <c r="F530" s="6" t="str">
        <v>United States</v>
      </c>
      <c r="G530" s="6" t="str">
        <v>ChoiceVendor Inc</v>
      </c>
      <c r="H530" s="6" t="str">
        <v>Business Services</v>
      </c>
      <c r="I530" s="6" t="str">
        <v>17406P</v>
      </c>
      <c r="J530" s="6" t="str">
        <v>ChoiceVendor Inc</v>
      </c>
      <c r="K530" s="6" t="str">
        <v>ChoiceVendor Inc</v>
      </c>
      <c r="L530" s="7">
        <f>=DATE(2010,9,23)</f>
        <v>40443.99949074074</v>
      </c>
      <c r="M530" s="7">
        <f>=DATE(2010,9,23)</f>
        <v>40443.99949074074</v>
      </c>
      <c r="W530" s="6" t="str">
        <v>Internet Services &amp; Software</v>
      </c>
      <c r="X530" s="6" t="str">
        <v>Internet Services &amp; Software</v>
      </c>
      <c r="Y530" s="6" t="str">
        <v>Internet Services &amp; Software</v>
      </c>
      <c r="Z530" s="6" t="str">
        <v>Internet Services &amp; Software</v>
      </c>
      <c r="AA530" s="6" t="str">
        <v>Internet Services &amp; Software</v>
      </c>
      <c r="AB530" s="6" t="str">
        <v>Internet Services &amp; Software</v>
      </c>
    </row>
    <row r="531">
      <c r="A531" s="6" t="str">
        <v>38259P</v>
      </c>
      <c r="B531" s="6" t="str">
        <v>United States</v>
      </c>
      <c r="C531" s="6" t="str">
        <v>Google Inc</v>
      </c>
      <c r="D531" s="6" t="str">
        <v>Alphabet Inc</v>
      </c>
      <c r="F531" s="6" t="str">
        <v>United States</v>
      </c>
      <c r="G531" s="6" t="str">
        <v>BlindType Inc</v>
      </c>
      <c r="H531" s="6" t="str">
        <v>Prepackaged Software</v>
      </c>
      <c r="I531" s="6" t="str">
        <v>09361A</v>
      </c>
      <c r="J531" s="6" t="str">
        <v>BlindType Inc</v>
      </c>
      <c r="K531" s="6" t="str">
        <v>BlindType Inc</v>
      </c>
      <c r="L531" s="7">
        <f>=DATE(2010,10,1)</f>
        <v>40451.99949074074</v>
      </c>
      <c r="M531" s="7">
        <f>=DATE(2010,10,1)</f>
        <v>40451.99949074074</v>
      </c>
      <c r="W531" s="6" t="str">
        <v>Internet Services &amp; Software;Programming Services</v>
      </c>
      <c r="X531" s="6" t="str">
        <v>Applications Software(Business;Communication/Network Software</v>
      </c>
      <c r="Y531" s="6" t="str">
        <v>Communication/Network Software;Applications Software(Business</v>
      </c>
      <c r="Z531" s="6" t="str">
        <v>Communication/Network Software;Applications Software(Business</v>
      </c>
      <c r="AA531" s="6" t="str">
        <v>Programming Services;Telecommunications Equipment;Internet Services &amp; Software;Primary Business not Hi-Tech;Computer Consulting Services</v>
      </c>
      <c r="AB531" s="6" t="str">
        <v>Internet Services &amp; Software;Primary Business not Hi-Tech;Computer Consulting Services;Programming Services;Telecommunications Equipment</v>
      </c>
    </row>
    <row r="532">
      <c r="A532" s="6" t="str">
        <v>023135</v>
      </c>
      <c r="B532" s="6" t="str">
        <v>United States</v>
      </c>
      <c r="C532" s="6" t="str">
        <v>Amazon.com Inc</v>
      </c>
      <c r="D532" s="6" t="str">
        <v>Amazon.com Inc</v>
      </c>
      <c r="F532" s="6" t="str">
        <v>Spain</v>
      </c>
      <c r="G532" s="6" t="str">
        <v>Buy VIP SL</v>
      </c>
      <c r="H532" s="6" t="str">
        <v>Business Services</v>
      </c>
      <c r="I532" s="6" t="str">
        <v>13040H</v>
      </c>
      <c r="J532" s="6" t="str">
        <v>Buy VIP SL</v>
      </c>
      <c r="K532" s="6" t="str">
        <v>Buy VIP SL</v>
      </c>
      <c r="L532" s="7">
        <f>=DATE(2010,10,1)</f>
        <v>40451.99949074074</v>
      </c>
      <c r="W532" s="6" t="str">
        <v>Primary Business not Hi-Tech</v>
      </c>
      <c r="X532" s="6" t="str">
        <v>Internet Services &amp; Software;Networking Systems (LAN,WAN)</v>
      </c>
      <c r="Y532" s="6" t="str">
        <v>Internet Services &amp; Software;Networking Systems (LAN,WAN)</v>
      </c>
      <c r="Z532" s="6" t="str">
        <v>Networking Systems (LAN,WAN);Internet Services &amp; Software</v>
      </c>
      <c r="AA532" s="6" t="str">
        <v>Primary Business not Hi-Tech</v>
      </c>
      <c r="AB532" s="6" t="str">
        <v>Primary Business not Hi-Tech</v>
      </c>
      <c r="AD532" s="7">
        <f>=DATE(2010,10,1)</f>
        <v>40451.99949074074</v>
      </c>
    </row>
    <row r="533">
      <c r="A533" s="6" t="str">
        <v>594918</v>
      </c>
      <c r="B533" s="6" t="str">
        <v>United States</v>
      </c>
      <c r="C533" s="6" t="str">
        <v>Microsoft Corp</v>
      </c>
      <c r="D533" s="6" t="str">
        <v>Microsoft Corp</v>
      </c>
      <c r="F533" s="6" t="str">
        <v>United States</v>
      </c>
      <c r="G533" s="6" t="str">
        <v>AVIcode Inc</v>
      </c>
      <c r="H533" s="6" t="str">
        <v>Prepackaged Software</v>
      </c>
      <c r="I533" s="6" t="str">
        <v>05045R</v>
      </c>
      <c r="J533" s="6" t="str">
        <v>AVIcode Inc</v>
      </c>
      <c r="K533" s="6" t="str">
        <v>AVIcode Inc</v>
      </c>
      <c r="L533" s="7">
        <f>=DATE(2010,10,6)</f>
        <v>40456.99949074074</v>
      </c>
      <c r="M533" s="7">
        <f>=DATE(2010,10,6)</f>
        <v>40456.99949074074</v>
      </c>
      <c r="W533" s="6" t="str">
        <v>Other Peripherals;Operating Systems;Applications Software(Business;Monitors/Terminals;Internet Services &amp; Software;Computer Consulting Services</v>
      </c>
      <c r="X533" s="6" t="str">
        <v>Other Software (inq. Games)</v>
      </c>
      <c r="Y533" s="6" t="str">
        <v>Other Software (inq. Games)</v>
      </c>
      <c r="Z533" s="6" t="str">
        <v>Other Software (inq. Games)</v>
      </c>
      <c r="AA533" s="6" t="str">
        <v>Operating Systems;Other Peripherals;Applications Software(Business;Monitors/Terminals;Internet Services &amp; Software;Computer Consulting Services</v>
      </c>
      <c r="AB533" s="6" t="str">
        <v>Computer Consulting Services;Operating Systems;Other Peripherals;Applications Software(Business;Monitors/Terminals;Internet Services &amp; Software</v>
      </c>
    </row>
    <row r="534">
      <c r="A534" s="6" t="str">
        <v>594918</v>
      </c>
      <c r="B534" s="6" t="str">
        <v>United States</v>
      </c>
      <c r="C534" s="6" t="str">
        <v>Microsoft Corp</v>
      </c>
      <c r="D534" s="6" t="str">
        <v>Microsoft Corp</v>
      </c>
      <c r="F534" s="6" t="str">
        <v>United States</v>
      </c>
      <c r="G534" s="6" t="str">
        <v>Adobe Systems Inc</v>
      </c>
      <c r="H534" s="6" t="str">
        <v>Prepackaged Software</v>
      </c>
      <c r="I534" s="6" t="str">
        <v>00724F</v>
      </c>
      <c r="J534" s="6" t="str">
        <v>Adobe Systems Inc</v>
      </c>
      <c r="K534" s="6" t="str">
        <v>Adobe Systems Inc</v>
      </c>
      <c r="L534" s="7">
        <f>=DATE(2010,10,7)</f>
        <v>40457.99949074074</v>
      </c>
      <c r="R534" s="8">
        <v>386.508</v>
      </c>
      <c r="S534" s="8">
        <v>2945.853</v>
      </c>
      <c r="T534" s="8">
        <v>477.658</v>
      </c>
      <c r="U534" s="8">
        <v>-1497.096</v>
      </c>
      <c r="V534" s="8">
        <v>1117.772</v>
      </c>
      <c r="W534" s="6" t="str">
        <v>Internet Services &amp; Software;Other Peripherals;Operating Systems;Monitors/Terminals;Applications Software(Business;Computer Consulting Services</v>
      </c>
      <c r="X534" s="6" t="str">
        <v>Applications Software(Home);Applications Software(Business;Communication/Network Software;Other Software (inq. Games)</v>
      </c>
      <c r="Y534" s="6" t="str">
        <v>Other Software (inq. Games);Applications Software(Home);Communication/Network Software;Applications Software(Business</v>
      </c>
      <c r="Z534" s="6" t="str">
        <v>Applications Software(Home);Communication/Network Software;Applications Software(Business;Other Software (inq. Games)</v>
      </c>
      <c r="AA534" s="6" t="str">
        <v>Monitors/Terminals;Internet Services &amp; Software;Operating Systems;Applications Software(Business;Other Peripherals;Computer Consulting Services</v>
      </c>
      <c r="AB534" s="6" t="str">
        <v>Other Peripherals;Internet Services &amp; Software;Monitors/Terminals;Operating Systems;Computer Consulting Services;Applications Software(Business</v>
      </c>
    </row>
    <row r="535">
      <c r="A535" s="6" t="str">
        <v>38259P</v>
      </c>
      <c r="B535" s="6" t="str">
        <v>United States</v>
      </c>
      <c r="C535" s="6" t="str">
        <v>Google Inc</v>
      </c>
      <c r="D535" s="6" t="str">
        <v>Alphabet Inc</v>
      </c>
      <c r="F535" s="6" t="str">
        <v>United States</v>
      </c>
      <c r="G535" s="6" t="str">
        <v>Everything Is The Best LLC</v>
      </c>
      <c r="H535" s="6" t="str">
        <v>Prepackaged Software</v>
      </c>
      <c r="I535" s="6" t="str">
        <v>30501L</v>
      </c>
      <c r="J535" s="6" t="str">
        <v>Everything Is The Best LLC</v>
      </c>
      <c r="K535" s="6" t="str">
        <v>Everything Is The Best LLC</v>
      </c>
      <c r="L535" s="7">
        <f>=DATE(2010,10,8)</f>
        <v>40458.99949074074</v>
      </c>
      <c r="M535" s="7">
        <f>=DATE(2010,10,8)</f>
        <v>40458.99949074074</v>
      </c>
      <c r="W535" s="6" t="str">
        <v>Internet Services &amp; Software;Programming Services</v>
      </c>
      <c r="X535" s="6" t="str">
        <v>Applications Software(Business</v>
      </c>
      <c r="Y535" s="6" t="str">
        <v>Applications Software(Business</v>
      </c>
      <c r="Z535" s="6" t="str">
        <v>Applications Software(Business</v>
      </c>
      <c r="AA535" s="6" t="str">
        <v>Computer Consulting Services;Telecommunications Equipment;Internet Services &amp; Software;Primary Business not Hi-Tech;Programming Services</v>
      </c>
      <c r="AB535" s="6" t="str">
        <v>Computer Consulting Services;Programming Services;Internet Services &amp; Software;Primary Business not Hi-Tech;Telecommunications Equipment</v>
      </c>
    </row>
    <row r="536">
      <c r="A536" s="6" t="str">
        <v>037833</v>
      </c>
      <c r="B536" s="6" t="str">
        <v>United States</v>
      </c>
      <c r="C536" s="6" t="str">
        <v>Apple Inc</v>
      </c>
      <c r="D536" s="6" t="str">
        <v>Apple Inc</v>
      </c>
      <c r="F536" s="6" t="str">
        <v>Japan</v>
      </c>
      <c r="G536" s="6" t="str">
        <v>Sony Corp</v>
      </c>
      <c r="H536" s="6" t="str">
        <v>Electronic and Electrical Equipment</v>
      </c>
      <c r="I536" s="6" t="str">
        <v>835699</v>
      </c>
      <c r="J536" s="6" t="str">
        <v>Sony Corp</v>
      </c>
      <c r="K536" s="6" t="str">
        <v>Sony Corp</v>
      </c>
      <c r="L536" s="7">
        <f>=DATE(2010,10,26)</f>
        <v>40476.99949074074</v>
      </c>
      <c r="R536" s="8">
        <v>1512.73816656681</v>
      </c>
      <c r="S536" s="8">
        <v>88042.3726782505</v>
      </c>
      <c r="T536" s="8">
        <v>997.32302</v>
      </c>
      <c r="U536" s="8">
        <v>-10031.90824</v>
      </c>
      <c r="V536" s="8">
        <v>9503.78192</v>
      </c>
      <c r="W536" s="6" t="str">
        <v>Printers;Other Software (inq. Games);Portable Computers;Micro-Computers (PCs);Other Peripherals;Monitors/Terminals;Mainframes &amp; Super Computers;Disk Drives</v>
      </c>
      <c r="X536" s="6" t="str">
        <v>Other Electronics</v>
      </c>
      <c r="Y536" s="6" t="str">
        <v>Other Electronics</v>
      </c>
      <c r="Z536" s="6" t="str">
        <v>Other Electronics</v>
      </c>
      <c r="AA536" s="6" t="str">
        <v>Printers;Other Peripherals;Monitors/Terminals;Portable Computers;Micro-Computers (PCs);Mainframes &amp; Super Computers;Other Software (inq. Games);Disk Drives</v>
      </c>
      <c r="AB536" s="6" t="str">
        <v>Monitors/Terminals;Micro-Computers (PCs);Other Software (inq. Games);Portable Computers;Printers;Disk Drives;Mainframes &amp; Super Computers;Other Peripherals</v>
      </c>
    </row>
    <row r="537">
      <c r="A537" s="6" t="str">
        <v>98967F</v>
      </c>
      <c r="B537" s="6" t="str">
        <v>United States</v>
      </c>
      <c r="C537" s="6" t="str">
        <v>ZeniMax Media Inc</v>
      </c>
      <c r="D537" s="6" t="str">
        <v>ZeniMax Media Inc</v>
      </c>
      <c r="F537" s="6" t="str">
        <v>Japan</v>
      </c>
      <c r="G537" s="6" t="str">
        <v>Tango Gameworks</v>
      </c>
      <c r="H537" s="6" t="str">
        <v>Prepackaged Software</v>
      </c>
      <c r="I537" s="6" t="str">
        <v>86144Y</v>
      </c>
      <c r="J537" s="6" t="str">
        <v>Tango Gameworks</v>
      </c>
      <c r="K537" s="6" t="str">
        <v>Tango Gameworks</v>
      </c>
      <c r="L537" s="7">
        <f>=DATE(2010,10,28)</f>
        <v>40478.99949074074</v>
      </c>
      <c r="M537" s="7">
        <f>=DATE(2010,10,28)</f>
        <v>40478.99949074074</v>
      </c>
      <c r="W537" s="6" t="str">
        <v>Other Software (inq. Games)</v>
      </c>
      <c r="X537" s="6" t="str">
        <v>Applications Software(Home);Applications Software(Business</v>
      </c>
      <c r="Y537" s="6" t="str">
        <v>Applications Software(Business;Applications Software(Home)</v>
      </c>
      <c r="Z537" s="6" t="str">
        <v>Applications Software(Home);Applications Software(Business</v>
      </c>
      <c r="AA537" s="6" t="str">
        <v>Other Software (inq. Games)</v>
      </c>
      <c r="AB537" s="6" t="str">
        <v>Other Software (inq. Games)</v>
      </c>
    </row>
    <row r="538">
      <c r="A538" s="6" t="str">
        <v>594918</v>
      </c>
      <c r="B538" s="6" t="str">
        <v>United States</v>
      </c>
      <c r="C538" s="6" t="str">
        <v>Microsoft Corp</v>
      </c>
      <c r="D538" s="6" t="str">
        <v>Microsoft Corp</v>
      </c>
      <c r="F538" s="6" t="str">
        <v>United States</v>
      </c>
      <c r="G538" s="6" t="str">
        <v>Canesta Inc</v>
      </c>
      <c r="H538" s="6" t="str">
        <v>Prepackaged Software</v>
      </c>
      <c r="I538" s="6" t="str">
        <v>13752L</v>
      </c>
      <c r="J538" s="6" t="str">
        <v>Canesta Inc</v>
      </c>
      <c r="K538" s="6" t="str">
        <v>Canesta Inc</v>
      </c>
      <c r="L538" s="7">
        <f>=DATE(2010,10,29)</f>
        <v>40479.99949074074</v>
      </c>
      <c r="M538" s="7">
        <f>=DATE(2010,12,31)</f>
        <v>40542.99949074074</v>
      </c>
      <c r="W538" s="6" t="str">
        <v>Other Peripherals;Internet Services &amp; Software;Computer Consulting Services;Monitors/Terminals;Operating Systems;Applications Software(Business</v>
      </c>
      <c r="X538" s="6" t="str">
        <v>Other Software (inq. Games)</v>
      </c>
      <c r="Y538" s="6" t="str">
        <v>Other Software (inq. Games)</v>
      </c>
      <c r="Z538" s="6" t="str">
        <v>Other Software (inq. Games)</v>
      </c>
      <c r="AA538" s="6" t="str">
        <v>Computer Consulting Services;Internet Services &amp; Software;Monitors/Terminals;Operating Systems;Applications Software(Business;Other Peripherals</v>
      </c>
      <c r="AB538" s="6" t="str">
        <v>Monitors/Terminals;Operating Systems;Internet Services &amp; Software;Other Peripherals;Computer Consulting Services;Applications Software(Business</v>
      </c>
    </row>
    <row r="539">
      <c r="A539" s="6" t="str">
        <v>30303M</v>
      </c>
      <c r="B539" s="6" t="str">
        <v>United States</v>
      </c>
      <c r="C539" s="6" t="str">
        <v>Facebook Inc</v>
      </c>
      <c r="D539" s="6" t="str">
        <v>Facebook Inc</v>
      </c>
      <c r="F539" s="6" t="str">
        <v>United States</v>
      </c>
      <c r="G539" s="6" t="str">
        <v>Drop.io Inc</v>
      </c>
      <c r="H539" s="6" t="str">
        <v>Business Services</v>
      </c>
      <c r="I539" s="6" t="str">
        <v>26231X</v>
      </c>
      <c r="J539" s="6" t="str">
        <v>Drop.io Inc</v>
      </c>
      <c r="K539" s="6" t="str">
        <v>Drop.io Inc</v>
      </c>
      <c r="L539" s="7">
        <f>=DATE(2010,10,29)</f>
        <v>40479.99949074074</v>
      </c>
      <c r="M539" s="7">
        <f>=DATE(2010,10,29)</f>
        <v>40479.99949074074</v>
      </c>
      <c r="W539" s="6" t="str">
        <v>Internet Services &amp; Software</v>
      </c>
      <c r="X539" s="6" t="str">
        <v>Internet Services &amp; Software</v>
      </c>
      <c r="Y539" s="6" t="str">
        <v>Internet Services &amp; Software</v>
      </c>
      <c r="Z539" s="6" t="str">
        <v>Internet Services &amp; Software</v>
      </c>
      <c r="AA539" s="6" t="str">
        <v>Internet Services &amp; Software</v>
      </c>
      <c r="AB539" s="6" t="str">
        <v>Internet Services &amp; Software</v>
      </c>
    </row>
    <row r="540">
      <c r="A540" s="6" t="str">
        <v>38305P</v>
      </c>
      <c r="B540" s="6" t="str">
        <v>United States</v>
      </c>
      <c r="C540" s="6" t="str">
        <v>Google Ventures</v>
      </c>
      <c r="D540" s="6" t="str">
        <v>Alphabet Inc</v>
      </c>
      <c r="F540" s="6" t="str">
        <v>United States</v>
      </c>
      <c r="G540" s="6" t="str">
        <v>HomeAway Inc</v>
      </c>
      <c r="H540" s="6" t="str">
        <v>Business Services</v>
      </c>
      <c r="I540" s="6" t="str">
        <v>43739Q</v>
      </c>
      <c r="J540" s="6" t="str">
        <v>HomeAway Inc</v>
      </c>
      <c r="K540" s="6" t="str">
        <v>HomeAway Inc</v>
      </c>
      <c r="L540" s="7">
        <f>=DATE(2010,10,29)</f>
        <v>40479.99949074074</v>
      </c>
      <c r="M540" s="7">
        <f>=DATE(2010,10,29)</f>
        <v>40479.99949074074</v>
      </c>
      <c r="R540" s="8">
        <v>27.369</v>
      </c>
      <c r="S540" s="8">
        <v>290.284</v>
      </c>
      <c r="T540" s="8">
        <v>-12.24</v>
      </c>
      <c r="U540" s="8">
        <v>-140.838</v>
      </c>
      <c r="V540" s="8">
        <v>106.512</v>
      </c>
      <c r="W540" s="6" t="str">
        <v>Primary Business not Hi-Tech</v>
      </c>
      <c r="X540" s="6" t="str">
        <v>Internet Services &amp; Software</v>
      </c>
      <c r="Y540" s="6" t="str">
        <v>Internet Services &amp; Software</v>
      </c>
      <c r="Z540" s="6" t="str">
        <v>Internet Services &amp; Software</v>
      </c>
      <c r="AA540" s="6" t="str">
        <v>Programming Services;Internet Services &amp; Software</v>
      </c>
      <c r="AB540" s="6" t="str">
        <v>Telecommunications Equipment;Computer Consulting Services;Primary Business not Hi-Tech;Internet Services &amp; Software;Programming Services</v>
      </c>
    </row>
    <row r="541">
      <c r="A541" s="6" t="str">
        <v>023135</v>
      </c>
      <c r="B541" s="6" t="str">
        <v>United States</v>
      </c>
      <c r="C541" s="6" t="str">
        <v>Amazon.com Inc</v>
      </c>
      <c r="D541" s="6" t="str">
        <v>Amazon.com Inc</v>
      </c>
      <c r="F541" s="6" t="str">
        <v>United States</v>
      </c>
      <c r="G541" s="6" t="str">
        <v>Quidsi Inc</v>
      </c>
      <c r="H541" s="6" t="str">
        <v>Business Services</v>
      </c>
      <c r="I541" s="6" t="str">
        <v>75731Y</v>
      </c>
      <c r="J541" s="6" t="str">
        <v>Quidsi Inc</v>
      </c>
      <c r="K541" s="6" t="str">
        <v>Quidsi Inc</v>
      </c>
      <c r="L541" s="7">
        <f>=DATE(2010,11,8)</f>
        <v>40489.99949074074</v>
      </c>
      <c r="M541" s="7">
        <f>=DATE(2011,4,27)</f>
        <v>40659.99949074074</v>
      </c>
      <c r="N541" s="8">
        <v>545</v>
      </c>
      <c r="O541" s="8">
        <v>545</v>
      </c>
      <c r="W541" s="6" t="str">
        <v>Primary Business not Hi-Tech</v>
      </c>
      <c r="X541" s="6" t="str">
        <v>Internet Services &amp; Software</v>
      </c>
      <c r="Y541" s="6" t="str">
        <v>Internet Services &amp; Software</v>
      </c>
      <c r="Z541" s="6" t="str">
        <v>Internet Services &amp; Software</v>
      </c>
      <c r="AA541" s="6" t="str">
        <v>Primary Business not Hi-Tech</v>
      </c>
      <c r="AB541" s="6" t="str">
        <v>Primary Business not Hi-Tech</v>
      </c>
      <c r="AC541" s="8">
        <v>545</v>
      </c>
      <c r="AD541" s="7">
        <f>=DATE(2010,11,8)</f>
        <v>40489.99949074074</v>
      </c>
      <c r="AF541" s="8" t="str">
        <v>545.00</v>
      </c>
      <c r="AG541" s="8" t="str">
        <v>545.00</v>
      </c>
      <c r="AH541" s="8" t="str">
        <v>500.00</v>
      </c>
      <c r="AI541" s="8" t="str">
        <v>500.00</v>
      </c>
      <c r="AJ541" s="8" t="str">
        <v>45.00;500.00</v>
      </c>
      <c r="AK541" s="6" t="str">
        <v>US Dollar;US Dollar</v>
      </c>
      <c r="AL541" s="8">
        <v>545</v>
      </c>
    </row>
    <row r="542">
      <c r="A542" s="6" t="str">
        <v>98967F</v>
      </c>
      <c r="B542" s="6" t="str">
        <v>United States</v>
      </c>
      <c r="C542" s="6" t="str">
        <v>ZeniMax Media Inc</v>
      </c>
      <c r="D542" s="6" t="str">
        <v>ZeniMax Media Inc</v>
      </c>
      <c r="F542" s="6" t="str">
        <v>Sweden</v>
      </c>
      <c r="G542" s="6" t="str">
        <v>Machinegames Uppsala AB</v>
      </c>
      <c r="H542" s="6" t="str">
        <v>Prepackaged Software</v>
      </c>
      <c r="I542" s="6" t="str">
        <v>55715F</v>
      </c>
      <c r="J542" s="6" t="str">
        <v>Machinegames Uppsala AB</v>
      </c>
      <c r="K542" s="6" t="str">
        <v>Machinegames Uppsala AB</v>
      </c>
      <c r="L542" s="7">
        <f>=DATE(2010,11,11)</f>
        <v>40492.99949074074</v>
      </c>
      <c r="M542" s="7">
        <f>=DATE(2010,11,11)</f>
        <v>40492.99949074074</v>
      </c>
      <c r="W542" s="6" t="str">
        <v>Other Software (inq. Games)</v>
      </c>
      <c r="X542" s="6" t="str">
        <v>Other Software (inq. Games)</v>
      </c>
      <c r="Y542" s="6" t="str">
        <v>Other Software (inq. Games)</v>
      </c>
      <c r="Z542" s="6" t="str">
        <v>Other Software (inq. Games)</v>
      </c>
      <c r="AA542" s="6" t="str">
        <v>Other Software (inq. Games)</v>
      </c>
      <c r="AB542" s="6" t="str">
        <v>Other Software (inq. Games)</v>
      </c>
    </row>
    <row r="543">
      <c r="A543" s="6" t="str">
        <v>30303M</v>
      </c>
      <c r="B543" s="6" t="str">
        <v>United States</v>
      </c>
      <c r="C543" s="6" t="str">
        <v>Facebook Inc</v>
      </c>
      <c r="D543" s="6" t="str">
        <v>Facebook Inc</v>
      </c>
      <c r="F543" s="6" t="str">
        <v>United States</v>
      </c>
      <c r="G543" s="6" t="str">
        <v>Walletin</v>
      </c>
      <c r="H543" s="6" t="str">
        <v>Prepackaged Software</v>
      </c>
      <c r="I543" s="6" t="str">
        <v>93352Z</v>
      </c>
      <c r="J543" s="6" t="str">
        <v>Walletin</v>
      </c>
      <c r="K543" s="6" t="str">
        <v>Walletin</v>
      </c>
      <c r="L543" s="7">
        <f>=DATE(2010,11,16)</f>
        <v>40497.99949074074</v>
      </c>
      <c r="M543" s="7">
        <f>=DATE(2010,11,16)</f>
        <v>40497.99949074074</v>
      </c>
      <c r="W543" s="6" t="str">
        <v>Internet Services &amp; Software</v>
      </c>
      <c r="X543" s="6" t="str">
        <v>Other Software (inq. Games);Communication/Network Software;Internet Services &amp; Software</v>
      </c>
      <c r="Y543" s="6" t="str">
        <v>Internet Services &amp; Software;Other Software (inq. Games);Communication/Network Software</v>
      </c>
      <c r="Z543" s="6" t="str">
        <v>Communication/Network Software;Other Software (inq. Games);Internet Services &amp; Software</v>
      </c>
      <c r="AA543" s="6" t="str">
        <v>Internet Services &amp; Software</v>
      </c>
      <c r="AB543" s="6" t="str">
        <v>Internet Services &amp; Software</v>
      </c>
    </row>
    <row r="544">
      <c r="A544" s="6" t="str">
        <v>60616V</v>
      </c>
      <c r="B544" s="6" t="str">
        <v>United States</v>
      </c>
      <c r="C544" s="6" t="str">
        <v>Montage Healthcare Solutions Inc</v>
      </c>
      <c r="D544" s="6" t="str">
        <v>Montage Healthcare Solutions Inc</v>
      </c>
      <c r="F544" s="6" t="str">
        <v>United States</v>
      </c>
      <c r="G544" s="6" t="str">
        <v>iVirtuoso Inc</v>
      </c>
      <c r="H544" s="6" t="str">
        <v>Business Services</v>
      </c>
      <c r="I544" s="6" t="str">
        <v>47333P</v>
      </c>
      <c r="J544" s="6" t="str">
        <v>iVirtuoso Inc</v>
      </c>
      <c r="K544" s="6" t="str">
        <v>iVirtuoso Inc</v>
      </c>
      <c r="L544" s="7">
        <f>=DATE(2010,11,24)</f>
        <v>40505.99949074074</v>
      </c>
      <c r="M544" s="7">
        <f>=DATE(2010,12,31)</f>
        <v>40542.99949074074</v>
      </c>
      <c r="W544" s="6" t="str">
        <v>Internet Services &amp; Software</v>
      </c>
      <c r="X544" s="6" t="str">
        <v>Applications Software(Business;Internet Services &amp; Software</v>
      </c>
      <c r="Y544" s="6" t="str">
        <v>Applications Software(Business;Internet Services &amp; Software</v>
      </c>
      <c r="Z544" s="6" t="str">
        <v>Applications Software(Business;Internet Services &amp; Software</v>
      </c>
      <c r="AA544" s="6" t="str">
        <v>Internet Services &amp; Software</v>
      </c>
      <c r="AB544" s="6" t="str">
        <v>Internet Services &amp; Software</v>
      </c>
    </row>
    <row r="545">
      <c r="A545" s="6" t="str">
        <v>023135</v>
      </c>
      <c r="B545" s="6" t="str">
        <v>United States</v>
      </c>
      <c r="C545" s="6" t="str">
        <v>Amazon.com Inc</v>
      </c>
      <c r="D545" s="6" t="str">
        <v>Amazon.com Inc</v>
      </c>
      <c r="F545" s="6" t="str">
        <v>United States</v>
      </c>
      <c r="G545" s="6" t="str">
        <v>LivingSocial Inc</v>
      </c>
      <c r="H545" s="6" t="str">
        <v>Business Services</v>
      </c>
      <c r="I545" s="6" t="str">
        <v>53843A</v>
      </c>
      <c r="J545" s="6" t="str">
        <v>LivingSocial Inc</v>
      </c>
      <c r="K545" s="6" t="str">
        <v>LivingSocial Inc</v>
      </c>
      <c r="L545" s="7">
        <f>=DATE(2010,12,2)</f>
        <v>40513.99949074074</v>
      </c>
      <c r="M545" s="7">
        <f>=DATE(2010,12,2)</f>
        <v>40513.99949074074</v>
      </c>
      <c r="N545" s="8">
        <v>175</v>
      </c>
      <c r="O545" s="8">
        <v>175</v>
      </c>
      <c r="W545" s="6" t="str">
        <v>Primary Business not Hi-Tech</v>
      </c>
      <c r="X545" s="6" t="str">
        <v>Internet Services &amp; Software</v>
      </c>
      <c r="Y545" s="6" t="str">
        <v>Internet Services &amp; Software</v>
      </c>
      <c r="Z545" s="6" t="str">
        <v>Internet Services &amp; Software</v>
      </c>
      <c r="AA545" s="6" t="str">
        <v>Primary Business not Hi-Tech</v>
      </c>
      <c r="AB545" s="6" t="str">
        <v>Primary Business not Hi-Tech</v>
      </c>
      <c r="AC545" s="8">
        <v>175</v>
      </c>
      <c r="AD545" s="7">
        <f>=DATE(2010,12,2)</f>
        <v>40513.99949074074</v>
      </c>
      <c r="AJ545" s="8" t="str">
        <v>175.00</v>
      </c>
      <c r="AK545" s="6" t="str">
        <v>US Dollar</v>
      </c>
      <c r="AL545" s="8">
        <v>175</v>
      </c>
    </row>
    <row r="546">
      <c r="A546" s="6" t="str">
        <v>38259P</v>
      </c>
      <c r="B546" s="6" t="str">
        <v>United States</v>
      </c>
      <c r="C546" s="6" t="str">
        <v>Google Inc</v>
      </c>
      <c r="D546" s="6" t="str">
        <v>Alphabet Inc</v>
      </c>
      <c r="F546" s="6" t="str">
        <v>United Kingdom</v>
      </c>
      <c r="G546" s="6" t="str">
        <v>Phonetic Arts Ltd</v>
      </c>
      <c r="H546" s="6" t="str">
        <v>Electronic and Electrical Equipment</v>
      </c>
      <c r="I546" s="6" t="str">
        <v>71896J</v>
      </c>
      <c r="J546" s="6" t="str">
        <v>Phonetic Arts Ltd</v>
      </c>
      <c r="K546" s="6" t="str">
        <v>Phonetic Arts Ltd</v>
      </c>
      <c r="L546" s="7">
        <f>=DATE(2010,12,3)</f>
        <v>40514.99949074074</v>
      </c>
      <c r="M546" s="7">
        <f>=DATE(2010,12,3)</f>
        <v>40514.99949074074</v>
      </c>
      <c r="W546" s="6" t="str">
        <v>Internet Services &amp; Software;Programming Services</v>
      </c>
      <c r="X546" s="6" t="str">
        <v>Superconductors</v>
      </c>
      <c r="Y546" s="6" t="str">
        <v>Superconductors</v>
      </c>
      <c r="Z546" s="6" t="str">
        <v>Superconductors</v>
      </c>
      <c r="AA546" s="6" t="str">
        <v>Primary Business not Hi-Tech;Telecommunications Equipment;Programming Services;Computer Consulting Services;Internet Services &amp; Software</v>
      </c>
      <c r="AB546" s="6" t="str">
        <v>Primary Business not Hi-Tech;Computer Consulting Services;Telecommunications Equipment;Internet Services &amp; Software;Programming Services</v>
      </c>
    </row>
    <row r="547">
      <c r="A547" s="6" t="str">
        <v>38259P</v>
      </c>
      <c r="B547" s="6" t="str">
        <v>United States</v>
      </c>
      <c r="C547" s="6" t="str">
        <v>Google Inc</v>
      </c>
      <c r="D547" s="6" t="str">
        <v>Alphabet Inc</v>
      </c>
      <c r="F547" s="6" t="str">
        <v>United States</v>
      </c>
      <c r="G547" s="6" t="str">
        <v>Widevine Technologies Inc</v>
      </c>
      <c r="H547" s="6" t="str">
        <v>Prepackaged Software</v>
      </c>
      <c r="I547" s="6" t="str">
        <v>96781V</v>
      </c>
      <c r="J547" s="6" t="str">
        <v>Widevine Technologies Inc</v>
      </c>
      <c r="K547" s="6" t="str">
        <v>Widevine Technologies Inc</v>
      </c>
      <c r="L547" s="7">
        <f>=DATE(2010,12,3)</f>
        <v>40514.99949074074</v>
      </c>
      <c r="M547" s="7">
        <f>=DATE(2010,12,31)</f>
        <v>40542.99949074074</v>
      </c>
      <c r="W547" s="6" t="str">
        <v>Internet Services &amp; Software;Programming Services</v>
      </c>
      <c r="X547" s="6" t="str">
        <v>Communication/Network Software;Internet Services &amp; Software</v>
      </c>
      <c r="Y547" s="6" t="str">
        <v>Communication/Network Software;Internet Services &amp; Software</v>
      </c>
      <c r="Z547" s="6" t="str">
        <v>Internet Services &amp; Software;Communication/Network Software</v>
      </c>
      <c r="AA547" s="6" t="str">
        <v>Telecommunications Equipment;Computer Consulting Services;Programming Services;Internet Services &amp; Software;Primary Business not Hi-Tech</v>
      </c>
      <c r="AB547" s="6" t="str">
        <v>Internet Services &amp; Software;Computer Consulting Services;Programming Services;Primary Business not Hi-Tech;Telecommunications Equipment</v>
      </c>
    </row>
    <row r="548">
      <c r="A548" s="6" t="str">
        <v>67020Y</v>
      </c>
      <c r="B548" s="6" t="str">
        <v>United States</v>
      </c>
      <c r="C548" s="6" t="str">
        <v>Nuance Communications Inc</v>
      </c>
      <c r="D548" s="6" t="str">
        <v>Nuance Communications Inc</v>
      </c>
      <c r="F548" s="6" t="str">
        <v>Israel</v>
      </c>
      <c r="G548" s="6" t="str">
        <v>PerSay Ltd</v>
      </c>
      <c r="H548" s="6" t="str">
        <v>Communications Equipment</v>
      </c>
      <c r="I548" s="6" t="str">
        <v>71568N</v>
      </c>
      <c r="J548" s="6" t="str">
        <v>PerSay Ltd</v>
      </c>
      <c r="K548" s="6" t="str">
        <v>PerSay Ltd</v>
      </c>
      <c r="L548" s="7">
        <f>=DATE(2010,12,13)</f>
        <v>40524.99949074074</v>
      </c>
      <c r="M548" s="7">
        <f>=DATE(2010,12,13)</f>
        <v>40524.99949074074</v>
      </c>
      <c r="W548" s="6" t="str">
        <v>Computer Consulting Services;Database Software/Programming;Desktop Publishing;Applications Software(Business;Other Computer Related Svcs;Communication/Network Software;Utilities/File Mgmt Software;Programming Services;Internet Services &amp; Software;Primary Business not Hi-Tech;Other Software (inq. Games);Networking Systems (LAN,WAN);Applications Software(Home)</v>
      </c>
      <c r="X548" s="6" t="str">
        <v>Other Telecommunications Equip</v>
      </c>
      <c r="Y548" s="6" t="str">
        <v>Other Telecommunications Equip</v>
      </c>
      <c r="Z548" s="6" t="str">
        <v>Other Telecommunications Equip</v>
      </c>
      <c r="AA548" s="6" t="str">
        <v>Communication/Network Software;Other Software (inq. Games);Desktop Publishing;Networking Systems (LAN,WAN);Database Software/Programming;Programming Services;Primary Business not Hi-Tech;Applications Software(Business;Computer Consulting Services;Utilities/File Mgmt Software;Applications Software(Home);Internet Services &amp; Software;Other Computer Related Svcs</v>
      </c>
      <c r="AB548" s="6" t="str">
        <v>Primary Business not Hi-Tech;Other Software (inq. Games);Other Computer Related Svcs;Utilities/File Mgmt Software;Communication/Network Software;Programming Services;Applications Software(Business;Applications Software(Home);Database Software/Programming;Computer Consulting Services;Networking Systems (LAN,WAN);Internet Services &amp; Software;Desktop Publishing</v>
      </c>
    </row>
    <row r="549">
      <c r="A549" s="6" t="str">
        <v>38259P</v>
      </c>
      <c r="B549" s="6" t="str">
        <v>United States</v>
      </c>
      <c r="C549" s="6" t="str">
        <v>Google Inc</v>
      </c>
      <c r="D549" s="6" t="str">
        <v>Alphabet Inc</v>
      </c>
      <c r="F549" s="6" t="str">
        <v>Canada</v>
      </c>
      <c r="G549" s="6" t="str">
        <v>Zetawire Inc</v>
      </c>
      <c r="H549" s="6" t="str">
        <v>Business Services</v>
      </c>
      <c r="I549" s="6" t="str">
        <v>99356R</v>
      </c>
      <c r="J549" s="6" t="str">
        <v>Zetawire Inc</v>
      </c>
      <c r="K549" s="6" t="str">
        <v>Zetawire Inc</v>
      </c>
      <c r="L549" s="7">
        <f>=DATE(2010,12,14)</f>
        <v>40525.99949074074</v>
      </c>
      <c r="M549" s="7">
        <f>=DATE(2010,12,14)</f>
        <v>40525.99949074074</v>
      </c>
      <c r="W549" s="6" t="str">
        <v>Internet Services &amp; Software;Programming Services</v>
      </c>
      <c r="X549" s="6" t="str">
        <v>Primary Business not Hi-Tech;Applications Software(Business;Computer Consulting Services;Communication/Network Software</v>
      </c>
      <c r="Y549" s="6" t="str">
        <v>Communication/Network Software;Computer Consulting Services;Applications Software(Business;Primary Business not Hi-Tech</v>
      </c>
      <c r="Z549" s="6" t="str">
        <v>Communication/Network Software;Primary Business not Hi-Tech;Computer Consulting Services;Applications Software(Business</v>
      </c>
      <c r="AA549" s="6" t="str">
        <v>Telecommunications Equipment;Programming Services;Computer Consulting Services;Internet Services &amp; Software;Primary Business not Hi-Tech</v>
      </c>
      <c r="AB549" s="6" t="str">
        <v>Telecommunications Equipment;Programming Services;Primary Business not Hi-Tech;Internet Services &amp; Software;Computer Consulting Services</v>
      </c>
    </row>
    <row r="550">
      <c r="A550" s="6" t="str">
        <v>98787H</v>
      </c>
      <c r="B550" s="6" t="str">
        <v>United States</v>
      </c>
      <c r="C550" s="6" t="str">
        <v>YouTube Inc</v>
      </c>
      <c r="D550" s="6" t="str">
        <v>Alphabet Inc</v>
      </c>
      <c r="F550" s="6" t="str">
        <v>United States</v>
      </c>
      <c r="G550" s="6" t="str">
        <v>Next New Networks</v>
      </c>
      <c r="H550" s="6" t="str">
        <v>Business Services</v>
      </c>
      <c r="I550" s="6" t="str">
        <v>65764X</v>
      </c>
      <c r="J550" s="6" t="str">
        <v>Next New Networks</v>
      </c>
      <c r="K550" s="6" t="str">
        <v>Next New Networks</v>
      </c>
      <c r="L550" s="7">
        <f>=DATE(2010,12,16)</f>
        <v>40527.99949074074</v>
      </c>
      <c r="M550" s="7">
        <f>=DATE(2011,3,7)</f>
        <v>40608.99949074074</v>
      </c>
      <c r="W550" s="6" t="str">
        <v>Internet Services &amp; Software</v>
      </c>
      <c r="X550" s="6" t="str">
        <v>Internet Services &amp; Software</v>
      </c>
      <c r="Y550" s="6" t="str">
        <v>Internet Services &amp; Software</v>
      </c>
      <c r="Z550" s="6" t="str">
        <v>Internet Services &amp; Software</v>
      </c>
      <c r="AA550" s="6" t="str">
        <v>Internet Services &amp; Software;Programming Services</v>
      </c>
      <c r="AB550" s="6" t="str">
        <v>Programming Services;Internet Services &amp; Software;Primary Business not Hi-Tech;Telecommunications Equipment;Computer Consulting Services</v>
      </c>
    </row>
    <row r="551">
      <c r="A551" s="6" t="str">
        <v>38259P</v>
      </c>
      <c r="B551" s="6" t="str">
        <v>United States</v>
      </c>
      <c r="C551" s="6" t="str">
        <v>Google Inc</v>
      </c>
      <c r="D551" s="6" t="str">
        <v>Alphabet Inc</v>
      </c>
      <c r="F551" s="6" t="str">
        <v>United States</v>
      </c>
      <c r="G551" s="6" t="str">
        <v>eBook Technologies Inc</v>
      </c>
      <c r="H551" s="6" t="str">
        <v>Business Services</v>
      </c>
      <c r="I551" s="6" t="str">
        <v>27850C</v>
      </c>
      <c r="J551" s="6" t="str">
        <v>eBook Technologies Inc</v>
      </c>
      <c r="K551" s="6" t="str">
        <v>eBook Technologies Inc</v>
      </c>
      <c r="L551" s="7">
        <f>=DATE(2011,1,12)</f>
        <v>40554.99949074074</v>
      </c>
      <c r="M551" s="7">
        <f>=DATE(2011,1,12)</f>
        <v>40554.99949074074</v>
      </c>
      <c r="W551" s="6" t="str">
        <v>Internet Services &amp; Software;Programming Services</v>
      </c>
      <c r="X551" s="6" t="str">
        <v>Internet Services &amp; Software</v>
      </c>
      <c r="Y551" s="6" t="str">
        <v>Internet Services &amp; Software</v>
      </c>
      <c r="Z551" s="6" t="str">
        <v>Internet Services &amp; Software</v>
      </c>
      <c r="AA551" s="6" t="str">
        <v>Programming Services;Internet Services &amp; Software;Primary Business not Hi-Tech;Computer Consulting Services;Telecommunications Equipment</v>
      </c>
      <c r="AB551" s="6" t="str">
        <v>Programming Services;Computer Consulting Services;Primary Business not Hi-Tech;Internet Services &amp; Software;Telecommunications Equipment</v>
      </c>
    </row>
    <row r="552">
      <c r="A552" s="6" t="str">
        <v>023135</v>
      </c>
      <c r="B552" s="6" t="str">
        <v>United States</v>
      </c>
      <c r="C552" s="6" t="str">
        <v>Amazon.com Inc</v>
      </c>
      <c r="D552" s="6" t="str">
        <v>Amazon.com Inc</v>
      </c>
      <c r="F552" s="6" t="str">
        <v>United Kingdom</v>
      </c>
      <c r="G552" s="6" t="str">
        <v>LOVEFiLM International Ltd</v>
      </c>
      <c r="H552" s="6" t="str">
        <v>Motion Picture Production and Distribution</v>
      </c>
      <c r="I552" s="6" t="str">
        <v>54737E</v>
      </c>
      <c r="J552" s="6" t="str">
        <v>Arts Alliance Ltd</v>
      </c>
      <c r="K552" s="6" t="str">
        <v>Arts Alliance Ltd</v>
      </c>
      <c r="L552" s="7">
        <f>=DATE(2011,1,20)</f>
        <v>40562.99949074074</v>
      </c>
      <c r="M552" s="7">
        <f>=DATE(2011,1,28)</f>
        <v>40570.99949074074</v>
      </c>
      <c r="W552" s="6" t="str">
        <v>Primary Business not Hi-Tech</v>
      </c>
      <c r="X552" s="6" t="str">
        <v>Internet Services &amp; Software</v>
      </c>
      <c r="Y552" s="6" t="str">
        <v>Primary Business not Hi-Tech</v>
      </c>
      <c r="Z552" s="6" t="str">
        <v>Primary Business not Hi-Tech</v>
      </c>
      <c r="AA552" s="6" t="str">
        <v>Primary Business not Hi-Tech</v>
      </c>
      <c r="AB552" s="6" t="str">
        <v>Primary Business not Hi-Tech</v>
      </c>
    </row>
    <row r="553">
      <c r="A553" s="6" t="str">
        <v>98787H</v>
      </c>
      <c r="B553" s="6" t="str">
        <v>United States</v>
      </c>
      <c r="C553" s="6" t="str">
        <v>YouTube Inc</v>
      </c>
      <c r="D553" s="6" t="str">
        <v>Alphabet Inc</v>
      </c>
      <c r="F553" s="6" t="str">
        <v>United States</v>
      </c>
      <c r="G553" s="6" t="str">
        <v>fflick Inc</v>
      </c>
      <c r="H553" s="6" t="str">
        <v>Business Services</v>
      </c>
      <c r="I553" s="6" t="str">
        <v>30536N</v>
      </c>
      <c r="J553" s="6" t="str">
        <v>fflick Inc</v>
      </c>
      <c r="K553" s="6" t="str">
        <v>fflick Inc</v>
      </c>
      <c r="L553" s="7">
        <f>=DATE(2011,1,25)</f>
        <v>40567.99949074074</v>
      </c>
      <c r="M553" s="7">
        <f>=DATE(2011,1,26)</f>
        <v>40568.99949074074</v>
      </c>
      <c r="N553" s="8">
        <v>10</v>
      </c>
      <c r="O553" s="8">
        <v>10</v>
      </c>
      <c r="W553" s="6" t="str">
        <v>Internet Services &amp; Software</v>
      </c>
      <c r="X553" s="6" t="str">
        <v>Data Processing Services;Internet Services &amp; Software</v>
      </c>
      <c r="Y553" s="6" t="str">
        <v>Internet Services &amp; Software;Data Processing Services</v>
      </c>
      <c r="Z553" s="6" t="str">
        <v>Internet Services &amp; Software;Data Processing Services</v>
      </c>
      <c r="AA553" s="6" t="str">
        <v>Programming Services;Internet Services &amp; Software</v>
      </c>
      <c r="AB553" s="6" t="str">
        <v>Internet Services &amp; Software;Programming Services;Primary Business not Hi-Tech;Telecommunications Equipment;Computer Consulting Services</v>
      </c>
      <c r="AC553" s="8">
        <v>10</v>
      </c>
      <c r="AD553" s="7">
        <f>=DATE(2011,1,25)</f>
        <v>40567.99949074074</v>
      </c>
      <c r="AJ553" s="8" t="str">
        <v>10.00</v>
      </c>
      <c r="AK553" s="6" t="str">
        <v>US Dollar</v>
      </c>
      <c r="AL553" s="8">
        <v>10</v>
      </c>
    </row>
    <row r="554">
      <c r="A554" s="6" t="str">
        <v>38259P</v>
      </c>
      <c r="B554" s="6" t="str">
        <v>United States</v>
      </c>
      <c r="C554" s="6" t="str">
        <v>Google Inc</v>
      </c>
      <c r="D554" s="6" t="str">
        <v>Alphabet Inc</v>
      </c>
      <c r="F554" s="6" t="str">
        <v>United States</v>
      </c>
      <c r="G554" s="6" t="str">
        <v>SayNow Inc</v>
      </c>
      <c r="H554" s="6" t="str">
        <v>Telecommunications</v>
      </c>
      <c r="I554" s="6" t="str">
        <v>80569K</v>
      </c>
      <c r="J554" s="6" t="str">
        <v>SayNow Inc</v>
      </c>
      <c r="K554" s="6" t="str">
        <v>SayNow Inc</v>
      </c>
      <c r="L554" s="7">
        <f>=DATE(2011,1,25)</f>
        <v>40567.99949074074</v>
      </c>
      <c r="M554" s="7">
        <f>=DATE(2011,1,25)</f>
        <v>40567.99949074074</v>
      </c>
      <c r="W554" s="6" t="str">
        <v>Programming Services;Internet Services &amp; Software</v>
      </c>
      <c r="X554" s="6" t="str">
        <v>Communication/Network Software;Internet Services &amp; Software</v>
      </c>
      <c r="Y554" s="6" t="str">
        <v>Communication/Network Software;Internet Services &amp; Software</v>
      </c>
      <c r="Z554" s="6" t="str">
        <v>Communication/Network Software;Internet Services &amp; Software</v>
      </c>
      <c r="AA554" s="6" t="str">
        <v>Computer Consulting Services;Programming Services;Primary Business not Hi-Tech;Internet Services &amp; Software;Telecommunications Equipment</v>
      </c>
      <c r="AB554" s="6" t="str">
        <v>Programming Services;Internet Services &amp; Software;Primary Business not Hi-Tech;Computer Consulting Services;Telecommunications Equipment</v>
      </c>
    </row>
    <row r="555">
      <c r="A555" s="6" t="str">
        <v>53578A</v>
      </c>
      <c r="B555" s="6" t="str">
        <v>United States</v>
      </c>
      <c r="C555" s="6" t="str">
        <v>LinkedIn Corp</v>
      </c>
      <c r="D555" s="6" t="str">
        <v>LinkedIn Corp</v>
      </c>
      <c r="F555" s="6" t="str">
        <v>United States</v>
      </c>
      <c r="G555" s="6" t="str">
        <v>CardMunch Inc</v>
      </c>
      <c r="H555" s="6" t="str">
        <v>Prepackaged Software</v>
      </c>
      <c r="I555" s="6" t="str">
        <v>73696X</v>
      </c>
      <c r="J555" s="6" t="str">
        <v>CardMunch Inc</v>
      </c>
      <c r="K555" s="6" t="str">
        <v>CardMunch Inc</v>
      </c>
      <c r="L555" s="7">
        <f>=DATE(2011,1,26)</f>
        <v>40568.99949074074</v>
      </c>
      <c r="M555" s="7">
        <f>=DATE(2011,1,26)</f>
        <v>40568.99949074074</v>
      </c>
      <c r="W555" s="6" t="str">
        <v>Internet Services &amp; Software</v>
      </c>
      <c r="X555" s="6" t="str">
        <v>Communication/Network Software;Internet Services &amp; Software</v>
      </c>
      <c r="Y555" s="6" t="str">
        <v>Communication/Network Software;Internet Services &amp; Software</v>
      </c>
      <c r="Z555" s="6" t="str">
        <v>Communication/Network Software;Internet Services &amp; Software</v>
      </c>
      <c r="AA555" s="6" t="str">
        <v>Internet Services &amp; Software</v>
      </c>
      <c r="AB555" s="6" t="str">
        <v>Internet Services &amp; Software</v>
      </c>
    </row>
    <row r="556">
      <c r="A556" s="6" t="str">
        <v>00507V</v>
      </c>
      <c r="B556" s="6" t="str">
        <v>United States</v>
      </c>
      <c r="C556" s="6" t="str">
        <v>Activision Blizzard Inc</v>
      </c>
      <c r="D556" s="6" t="str">
        <v>Vivendi SE</v>
      </c>
      <c r="F556" s="6" t="str">
        <v>United States</v>
      </c>
      <c r="G556" s="6" t="str">
        <v>Activision Blizzard Inc</v>
      </c>
      <c r="H556" s="6" t="str">
        <v>Prepackaged Software</v>
      </c>
      <c r="I556" s="6" t="str">
        <v>00507V</v>
      </c>
      <c r="J556" s="6" t="str">
        <v>Vivendi SE</v>
      </c>
      <c r="K556" s="6" t="str">
        <v>Vivendi SE</v>
      </c>
      <c r="L556" s="7">
        <f>=DATE(2011,2,9)</f>
        <v>40582.99949074074</v>
      </c>
      <c r="N556" s="8">
        <v>1500</v>
      </c>
      <c r="O556" s="8">
        <v>1500</v>
      </c>
      <c r="R556" s="8">
        <v>417</v>
      </c>
      <c r="S556" s="8">
        <v>4447</v>
      </c>
      <c r="T556" s="8">
        <v>-1053</v>
      </c>
      <c r="U556" s="8">
        <v>-312</v>
      </c>
      <c r="V556" s="8">
        <v>1376</v>
      </c>
      <c r="W556" s="6" t="str">
        <v>Other Software (inq. Games);Operating Systems;Other Computer Systems</v>
      </c>
      <c r="X556" s="6" t="str">
        <v>Other Software (inq. Games);Operating Systems;Other Computer Systems</v>
      </c>
      <c r="Y556" s="6" t="str">
        <v>Primary Business not Hi-Tech;Internet Services &amp; Software;Other Software (inq. Games)</v>
      </c>
      <c r="Z556" s="6" t="str">
        <v>Primary Business not Hi-Tech;Internet Services &amp; Software;Other Software (inq. Games)</v>
      </c>
      <c r="AA556" s="6" t="str">
        <v>Other Software (inq. Games);Internet Services &amp; Software;Primary Business not Hi-Tech</v>
      </c>
      <c r="AB556" s="6" t="str">
        <v>Internet Services &amp; Software;Other Software (inq. Games);Primary Business not Hi-Tech</v>
      </c>
      <c r="AC556" s="8">
        <v>1500</v>
      </c>
      <c r="AD556" s="7">
        <f>=DATE(2011,2,9)</f>
        <v>40582.99949074074</v>
      </c>
      <c r="AJ556" s="8" t="str">
        <v>1,500.00</v>
      </c>
      <c r="AK556" s="6" t="str">
        <v>US Dollar</v>
      </c>
      <c r="AL556" s="8">
        <v>1500</v>
      </c>
    </row>
    <row r="557">
      <c r="A557" s="6" t="str">
        <v>38259P</v>
      </c>
      <c r="B557" s="6" t="str">
        <v>United States</v>
      </c>
      <c r="C557" s="6" t="str">
        <v>Google Inc</v>
      </c>
      <c r="D557" s="6" t="str">
        <v>Alphabet Inc</v>
      </c>
      <c r="E557" s="6" t="str">
        <v>Facebook Inc</v>
      </c>
      <c r="F557" s="6" t="str">
        <v>United States</v>
      </c>
      <c r="G557" s="6" t="str">
        <v>Twitter Inc</v>
      </c>
      <c r="H557" s="6" t="str">
        <v>Business Services</v>
      </c>
      <c r="I557" s="6" t="str">
        <v>90184L</v>
      </c>
      <c r="J557" s="6" t="str">
        <v>Twitter Inc</v>
      </c>
      <c r="K557" s="6" t="str">
        <v>Twitter Inc</v>
      </c>
      <c r="L557" s="7">
        <f>=DATE(2011,2,10)</f>
        <v>40583.99949074074</v>
      </c>
      <c r="R557" s="8">
        <v>-67.324</v>
      </c>
      <c r="S557" s="8">
        <v>28.278</v>
      </c>
      <c r="T557" s="8">
        <v>114.315</v>
      </c>
      <c r="U557" s="8">
        <v>48.974</v>
      </c>
      <c r="V557" s="8">
        <v>-48.737</v>
      </c>
      <c r="W557" s="6" t="str">
        <v>Programming Services;Internet Services &amp; Software</v>
      </c>
      <c r="X557" s="6" t="str">
        <v>Internet Services &amp; Software</v>
      </c>
      <c r="Y557" s="6" t="str">
        <v>Internet Services &amp; Software</v>
      </c>
      <c r="Z557" s="6" t="str">
        <v>Internet Services &amp; Software</v>
      </c>
      <c r="AA557" s="6" t="str">
        <v>Internet Services &amp; Software;Programming Services;Computer Consulting Services;Primary Business not Hi-Tech;Telecommunications Equipment</v>
      </c>
      <c r="AB557" s="6" t="str">
        <v>Internet Services &amp; Software;Programming Services;Primary Business not Hi-Tech;Computer Consulting Services;Telecommunications Equipment</v>
      </c>
    </row>
    <row r="558">
      <c r="A558" s="6" t="str">
        <v>30303M</v>
      </c>
      <c r="B558" s="6" t="str">
        <v>United States</v>
      </c>
      <c r="C558" s="6" t="str">
        <v>Facebook Inc</v>
      </c>
      <c r="D558" s="6" t="str">
        <v>Facebook Inc</v>
      </c>
      <c r="E558" s="6" t="str">
        <v>Google Inc</v>
      </c>
      <c r="F558" s="6" t="str">
        <v>United States</v>
      </c>
      <c r="G558" s="6" t="str">
        <v>Twitter Inc</v>
      </c>
      <c r="H558" s="6" t="str">
        <v>Business Services</v>
      </c>
      <c r="I558" s="6" t="str">
        <v>90184L</v>
      </c>
      <c r="J558" s="6" t="str">
        <v>Twitter Inc</v>
      </c>
      <c r="K558" s="6" t="str">
        <v>Twitter Inc</v>
      </c>
      <c r="L558" s="7">
        <f>=DATE(2011,2,10)</f>
        <v>40583.99949074074</v>
      </c>
      <c r="R558" s="8">
        <v>-67.324</v>
      </c>
      <c r="S558" s="8">
        <v>28.278</v>
      </c>
      <c r="T558" s="8">
        <v>114.315</v>
      </c>
      <c r="U558" s="8">
        <v>48.974</v>
      </c>
      <c r="V558" s="8">
        <v>-48.737</v>
      </c>
      <c r="W558" s="6" t="str">
        <v>Internet Services &amp; Software</v>
      </c>
      <c r="X558" s="6" t="str">
        <v>Internet Services &amp; Software</v>
      </c>
      <c r="Y558" s="6" t="str">
        <v>Internet Services &amp; Software</v>
      </c>
      <c r="Z558" s="6" t="str">
        <v>Internet Services &amp; Software</v>
      </c>
      <c r="AA558" s="6" t="str">
        <v>Internet Services &amp; Software</v>
      </c>
      <c r="AB558" s="6" t="str">
        <v>Internet Services &amp; Software</v>
      </c>
    </row>
    <row r="559">
      <c r="A559" s="6" t="str">
        <v>30303M</v>
      </c>
      <c r="B559" s="6" t="str">
        <v>United States</v>
      </c>
      <c r="C559" s="6" t="str">
        <v>Facebook Inc</v>
      </c>
      <c r="D559" s="6" t="str">
        <v>Facebook Inc</v>
      </c>
      <c r="F559" s="6" t="str">
        <v>United States</v>
      </c>
      <c r="G559" s="6" t="str">
        <v>Beluga Inc</v>
      </c>
      <c r="H559" s="6" t="str">
        <v>Prepackaged Software</v>
      </c>
      <c r="I559" s="6" t="str">
        <v>08116L</v>
      </c>
      <c r="J559" s="6" t="str">
        <v>Beluga Inc</v>
      </c>
      <c r="K559" s="6" t="str">
        <v>Beluga Inc</v>
      </c>
      <c r="L559" s="7">
        <f>=DATE(2011,3,1)</f>
        <v>40602.99949074074</v>
      </c>
      <c r="M559" s="7">
        <f>=DATE(2011,3,1)</f>
        <v>40602.99949074074</v>
      </c>
      <c r="W559" s="6" t="str">
        <v>Internet Services &amp; Software</v>
      </c>
      <c r="X559" s="6" t="str">
        <v>Communication/Network Software;Internet Services &amp; Software</v>
      </c>
      <c r="Y559" s="6" t="str">
        <v>Internet Services &amp; Software;Communication/Network Software</v>
      </c>
      <c r="Z559" s="6" t="str">
        <v>Internet Services &amp; Software;Communication/Network Software</v>
      </c>
      <c r="AA559" s="6" t="str">
        <v>Internet Services &amp; Software</v>
      </c>
      <c r="AB559" s="6" t="str">
        <v>Internet Services &amp; Software</v>
      </c>
    </row>
    <row r="560">
      <c r="A560" s="6" t="str">
        <v>38259P</v>
      </c>
      <c r="B560" s="6" t="str">
        <v>United States</v>
      </c>
      <c r="C560" s="6" t="str">
        <v>Google Inc</v>
      </c>
      <c r="D560" s="6" t="str">
        <v>Alphabet Inc</v>
      </c>
      <c r="F560" s="6" t="str">
        <v>Germany</v>
      </c>
      <c r="G560" s="6" t="str">
        <v>Zynamics GmbH</v>
      </c>
      <c r="H560" s="6" t="str">
        <v>Prepackaged Software</v>
      </c>
      <c r="I560" s="6" t="str">
        <v>99382H</v>
      </c>
      <c r="J560" s="6" t="str">
        <v>Zynamics GmbH</v>
      </c>
      <c r="K560" s="6" t="str">
        <v>Zynamics GmbH</v>
      </c>
      <c r="L560" s="7">
        <f>=DATE(2011,3,1)</f>
        <v>40602.99949074074</v>
      </c>
      <c r="M560" s="7">
        <f>=DATE(2011,3,1)</f>
        <v>40602.99949074074</v>
      </c>
      <c r="W560" s="6" t="str">
        <v>Programming Services;Internet Services &amp; Software</v>
      </c>
      <c r="X560" s="6" t="str">
        <v>Other Software (inq. Games)</v>
      </c>
      <c r="Y560" s="6" t="str">
        <v>Other Software (inq. Games)</v>
      </c>
      <c r="Z560" s="6" t="str">
        <v>Other Software (inq. Games)</v>
      </c>
      <c r="AA560" s="6" t="str">
        <v>Telecommunications Equipment;Primary Business not Hi-Tech;Internet Services &amp; Software;Computer Consulting Services;Programming Services</v>
      </c>
      <c r="AB560" s="6" t="str">
        <v>Internet Services &amp; Software;Computer Consulting Services;Programming Services;Primary Business not Hi-Tech;Telecommunications Equipment</v>
      </c>
    </row>
    <row r="561">
      <c r="A561" s="6" t="str">
        <v>893929</v>
      </c>
      <c r="B561" s="6" t="str">
        <v>United States</v>
      </c>
      <c r="C561" s="6" t="str">
        <v>Transcend Services Inc</v>
      </c>
      <c r="D561" s="6" t="str">
        <v>Transcend Services Inc</v>
      </c>
      <c r="F561" s="6" t="str">
        <v>United States</v>
      </c>
      <c r="G561" s="6" t="str">
        <v>DTS America Inc</v>
      </c>
      <c r="H561" s="6" t="str">
        <v>Business Services</v>
      </c>
      <c r="I561" s="6" t="str">
        <v>42091Z</v>
      </c>
      <c r="J561" s="6" t="str">
        <v>DTS America Inc</v>
      </c>
      <c r="K561" s="6" t="str">
        <v>DTS America Inc</v>
      </c>
      <c r="L561" s="7">
        <f>=DATE(2011,3,3)</f>
        <v>40604.99949074074</v>
      </c>
      <c r="M561" s="7">
        <f>=DATE(2011,5,3)</f>
        <v>40665.99949074074</v>
      </c>
      <c r="N561" s="8">
        <v>12.1</v>
      </c>
      <c r="O561" s="8">
        <v>12.1</v>
      </c>
      <c r="W561" s="6" t="str">
        <v>Data Processing Services;Other Computer Related Svcs</v>
      </c>
      <c r="X561" s="6" t="str">
        <v>Data Processing Services</v>
      </c>
      <c r="Y561" s="6" t="str">
        <v>Data Processing Services</v>
      </c>
      <c r="Z561" s="6" t="str">
        <v>Data Processing Services</v>
      </c>
      <c r="AA561" s="6" t="str">
        <v>Other Computer Related Svcs;Data Processing Services</v>
      </c>
      <c r="AB561" s="6" t="str">
        <v>Other Computer Related Svcs;Data Processing Services</v>
      </c>
      <c r="AC561" s="8">
        <v>12.1</v>
      </c>
      <c r="AD561" s="7">
        <f>=DATE(2011,3,3)</f>
        <v>40604.99949074074</v>
      </c>
      <c r="AJ561" s="8" t="str">
        <v>4.20;7.90</v>
      </c>
      <c r="AK561" s="6" t="str">
        <v>US Dollar;US Dollar</v>
      </c>
      <c r="AL561" s="8">
        <v>12.1</v>
      </c>
    </row>
    <row r="562">
      <c r="A562" s="6" t="str">
        <v>38259P</v>
      </c>
      <c r="B562" s="6" t="str">
        <v>United States</v>
      </c>
      <c r="C562" s="6" t="str">
        <v>Google Inc</v>
      </c>
      <c r="D562" s="6" t="str">
        <v>Alphabet Inc</v>
      </c>
      <c r="F562" s="6" t="str">
        <v>United Kingdom</v>
      </c>
      <c r="G562" s="6" t="str">
        <v>BeatThatQuote.com Ltd</v>
      </c>
      <c r="H562" s="6" t="str">
        <v>Business Services</v>
      </c>
      <c r="I562" s="6" t="str">
        <v>07425F</v>
      </c>
      <c r="J562" s="6" t="str">
        <v>BeatThatQuote.com Ltd</v>
      </c>
      <c r="K562" s="6" t="str">
        <v>BeatThatQuote.com Ltd</v>
      </c>
      <c r="L562" s="7">
        <f>=DATE(2011,3,7)</f>
        <v>40608.99949074074</v>
      </c>
      <c r="M562" s="7">
        <f>=DATE(2011,3,7)</f>
        <v>40608.99949074074</v>
      </c>
      <c r="N562" s="8">
        <v>61.0743908761016</v>
      </c>
      <c r="O562" s="8">
        <v>61.0743908761016</v>
      </c>
      <c r="W562" s="6" t="str">
        <v>Internet Services &amp; Software;Programming Services</v>
      </c>
      <c r="X562" s="6" t="str">
        <v>Internet Services &amp; Software</v>
      </c>
      <c r="Y562" s="6" t="str">
        <v>Internet Services &amp; Software</v>
      </c>
      <c r="Z562" s="6" t="str">
        <v>Internet Services &amp; Software</v>
      </c>
      <c r="AA562" s="6" t="str">
        <v>Computer Consulting Services;Telecommunications Equipment;Primary Business not Hi-Tech;Programming Services;Internet Services &amp; Software</v>
      </c>
      <c r="AB562" s="6" t="str">
        <v>Internet Services &amp; Software;Programming Services;Computer Consulting Services;Primary Business not Hi-Tech;Telecommunications Equipment</v>
      </c>
      <c r="AC562" s="8">
        <v>61.0743908761016</v>
      </c>
      <c r="AD562" s="7">
        <f>=DATE(2011,3,7)</f>
        <v>40608.99949074074</v>
      </c>
      <c r="AJ562" s="8" t="str">
        <v>61.07</v>
      </c>
      <c r="AK562" s="6" t="str">
        <v>British Pound Sterling</v>
      </c>
      <c r="AL562" s="8">
        <v>61.0743908761016</v>
      </c>
    </row>
    <row r="563">
      <c r="A563" s="6" t="str">
        <v>98787H</v>
      </c>
      <c r="B563" s="6" t="str">
        <v>United States</v>
      </c>
      <c r="C563" s="6" t="str">
        <v>YouTube Inc</v>
      </c>
      <c r="D563" s="6" t="str">
        <v>Alphabet Inc</v>
      </c>
      <c r="F563" s="6" t="str">
        <v>Ireland</v>
      </c>
      <c r="G563" s="6" t="str">
        <v>Green Parrot Pictures</v>
      </c>
      <c r="H563" s="6" t="str">
        <v>Business Services</v>
      </c>
      <c r="I563" s="6" t="str">
        <v>39540V</v>
      </c>
      <c r="J563" s="6" t="str">
        <v>Green Parrot Pictures</v>
      </c>
      <c r="K563" s="6" t="str">
        <v>Green Parrot Pictures</v>
      </c>
      <c r="L563" s="7">
        <f>=DATE(2011,3,15)</f>
        <v>40616.99949074074</v>
      </c>
      <c r="M563" s="7">
        <f>=DATE(2011,3,15)</f>
        <v>40616.99949074074</v>
      </c>
      <c r="W563" s="6" t="str">
        <v>Internet Services &amp; Software</v>
      </c>
      <c r="X563" s="6" t="str">
        <v>Internet Services &amp; Software</v>
      </c>
      <c r="Y563" s="6" t="str">
        <v>Internet Services &amp; Software</v>
      </c>
      <c r="Z563" s="6" t="str">
        <v>Internet Services &amp; Software</v>
      </c>
      <c r="AA563" s="6" t="str">
        <v>Programming Services;Internet Services &amp; Software</v>
      </c>
      <c r="AB563" s="6" t="str">
        <v>Programming Services;Computer Consulting Services;Internet Services &amp; Software;Telecommunications Equipment;Primary Business not Hi-Tech</v>
      </c>
    </row>
    <row r="564">
      <c r="A564" s="6" t="str">
        <v>30303M</v>
      </c>
      <c r="B564" s="6" t="str">
        <v>United States</v>
      </c>
      <c r="C564" s="6" t="str">
        <v>Facebook Inc</v>
      </c>
      <c r="D564" s="6" t="str">
        <v>Facebook Inc</v>
      </c>
      <c r="F564" s="6" t="str">
        <v>Israel</v>
      </c>
      <c r="G564" s="6" t="str">
        <v>Snaptu Ltd</v>
      </c>
      <c r="H564" s="6" t="str">
        <v>Prepackaged Software</v>
      </c>
      <c r="I564" s="6" t="str">
        <v>83987Y</v>
      </c>
      <c r="J564" s="6" t="str">
        <v>Snaptu Ltd</v>
      </c>
      <c r="K564" s="6" t="str">
        <v>Snaptu Ltd</v>
      </c>
      <c r="L564" s="7">
        <f>=DATE(2011,3,20)</f>
        <v>40621.99949074074</v>
      </c>
      <c r="M564" s="7">
        <f>=DATE(2011,3,20)</f>
        <v>40621.99949074074</v>
      </c>
      <c r="W564" s="6" t="str">
        <v>Internet Services &amp; Software</v>
      </c>
      <c r="X564" s="6" t="str">
        <v>Other Software (inq. Games)</v>
      </c>
      <c r="Y564" s="6" t="str">
        <v>Other Software (inq. Games)</v>
      </c>
      <c r="Z564" s="6" t="str">
        <v>Other Software (inq. Games)</v>
      </c>
      <c r="AA564" s="6" t="str">
        <v>Internet Services &amp; Software</v>
      </c>
      <c r="AB564" s="6" t="str">
        <v>Internet Services &amp; Software</v>
      </c>
    </row>
    <row r="565">
      <c r="A565" s="6" t="str">
        <v>38259P</v>
      </c>
      <c r="B565" s="6" t="str">
        <v>United States</v>
      </c>
      <c r="C565" s="6" t="str">
        <v>Google Inc</v>
      </c>
      <c r="D565" s="6" t="str">
        <v>Alphabet Inc</v>
      </c>
      <c r="F565" s="6" t="str">
        <v>United States</v>
      </c>
      <c r="G565" s="6" t="str">
        <v>TalkBin</v>
      </c>
      <c r="H565" s="6" t="str">
        <v>Business Services</v>
      </c>
      <c r="I565" s="6" t="str">
        <v>91099Y</v>
      </c>
      <c r="J565" s="6" t="str">
        <v>TalkBin</v>
      </c>
      <c r="K565" s="6" t="str">
        <v>TalkBin</v>
      </c>
      <c r="L565" s="7">
        <f>=DATE(2011,4,1)</f>
        <v>40633.99949074074</v>
      </c>
      <c r="M565" s="7">
        <f>=DATE(2011,4,1)</f>
        <v>40633.99949074074</v>
      </c>
      <c r="W565" s="6" t="str">
        <v>Programming Services;Internet Services &amp; Software</v>
      </c>
      <c r="X565" s="6" t="str">
        <v>Internet Services &amp; Software</v>
      </c>
      <c r="Y565" s="6" t="str">
        <v>Internet Services &amp; Software</v>
      </c>
      <c r="Z565" s="6" t="str">
        <v>Internet Services &amp; Software</v>
      </c>
      <c r="AA565" s="6" t="str">
        <v>Telecommunications Equipment;Programming Services;Computer Consulting Services;Primary Business not Hi-Tech;Internet Services &amp; Software</v>
      </c>
      <c r="AB565" s="6" t="str">
        <v>Computer Consulting Services;Telecommunications Equipment;Primary Business not Hi-Tech;Internet Services &amp; Software;Programming Services</v>
      </c>
    </row>
    <row r="566">
      <c r="A566" s="6" t="str">
        <v>38259P</v>
      </c>
      <c r="B566" s="6" t="str">
        <v>United States</v>
      </c>
      <c r="C566" s="6" t="str">
        <v>Google Inc</v>
      </c>
      <c r="D566" s="6" t="str">
        <v>Alphabet Inc</v>
      </c>
      <c r="F566" s="6" t="str">
        <v>Germany</v>
      </c>
      <c r="G566" s="6" t="str">
        <v>Capital Stage AG-Solar Farm Brandenburg</v>
      </c>
      <c r="H566" s="6" t="str">
        <v>Electric, Gas, and Water Distribution</v>
      </c>
      <c r="I566" s="6" t="str">
        <v>14118Y</v>
      </c>
      <c r="J566" s="6" t="str">
        <v>Capital Stage AG</v>
      </c>
      <c r="K566" s="6" t="str">
        <v>Capital Stage AG</v>
      </c>
      <c r="L566" s="7">
        <f>=DATE(2011,4,7)</f>
        <v>40639.99949074074</v>
      </c>
      <c r="M566" s="7">
        <f>=DATE(2011,5,16)</f>
        <v>40678.99949074074</v>
      </c>
      <c r="W566" s="6" t="str">
        <v>Internet Services &amp; Software;Programming Services</v>
      </c>
      <c r="X566" s="6" t="str">
        <v>Semiconductors</v>
      </c>
      <c r="Y566" s="6" t="str">
        <v>Primary Business not Hi-Tech</v>
      </c>
      <c r="Z566" s="6" t="str">
        <v>Primary Business not Hi-Tech</v>
      </c>
      <c r="AA566" s="6" t="str">
        <v>Telecommunications Equipment;Programming Services;Computer Consulting Services;Primary Business not Hi-Tech;Internet Services &amp; Software</v>
      </c>
      <c r="AB566" s="6" t="str">
        <v>Primary Business not Hi-Tech;Computer Consulting Services;Telecommunications Equipment;Internet Services &amp; Software;Programming Services</v>
      </c>
    </row>
    <row r="567">
      <c r="A567" s="6" t="str">
        <v>594918</v>
      </c>
      <c r="B567" s="6" t="str">
        <v>United States</v>
      </c>
      <c r="C567" s="6" t="str">
        <v>Microsoft Corp</v>
      </c>
      <c r="D567" s="6" t="str">
        <v>Microsoft Corp</v>
      </c>
      <c r="F567" s="6" t="str">
        <v>Japan</v>
      </c>
      <c r="G567" s="6" t="str">
        <v>Toyota Media Service Corp</v>
      </c>
      <c r="H567" s="6" t="str">
        <v>Advertising Services</v>
      </c>
      <c r="I567" s="6" t="str">
        <v>86021T</v>
      </c>
      <c r="J567" s="6" t="str">
        <v>Toyota Motor Corp</v>
      </c>
      <c r="K567" s="6" t="str">
        <v>Toyota Motor Corp</v>
      </c>
      <c r="L567" s="7">
        <f>=DATE(2011,4,7)</f>
        <v>40639.99949074074</v>
      </c>
      <c r="N567" s="8">
        <v>11.7716303708064</v>
      </c>
      <c r="O567" s="8">
        <v>11.7716303708064</v>
      </c>
      <c r="W567" s="6" t="str">
        <v>Computer Consulting Services;Internet Services &amp; Software;Applications Software(Business;Operating Systems;Other Peripherals;Monitors/Terminals</v>
      </c>
      <c r="X567" s="6" t="str">
        <v>Programming Services</v>
      </c>
      <c r="Y567" s="6" t="str">
        <v>Primary Business not Hi-Tech</v>
      </c>
      <c r="Z567" s="6" t="str">
        <v>Primary Business not Hi-Tech</v>
      </c>
      <c r="AA567" s="6" t="str">
        <v>Internet Services &amp; Software;Computer Consulting Services;Applications Software(Business;Monitors/Terminals;Other Peripherals;Operating Systems</v>
      </c>
      <c r="AB567" s="6" t="str">
        <v>Internet Services &amp; Software;Monitors/Terminals;Operating Systems;Other Peripherals;Applications Software(Business;Computer Consulting Services</v>
      </c>
      <c r="AC567" s="8">
        <v>11.7716303708064</v>
      </c>
      <c r="AD567" s="7">
        <f>=DATE(2011,4,8)</f>
        <v>40640.99949074074</v>
      </c>
      <c r="AJ567" s="8" t="str">
        <v>11.77</v>
      </c>
      <c r="AK567" s="6" t="str">
        <v>Japanese Yen</v>
      </c>
      <c r="AL567" s="8">
        <v>11.7716303708064</v>
      </c>
    </row>
    <row r="568">
      <c r="A568" s="6" t="str">
        <v>38259P</v>
      </c>
      <c r="B568" s="6" t="str">
        <v>United States</v>
      </c>
      <c r="C568" s="6" t="str">
        <v>Google Inc</v>
      </c>
      <c r="D568" s="6" t="str">
        <v>Alphabet Inc</v>
      </c>
      <c r="F568" s="6" t="str">
        <v>Canada</v>
      </c>
      <c r="G568" s="6" t="str">
        <v>PushLife Inc</v>
      </c>
      <c r="H568" s="6" t="str">
        <v>Prepackaged Software</v>
      </c>
      <c r="I568" s="6" t="str">
        <v>76543V</v>
      </c>
      <c r="J568" s="6" t="str">
        <v>PushLife Inc</v>
      </c>
      <c r="K568" s="6" t="str">
        <v>PushLife Inc</v>
      </c>
      <c r="L568" s="7">
        <f>=DATE(2011,4,11)</f>
        <v>40643.99949074074</v>
      </c>
      <c r="M568" s="7">
        <f>=DATE(2011,4,11)</f>
        <v>40643.99949074074</v>
      </c>
      <c r="W568" s="6" t="str">
        <v>Internet Services &amp; Software;Programming Services</v>
      </c>
      <c r="X568" s="6" t="str">
        <v>Other Software (inq. Games)</v>
      </c>
      <c r="Y568" s="6" t="str">
        <v>Other Software (inq. Games)</v>
      </c>
      <c r="Z568" s="6" t="str">
        <v>Other Software (inq. Games)</v>
      </c>
      <c r="AA568" s="6" t="str">
        <v>Computer Consulting Services;Telecommunications Equipment;Programming Services;Internet Services &amp; Software;Primary Business not Hi-Tech</v>
      </c>
      <c r="AB568" s="6" t="str">
        <v>Primary Business not Hi-Tech;Internet Services &amp; Software;Programming Services;Telecommunications Equipment;Computer Consulting Services</v>
      </c>
    </row>
    <row r="569">
      <c r="A569" s="6" t="str">
        <v>30303M</v>
      </c>
      <c r="B569" s="6" t="str">
        <v>United States</v>
      </c>
      <c r="C569" s="6" t="str">
        <v>Facebook Inc</v>
      </c>
      <c r="D569" s="6" t="str">
        <v>Facebook Inc</v>
      </c>
      <c r="E569" s="6" t="str">
        <v>Microsoft Corp;Facebook Inc</v>
      </c>
      <c r="F569" s="6" t="str">
        <v>Luxembourg</v>
      </c>
      <c r="G569" s="6" t="str">
        <v>Skype Technologies SA</v>
      </c>
      <c r="H569" s="6" t="str">
        <v>Prepackaged Software</v>
      </c>
      <c r="I569" s="6" t="str">
        <v>83021J</v>
      </c>
      <c r="J569" s="6" t="str">
        <v>Skype Global Sarl</v>
      </c>
      <c r="K569" s="6" t="str">
        <v>Skype Global Sarl</v>
      </c>
      <c r="L569" s="7">
        <f>=DATE(2011,5,5)</f>
        <v>40667.99949074074</v>
      </c>
      <c r="Q569" s="8" t="str">
        <v>;8,505.13</v>
      </c>
      <c r="W569" s="6" t="str">
        <v>Internet Services &amp; Software</v>
      </c>
      <c r="X569" s="6" t="str">
        <v>Telecommunications Equipment;Internet Services &amp; Software;Communication/Network Software</v>
      </c>
      <c r="Y569" s="6" t="str">
        <v>Utilities/File Mgmt Software;Communication/Network Software</v>
      </c>
      <c r="Z569" s="6" t="str">
        <v>Utilities/File Mgmt Software;Communication/Network Software</v>
      </c>
      <c r="AA569" s="6" t="str">
        <v>Internet Services &amp; Software</v>
      </c>
      <c r="AB569" s="6" t="str">
        <v>Internet Services &amp; Software</v>
      </c>
    </row>
    <row r="570">
      <c r="A570" s="6" t="str">
        <v>38259P</v>
      </c>
      <c r="B570" s="6" t="str">
        <v>United States</v>
      </c>
      <c r="C570" s="6" t="str">
        <v>Google Inc</v>
      </c>
      <c r="D570" s="6" t="str">
        <v>Alphabet Inc</v>
      </c>
      <c r="E570" s="6" t="str">
        <v>Microsoft Corp;Facebook Inc</v>
      </c>
      <c r="F570" s="6" t="str">
        <v>Luxembourg</v>
      </c>
      <c r="G570" s="6" t="str">
        <v>Skype Sarl</v>
      </c>
      <c r="H570" s="6" t="str">
        <v>Prepackaged Software</v>
      </c>
      <c r="I570" s="6" t="str">
        <v>83888N</v>
      </c>
      <c r="J570" s="6" t="str">
        <v>Skype Global Sarl</v>
      </c>
      <c r="K570" s="6" t="str">
        <v>Skype Global Sarl</v>
      </c>
      <c r="L570" s="7">
        <f>=DATE(2011,5,5)</f>
        <v>40667.99949074074</v>
      </c>
      <c r="Q570" s="8" t="str">
        <v>;8,505.13</v>
      </c>
      <c r="R570" s="8">
        <v>42.8332553006488</v>
      </c>
      <c r="S570" s="8">
        <v>858.837535950773</v>
      </c>
      <c r="T570" s="8">
        <v>-86.86219836</v>
      </c>
      <c r="U570" s="8">
        <v>-35.023438352</v>
      </c>
      <c r="V570" s="8">
        <v>156.847470668</v>
      </c>
      <c r="W570" s="6" t="str">
        <v>Programming Services;Internet Services &amp; Software</v>
      </c>
      <c r="X570" s="6" t="str">
        <v>Internet Services &amp; Software;Communication/Network Software;Telecommunications Equipment</v>
      </c>
      <c r="Y570" s="6" t="str">
        <v>Communication/Network Software;Utilities/File Mgmt Software</v>
      </c>
      <c r="Z570" s="6" t="str">
        <v>Communication/Network Software;Utilities/File Mgmt Software</v>
      </c>
      <c r="AA570" s="6" t="str">
        <v>Computer Consulting Services;Programming Services;Primary Business not Hi-Tech;Telecommunications Equipment;Internet Services &amp; Software</v>
      </c>
      <c r="AB570" s="6" t="str">
        <v>Primary Business not Hi-Tech;Telecommunications Equipment;Programming Services;Computer Consulting Services;Internet Services &amp; Software</v>
      </c>
    </row>
    <row r="571">
      <c r="A571" s="6" t="str">
        <v>594918</v>
      </c>
      <c r="B571" s="6" t="str">
        <v>United States</v>
      </c>
      <c r="C571" s="6" t="str">
        <v>Microsoft Corp</v>
      </c>
      <c r="D571" s="6" t="str">
        <v>Microsoft Corp</v>
      </c>
      <c r="F571" s="6" t="str">
        <v>Luxembourg</v>
      </c>
      <c r="G571" s="6" t="str">
        <v>Skype Global Sarl</v>
      </c>
      <c r="H571" s="6" t="str">
        <v>Prepackaged Software</v>
      </c>
      <c r="I571" s="6" t="str">
        <v>81412X</v>
      </c>
      <c r="J571" s="6" t="str">
        <v>Skype Global Sarl</v>
      </c>
      <c r="K571" s="6" t="str">
        <v>Skype Global Sarl</v>
      </c>
      <c r="L571" s="7">
        <f>=DATE(2011,5,10)</f>
        <v>40672.99949074074</v>
      </c>
      <c r="M571" s="7">
        <f>=DATE(2011,10,13)</f>
        <v>40828.99949074074</v>
      </c>
      <c r="N571" s="8">
        <v>8505.12724765899</v>
      </c>
      <c r="O571" s="8">
        <v>8505.12724765899</v>
      </c>
      <c r="P571" s="8" t="str">
        <v>8,497.22</v>
      </c>
      <c r="R571" s="8">
        <v>6.89719751187212</v>
      </c>
      <c r="S571" s="8">
        <v>858.837535950773</v>
      </c>
      <c r="T571" s="8">
        <v>-86.86219836</v>
      </c>
      <c r="U571" s="8">
        <v>-35.023438352</v>
      </c>
      <c r="V571" s="8">
        <v>156.847470668</v>
      </c>
      <c r="W571" s="6" t="str">
        <v>Operating Systems;Computer Consulting Services;Monitors/Terminals;Internet Services &amp; Software;Applications Software(Business;Other Peripherals</v>
      </c>
      <c r="X571" s="6" t="str">
        <v>Utilities/File Mgmt Software;Communication/Network Software</v>
      </c>
      <c r="Y571" s="6" t="str">
        <v>Communication/Network Software;Utilities/File Mgmt Software</v>
      </c>
      <c r="Z571" s="6" t="str">
        <v>Communication/Network Software;Utilities/File Mgmt Software</v>
      </c>
      <c r="AA571" s="6" t="str">
        <v>Computer Consulting Services;Other Peripherals;Monitors/Terminals;Operating Systems;Applications Software(Business;Internet Services &amp; Software</v>
      </c>
      <c r="AB571" s="6" t="str">
        <v>Computer Consulting Services;Operating Systems;Other Peripherals;Applications Software(Business;Monitors/Terminals;Internet Services &amp; Software</v>
      </c>
      <c r="AC571" s="8">
        <v>8505.12724765899</v>
      </c>
      <c r="AD571" s="7">
        <f>=DATE(2011,5,10)</f>
        <v>40672.99949074074</v>
      </c>
      <c r="AE571" s="8">
        <v>8498.32727374045</v>
      </c>
      <c r="AF571" s="8" t="str">
        <v>9,150.76</v>
      </c>
      <c r="AG571" s="8" t="str">
        <v>8,749.32</v>
      </c>
      <c r="AH571" s="8" t="str">
        <v>8,150.33</v>
      </c>
      <c r="AI571" s="8" t="str">
        <v>8,524.28</v>
      </c>
      <c r="AJ571" s="8" t="str">
        <v>8,505.20</v>
      </c>
      <c r="AK571" s="6" t="str">
        <v>Euro</v>
      </c>
      <c r="AL571" s="8">
        <v>8505.12724765899</v>
      </c>
    </row>
    <row r="572">
      <c r="A572" s="6" t="str">
        <v>594918</v>
      </c>
      <c r="B572" s="6" t="str">
        <v>United States</v>
      </c>
      <c r="C572" s="6" t="str">
        <v>Microsoft Corp</v>
      </c>
      <c r="D572" s="6" t="str">
        <v>Microsoft Corp</v>
      </c>
      <c r="F572" s="6" t="str">
        <v>Finland</v>
      </c>
      <c r="G572" s="6" t="str">
        <v>Nokia Oyj-Handset Division</v>
      </c>
      <c r="H572" s="6" t="str">
        <v>Communications Equipment</v>
      </c>
      <c r="I572" s="6" t="str">
        <v>65873H</v>
      </c>
      <c r="J572" s="6" t="str">
        <v>Nokia Oyj</v>
      </c>
      <c r="K572" s="6" t="str">
        <v>Nokia Oyj</v>
      </c>
      <c r="L572" s="7">
        <f>=DATE(2011,5,17)</f>
        <v>40679.99949074074</v>
      </c>
      <c r="W572" s="6" t="str">
        <v>Applications Software(Business;Computer Consulting Services;Internet Services &amp; Software;Operating Systems;Other Peripherals;Monitors/Terminals</v>
      </c>
      <c r="X572" s="6" t="str">
        <v>Other Telecommunications Equip</v>
      </c>
      <c r="Y572" s="6" t="str">
        <v>Communication/Network Software;Satellite Communications;Internet Services &amp; Software;Telephone Interconnect Equip;Other Telecommunications Equip;Other Software (inq. Games)</v>
      </c>
      <c r="Z572" s="6" t="str">
        <v>Other Software (inq. Games);Communication/Network Software;Internet Services &amp; Software;Other Telecommunications Equip;Satellite Communications;Telephone Interconnect Equip</v>
      </c>
      <c r="AA572" s="6" t="str">
        <v>Computer Consulting Services;Internet Services &amp; Software;Applications Software(Business;Monitors/Terminals;Other Peripherals;Operating Systems</v>
      </c>
      <c r="AB572" s="6" t="str">
        <v>Monitors/Terminals;Other Peripherals;Operating Systems;Computer Consulting Services;Applications Software(Business;Internet Services &amp; Software</v>
      </c>
    </row>
    <row r="573">
      <c r="A573" s="6" t="str">
        <v>38259P</v>
      </c>
      <c r="B573" s="6" t="str">
        <v>United States</v>
      </c>
      <c r="C573" s="6" t="str">
        <v>Google Inc</v>
      </c>
      <c r="D573" s="6" t="str">
        <v>Alphabet Inc</v>
      </c>
      <c r="F573" s="6" t="str">
        <v>United States</v>
      </c>
      <c r="G573" s="6" t="str">
        <v>Sparkbuy Inc</v>
      </c>
      <c r="H573" s="6" t="str">
        <v>Business Services</v>
      </c>
      <c r="I573" s="6" t="str">
        <v>84806C</v>
      </c>
      <c r="J573" s="6" t="str">
        <v>Sparkbuy Inc</v>
      </c>
      <c r="K573" s="6" t="str">
        <v>Sparkbuy Inc</v>
      </c>
      <c r="L573" s="7">
        <f>=DATE(2011,5,23)</f>
        <v>40685.99949074074</v>
      </c>
      <c r="M573" s="7">
        <f>=DATE(2011,5,23)</f>
        <v>40685.99949074074</v>
      </c>
      <c r="W573" s="6" t="str">
        <v>Internet Services &amp; Software;Programming Services</v>
      </c>
      <c r="X573" s="6" t="str">
        <v>Internet Services &amp; Software</v>
      </c>
      <c r="Y573" s="6" t="str">
        <v>Internet Services &amp; Software</v>
      </c>
      <c r="Z573" s="6" t="str">
        <v>Internet Services &amp; Software</v>
      </c>
      <c r="AA573" s="6" t="str">
        <v>Telecommunications Equipment;Internet Services &amp; Software;Programming Services;Computer Consulting Services;Primary Business not Hi-Tech</v>
      </c>
      <c r="AB573" s="6" t="str">
        <v>Telecommunications Equipment;Computer Consulting Services;Primary Business not Hi-Tech;Internet Services &amp; Software;Programming Services</v>
      </c>
    </row>
    <row r="574">
      <c r="A574" s="6" t="str">
        <v>38259P</v>
      </c>
      <c r="B574" s="6" t="str">
        <v>United States</v>
      </c>
      <c r="C574" s="6" t="str">
        <v>Google Inc</v>
      </c>
      <c r="D574" s="6" t="str">
        <v>Alphabet Inc</v>
      </c>
      <c r="F574" s="6" t="str">
        <v>Canada</v>
      </c>
      <c r="G574" s="6" t="str">
        <v>PostRank Inc</v>
      </c>
      <c r="H574" s="6" t="str">
        <v>Business Services</v>
      </c>
      <c r="I574" s="6" t="str">
        <v>76581M</v>
      </c>
      <c r="J574" s="6" t="str">
        <v>PostRank Inc</v>
      </c>
      <c r="K574" s="6" t="str">
        <v>PostRank Inc</v>
      </c>
      <c r="L574" s="7">
        <f>=DATE(2011,6,3)</f>
        <v>40696.99949074074</v>
      </c>
      <c r="M574" s="7">
        <f>=DATE(2011,6,3)</f>
        <v>40696.99949074074</v>
      </c>
      <c r="W574" s="6" t="str">
        <v>Programming Services;Internet Services &amp; Software</v>
      </c>
      <c r="X574" s="6" t="str">
        <v>Networking Systems (LAN,WAN);Internet Services &amp; Software;Other Computer Related Svcs;Computer Consulting Services</v>
      </c>
      <c r="Y574" s="6" t="str">
        <v>Other Computer Related Svcs;Networking Systems (LAN,WAN);Computer Consulting Services;Internet Services &amp; Software</v>
      </c>
      <c r="Z574" s="6" t="str">
        <v>Other Computer Related Svcs;Computer Consulting Services;Networking Systems (LAN,WAN);Internet Services &amp; Software</v>
      </c>
      <c r="AA574" s="6" t="str">
        <v>Computer Consulting Services;Telecommunications Equipment;Programming Services;Internet Services &amp; Software;Primary Business not Hi-Tech</v>
      </c>
      <c r="AB574" s="6" t="str">
        <v>Primary Business not Hi-Tech;Computer Consulting Services;Telecommunications Equipment;Programming Services;Internet Services &amp; Software</v>
      </c>
    </row>
    <row r="575">
      <c r="A575" s="6" t="str">
        <v>30303M</v>
      </c>
      <c r="B575" s="6" t="str">
        <v>United States</v>
      </c>
      <c r="C575" s="6" t="str">
        <v>Facebook Inc</v>
      </c>
      <c r="D575" s="6" t="str">
        <v>Facebook Inc</v>
      </c>
      <c r="F575" s="6" t="str">
        <v>Netherlands</v>
      </c>
      <c r="G575" s="6" t="str">
        <v>Sofa BV</v>
      </c>
      <c r="H575" s="6" t="str">
        <v>Prepackaged Software</v>
      </c>
      <c r="I575" s="6" t="str">
        <v>81403E</v>
      </c>
      <c r="J575" s="6" t="str">
        <v>Sofa BV</v>
      </c>
      <c r="K575" s="6" t="str">
        <v>Sofa BV</v>
      </c>
      <c r="L575" s="7">
        <f>=DATE(2011,6,9)</f>
        <v>40702.99949074074</v>
      </c>
      <c r="M575" s="7">
        <f>=DATE(2011,6,9)</f>
        <v>40702.99949074074</v>
      </c>
      <c r="W575" s="6" t="str">
        <v>Internet Services &amp; Software</v>
      </c>
      <c r="X575" s="6" t="str">
        <v>Applications Software(Business</v>
      </c>
      <c r="Y575" s="6" t="str">
        <v>Applications Software(Business</v>
      </c>
      <c r="Z575" s="6" t="str">
        <v>Applications Software(Business</v>
      </c>
      <c r="AA575" s="6" t="str">
        <v>Internet Services &amp; Software</v>
      </c>
      <c r="AB575" s="6" t="str">
        <v>Internet Services &amp; Software</v>
      </c>
    </row>
    <row r="576">
      <c r="A576" s="6" t="str">
        <v>38259P</v>
      </c>
      <c r="B576" s="6" t="str">
        <v>United States</v>
      </c>
      <c r="C576" s="6" t="str">
        <v>Google Inc</v>
      </c>
      <c r="D576" s="6" t="str">
        <v>Alphabet Inc</v>
      </c>
      <c r="F576" s="6" t="str">
        <v>United States</v>
      </c>
      <c r="G576" s="6" t="str">
        <v>Admeld Inc</v>
      </c>
      <c r="H576" s="6" t="str">
        <v>Business Services</v>
      </c>
      <c r="I576" s="6" t="str">
        <v>01726Y</v>
      </c>
      <c r="J576" s="6" t="str">
        <v>Admeld Inc</v>
      </c>
      <c r="K576" s="6" t="str">
        <v>Admeld Inc</v>
      </c>
      <c r="L576" s="7">
        <f>=DATE(2011,6,13)</f>
        <v>40706.99949074074</v>
      </c>
      <c r="M576" s="7">
        <f>=DATE(2011,12,6)</f>
        <v>40882.99949074074</v>
      </c>
      <c r="W576" s="6" t="str">
        <v>Programming Services;Internet Services &amp; Software</v>
      </c>
      <c r="X576" s="6" t="str">
        <v>Internet Services &amp; Software;Networking Systems (LAN,WAN)</v>
      </c>
      <c r="Y576" s="6" t="str">
        <v>Networking Systems (LAN,WAN);Internet Services &amp; Software</v>
      </c>
      <c r="Z576" s="6" t="str">
        <v>Internet Services &amp; Software;Networking Systems (LAN,WAN)</v>
      </c>
      <c r="AA576" s="6" t="str">
        <v>Computer Consulting Services;Telecommunications Equipment;Programming Services;Internet Services &amp; Software;Primary Business not Hi-Tech</v>
      </c>
      <c r="AB576" s="6" t="str">
        <v>Programming Services;Internet Services &amp; Software;Computer Consulting Services;Telecommunications Equipment;Primary Business not Hi-Tech</v>
      </c>
    </row>
    <row r="577">
      <c r="A577" s="6" t="str">
        <v>67020Y</v>
      </c>
      <c r="B577" s="6" t="str">
        <v>United States</v>
      </c>
      <c r="C577" s="6" t="str">
        <v>Nuance Communications Inc</v>
      </c>
      <c r="D577" s="6" t="str">
        <v>Nuance Communications Inc</v>
      </c>
      <c r="F577" s="6" t="str">
        <v>Switzerland</v>
      </c>
      <c r="G577" s="6" t="str">
        <v>SVOX AG</v>
      </c>
      <c r="H577" s="6" t="str">
        <v>Prepackaged Software</v>
      </c>
      <c r="I577" s="6" t="str">
        <v>88795J</v>
      </c>
      <c r="J577" s="6" t="str">
        <v>SVOX AG</v>
      </c>
      <c r="K577" s="6" t="str">
        <v>SVOX AG</v>
      </c>
      <c r="L577" s="7">
        <f>=DATE(2011,6,16)</f>
        <v>40709.99949074074</v>
      </c>
      <c r="M577" s="7">
        <f>=DATE(2011,6,16)</f>
        <v>40709.99949074074</v>
      </c>
      <c r="W577" s="6" t="str">
        <v>Computer Consulting Services;Programming Services;Networking Systems (LAN,WAN);Desktop Publishing;Other Computer Related Svcs;Other Software (inq. Games);Applications Software(Home);Primary Business not Hi-Tech;Applications Software(Business;Database Software/Programming;Internet Services &amp; Software;Utilities/File Mgmt Software;Communication/Network Software</v>
      </c>
      <c r="X577" s="6" t="str">
        <v>Other Computer Related Svcs;Other Software (inq. Games)</v>
      </c>
      <c r="Y577" s="6" t="str">
        <v>Other Computer Related Svcs;Other Software (inq. Games)</v>
      </c>
      <c r="Z577" s="6" t="str">
        <v>Other Computer Related Svcs;Other Software (inq. Games)</v>
      </c>
      <c r="AA577" s="6" t="str">
        <v>Applications Software(Business;Primary Business not Hi-Tech;Communication/Network Software;Database Software/Programming;Internet Services &amp; Software;Applications Software(Home);Computer Consulting Services;Programming Services;Desktop Publishing;Utilities/File Mgmt Software;Networking Systems (LAN,WAN);Other Software (inq. Games);Other Computer Related Svcs</v>
      </c>
      <c r="AB577" s="6" t="str">
        <v>Internet Services &amp; Software;Other Computer Related Svcs;Primary Business not Hi-Tech;Utilities/File Mgmt Software;Computer Consulting Services;Database Software/Programming;Applications Software(Business;Communication/Network Software;Desktop Publishing;Networking Systems (LAN,WAN);Programming Services;Other Software (inq. Games);Applications Software(Home)</v>
      </c>
    </row>
    <row r="578">
      <c r="A578" s="6" t="str">
        <v>38259P</v>
      </c>
      <c r="B578" s="6" t="str">
        <v>United States</v>
      </c>
      <c r="C578" s="6" t="str">
        <v>Google Inc</v>
      </c>
      <c r="D578" s="6" t="str">
        <v>Alphabet Inc</v>
      </c>
      <c r="F578" s="6" t="str">
        <v>United States</v>
      </c>
      <c r="G578" s="6" t="str">
        <v>SageTV LLC</v>
      </c>
      <c r="H578" s="6" t="str">
        <v>Prepackaged Software</v>
      </c>
      <c r="I578" s="6" t="str">
        <v>79413M</v>
      </c>
      <c r="J578" s="6" t="str">
        <v>SageTV LLC</v>
      </c>
      <c r="K578" s="6" t="str">
        <v>SageTV LLC</v>
      </c>
      <c r="L578" s="7">
        <f>=DATE(2011,6,20)</f>
        <v>40713.99949074074</v>
      </c>
      <c r="M578" s="7">
        <f>=DATE(2011,6,20)</f>
        <v>40713.99949074074</v>
      </c>
      <c r="W578" s="6" t="str">
        <v>Internet Services &amp; Software;Programming Services</v>
      </c>
      <c r="X578" s="6" t="str">
        <v>Applications Software(Business</v>
      </c>
      <c r="Y578" s="6" t="str">
        <v>Applications Software(Business</v>
      </c>
      <c r="Z578" s="6" t="str">
        <v>Applications Software(Business</v>
      </c>
      <c r="AA578" s="6" t="str">
        <v>Programming Services;Computer Consulting Services;Internet Services &amp; Software;Primary Business not Hi-Tech;Telecommunications Equipment</v>
      </c>
      <c r="AB578" s="6" t="str">
        <v>Internet Services &amp; Software;Telecommunications Equipment;Programming Services;Computer Consulting Services;Primary Business not Hi-Tech</v>
      </c>
    </row>
    <row r="579">
      <c r="A579" s="6" t="str">
        <v>38259P</v>
      </c>
      <c r="B579" s="6" t="str">
        <v>United States</v>
      </c>
      <c r="C579" s="6" t="str">
        <v>Google Inc</v>
      </c>
      <c r="D579" s="6" t="str">
        <v>Alphabet Inc</v>
      </c>
      <c r="F579" s="6" t="str">
        <v>United States</v>
      </c>
      <c r="G579" s="6" t="str">
        <v>Punchd Labs Inc</v>
      </c>
      <c r="H579" s="6" t="str">
        <v>Business Services</v>
      </c>
      <c r="I579" s="6" t="str">
        <v>76594Y</v>
      </c>
      <c r="J579" s="6" t="str">
        <v>Punchd Labs Inc</v>
      </c>
      <c r="K579" s="6" t="str">
        <v>Punchd Labs Inc</v>
      </c>
      <c r="L579" s="7">
        <f>=DATE(2011,7,11)</f>
        <v>40734.99949074074</v>
      </c>
      <c r="M579" s="7">
        <f>=DATE(2011,7,11)</f>
        <v>40734.99949074074</v>
      </c>
      <c r="W579" s="6" t="str">
        <v>Internet Services &amp; Software;Programming Services</v>
      </c>
      <c r="X579" s="6" t="str">
        <v>Internet Services &amp; Software;Communication/Network Software</v>
      </c>
      <c r="Y579" s="6" t="str">
        <v>Internet Services &amp; Software;Communication/Network Software</v>
      </c>
      <c r="Z579" s="6" t="str">
        <v>Internet Services &amp; Software;Communication/Network Software</v>
      </c>
      <c r="AA579" s="6" t="str">
        <v>Primary Business not Hi-Tech;Telecommunications Equipment;Computer Consulting Services;Internet Services &amp; Software;Programming Services</v>
      </c>
      <c r="AB579" s="6" t="str">
        <v>Computer Consulting Services;Telecommunications Equipment;Programming Services;Internet Services &amp; Software;Primary Business not Hi-Tech</v>
      </c>
    </row>
    <row r="580">
      <c r="A580" s="6" t="str">
        <v>037833</v>
      </c>
      <c r="B580" s="6" t="str">
        <v>United States</v>
      </c>
      <c r="C580" s="6" t="str">
        <v>Apple Inc</v>
      </c>
      <c r="D580" s="6" t="str">
        <v>Apple Inc</v>
      </c>
      <c r="F580" s="6" t="str">
        <v>Sweden</v>
      </c>
      <c r="G580" s="6" t="str">
        <v>C3 Technologies AB</v>
      </c>
      <c r="H580" s="6" t="str">
        <v>Business Services</v>
      </c>
      <c r="I580" s="6" t="str">
        <v>22950Q</v>
      </c>
      <c r="J580" s="6" t="str">
        <v>Saab AB</v>
      </c>
      <c r="K580" s="6" t="str">
        <v>Saab AB</v>
      </c>
      <c r="L580" s="7">
        <f>=DATE(2011,7,14)</f>
        <v>40737.99949074074</v>
      </c>
      <c r="M580" s="7">
        <f>=DATE(2011,7,19)</f>
        <v>40742.99949074074</v>
      </c>
      <c r="N580" s="8">
        <v>155.288106377739</v>
      </c>
      <c r="O580" s="8">
        <v>155.288106377739</v>
      </c>
      <c r="P580" s="8" t="str">
        <v>243.80</v>
      </c>
      <c r="S580" s="8">
        <v>1.01058629647217</v>
      </c>
      <c r="W580" s="6" t="str">
        <v>Other Software (inq. Games);Disk Drives;Micro-Computers (PCs);Mainframes &amp; Super Computers;Monitors/Terminals;Portable Computers;Other Peripherals;Printers</v>
      </c>
      <c r="X580" s="6" t="str">
        <v>Other Software (inq. Games)</v>
      </c>
      <c r="Y580" s="6" t="str">
        <v>Search, Detection, Navigation;Data Commun(Exclude networking;Lasers(Excluding Medical);Defense Related;Satellite Communications;Other Telecommunications Equip;Primary Business not Hi-Tech</v>
      </c>
      <c r="Z580" s="6" t="str">
        <v>Search, Detection, Navigation;Other Telecommunications Equip;Primary Business not Hi-Tech;Satellite Communications;Lasers(Excluding Medical);Defense Related;Data Commun(Exclude networking</v>
      </c>
      <c r="AA580" s="6" t="str">
        <v>Mainframes &amp; Super Computers;Other Peripherals;Portable Computers;Disk Drives;Micro-Computers (PCs);Printers;Monitors/Terminals;Other Software (inq. Games)</v>
      </c>
      <c r="AB580" s="6" t="str">
        <v>Mainframes &amp; Super Computers;Printers;Other Peripherals;Other Software (inq. Games);Monitors/Terminals;Disk Drives;Portable Computers;Micro-Computers (PCs)</v>
      </c>
      <c r="AC580" s="8">
        <v>155.288106377739</v>
      </c>
      <c r="AD580" s="7">
        <f>=DATE(2011,7,14)</f>
        <v>40737.99949074074</v>
      </c>
      <c r="AF580" s="8" t="str">
        <v>268.66</v>
      </c>
      <c r="AG580" s="8" t="str">
        <v>268.57</v>
      </c>
      <c r="AH580" s="8" t="str">
        <v>268.57</v>
      </c>
      <c r="AI580" s="8" t="str">
        <v>268.66</v>
      </c>
      <c r="AJ580" s="8" t="str">
        <v>155.29</v>
      </c>
      <c r="AK580" s="6" t="str">
        <v>Swedish Krona</v>
      </c>
      <c r="AL580" s="8">
        <v>155.288106377739</v>
      </c>
    </row>
    <row r="581">
      <c r="A581" s="6" t="str">
        <v>38259P</v>
      </c>
      <c r="B581" s="6" t="str">
        <v>United States</v>
      </c>
      <c r="C581" s="6" t="str">
        <v>Google Inc</v>
      </c>
      <c r="D581" s="6" t="str">
        <v>Alphabet Inc</v>
      </c>
      <c r="F581" s="6" t="str">
        <v>United States</v>
      </c>
      <c r="G581" s="6" t="str">
        <v>Fridge</v>
      </c>
      <c r="H581" s="6" t="str">
        <v>Business Services</v>
      </c>
      <c r="I581" s="6" t="str">
        <v>25729C</v>
      </c>
      <c r="J581" s="6" t="str">
        <v>Fridge</v>
      </c>
      <c r="K581" s="6" t="str">
        <v>Fridge</v>
      </c>
      <c r="L581" s="7">
        <f>=DATE(2011,7,21)</f>
        <v>40744.99949074074</v>
      </c>
      <c r="M581" s="7">
        <f>=DATE(2011,7,21)</f>
        <v>40744.99949074074</v>
      </c>
      <c r="W581" s="6" t="str">
        <v>Internet Services &amp; Software;Programming Services</v>
      </c>
      <c r="X581" s="6" t="str">
        <v>Internet Services &amp; Software</v>
      </c>
      <c r="Y581" s="6" t="str">
        <v>Internet Services &amp; Software</v>
      </c>
      <c r="Z581" s="6" t="str">
        <v>Internet Services &amp; Software</v>
      </c>
      <c r="AA581" s="6" t="str">
        <v>Internet Services &amp; Software;Computer Consulting Services;Primary Business not Hi-Tech;Telecommunications Equipment;Programming Services</v>
      </c>
      <c r="AB581" s="6" t="str">
        <v>Primary Business not Hi-Tech;Telecommunications Equipment;Internet Services &amp; Software;Computer Consulting Services;Programming Services</v>
      </c>
    </row>
    <row r="582">
      <c r="A582" s="6" t="str">
        <v>38259P</v>
      </c>
      <c r="B582" s="6" t="str">
        <v>United States</v>
      </c>
      <c r="C582" s="6" t="str">
        <v>Google Inc</v>
      </c>
      <c r="D582" s="6" t="str">
        <v>Alphabet Inc</v>
      </c>
      <c r="F582" s="6" t="str">
        <v>United States</v>
      </c>
      <c r="G582" s="6" t="str">
        <v>Pittsburgh Pattern Recognition {PittPatt}</v>
      </c>
      <c r="H582" s="6" t="str">
        <v>Prepackaged Software</v>
      </c>
      <c r="I582" s="6" t="str">
        <v>72530T</v>
      </c>
      <c r="J582" s="6" t="str">
        <v>Pittsburgh Pattern Recognition {PittPatt}</v>
      </c>
      <c r="K582" s="6" t="str">
        <v>Pittsburgh Pattern Recognition {PittPatt}</v>
      </c>
      <c r="L582" s="7">
        <f>=DATE(2011,7,24)</f>
        <v>40747.99949074074</v>
      </c>
      <c r="M582" s="7">
        <f>=DATE(2011,7,24)</f>
        <v>40747.99949074074</v>
      </c>
      <c r="W582" s="6" t="str">
        <v>Programming Services;Internet Services &amp; Software</v>
      </c>
      <c r="X582" s="6" t="str">
        <v>Other Software (inq. Games)</v>
      </c>
      <c r="Y582" s="6" t="str">
        <v>Other Software (inq. Games)</v>
      </c>
      <c r="Z582" s="6" t="str">
        <v>Other Software (inq. Games)</v>
      </c>
      <c r="AA582" s="6" t="str">
        <v>Primary Business not Hi-Tech;Programming Services;Internet Services &amp; Software;Computer Consulting Services;Telecommunications Equipment</v>
      </c>
      <c r="AB582" s="6" t="str">
        <v>Computer Consulting Services;Primary Business not Hi-Tech;Programming Services;Telecommunications Equipment;Internet Services &amp; Software</v>
      </c>
    </row>
    <row r="583">
      <c r="A583" s="6" t="str">
        <v>037833</v>
      </c>
      <c r="B583" s="6" t="str">
        <v>United States</v>
      </c>
      <c r="C583" s="6" t="str">
        <v>Apple Inc</v>
      </c>
      <c r="D583" s="6" t="str">
        <v>Apple Inc</v>
      </c>
      <c r="F583" s="6" t="str">
        <v>United States</v>
      </c>
      <c r="G583" s="6" t="str">
        <v>Barnes &amp; Noble Inc</v>
      </c>
      <c r="H583" s="6" t="str">
        <v>Miscellaneous Retail Trade</v>
      </c>
      <c r="I583" s="6" t="str">
        <v>067774</v>
      </c>
      <c r="J583" s="6" t="str">
        <v>Barnes &amp; Noble Inc</v>
      </c>
      <c r="K583" s="6" t="str">
        <v>Barnes &amp; Noble Inc</v>
      </c>
      <c r="L583" s="7">
        <f>=DATE(2011,7,28)</f>
        <v>40751.99949074074</v>
      </c>
      <c r="R583" s="8">
        <v>-73.957</v>
      </c>
      <c r="S583" s="8">
        <v>6998.565</v>
      </c>
      <c r="T583" s="8">
        <v>-88.34</v>
      </c>
      <c r="U583" s="8">
        <v>-112.268</v>
      </c>
      <c r="V583" s="8">
        <v>199.072</v>
      </c>
      <c r="W583" s="6" t="str">
        <v>Mainframes &amp; Super Computers;Other Software (inq. Games);Portable Computers;Disk Drives;Micro-Computers (PCs);Printers;Monitors/Terminals;Other Peripherals</v>
      </c>
      <c r="X583" s="6" t="str">
        <v>Primary Business not Hi-Tech;Internet Services &amp; Software</v>
      </c>
      <c r="Y583" s="6" t="str">
        <v>Primary Business not Hi-Tech;Internet Services &amp; Software</v>
      </c>
      <c r="Z583" s="6" t="str">
        <v>Internet Services &amp; Software;Primary Business not Hi-Tech</v>
      </c>
      <c r="AA583" s="6" t="str">
        <v>Other Peripherals;Monitors/Terminals;Printers;Disk Drives;Mainframes &amp; Super Computers;Other Software (inq. Games);Micro-Computers (PCs);Portable Computers</v>
      </c>
      <c r="AB583" s="6" t="str">
        <v>Disk Drives;Printers;Other Software (inq. Games);Monitors/Terminals;Portable Computers;Other Peripherals;Micro-Computers (PCs);Mainframes &amp; Super Computers</v>
      </c>
    </row>
    <row r="584">
      <c r="A584" s="6" t="str">
        <v>023135</v>
      </c>
      <c r="B584" s="6" t="str">
        <v>United States</v>
      </c>
      <c r="C584" s="6" t="str">
        <v>Amazon.com Inc</v>
      </c>
      <c r="D584" s="6" t="str">
        <v>Amazon.com Inc</v>
      </c>
      <c r="F584" s="6" t="str">
        <v>United Kingdom</v>
      </c>
      <c r="G584" s="6" t="str">
        <v>Push Button Holdings Ltd</v>
      </c>
      <c r="H584" s="6" t="str">
        <v>Prepackaged Software</v>
      </c>
      <c r="I584" s="6" t="str">
        <v>76600Z</v>
      </c>
      <c r="J584" s="6" t="str">
        <v>Push Button Holdings Ltd</v>
      </c>
      <c r="K584" s="6" t="str">
        <v>Push Button Holdings Ltd</v>
      </c>
      <c r="L584" s="7">
        <f>=DATE(2011,7,28)</f>
        <v>40751.99949074074</v>
      </c>
      <c r="M584" s="7">
        <f>=DATE(2011,7,28)</f>
        <v>40751.99949074074</v>
      </c>
      <c r="W584" s="6" t="str">
        <v>Primary Business not Hi-Tech</v>
      </c>
      <c r="X584" s="6" t="str">
        <v>Communication/Network Software;Internet Services &amp; Software</v>
      </c>
      <c r="Y584" s="6" t="str">
        <v>Internet Services &amp; Software;Communication/Network Software</v>
      </c>
      <c r="Z584" s="6" t="str">
        <v>Internet Services &amp; Software;Communication/Network Software</v>
      </c>
      <c r="AA584" s="6" t="str">
        <v>Primary Business not Hi-Tech</v>
      </c>
      <c r="AB584" s="6" t="str">
        <v>Primary Business not Hi-Tech</v>
      </c>
    </row>
    <row r="585">
      <c r="A585" s="6" t="str">
        <v>893929</v>
      </c>
      <c r="B585" s="6" t="str">
        <v>United States</v>
      </c>
      <c r="C585" s="6" t="str">
        <v>Transcend Services Inc</v>
      </c>
      <c r="D585" s="6" t="str">
        <v>Transcend Services Inc</v>
      </c>
      <c r="F585" s="6" t="str">
        <v>United States</v>
      </c>
      <c r="G585" s="6" t="str">
        <v>Salar Inc</v>
      </c>
      <c r="H585" s="6" t="str">
        <v>Prepackaged Software</v>
      </c>
      <c r="I585" s="6" t="str">
        <v>47474P</v>
      </c>
      <c r="J585" s="6" t="str">
        <v>Salar Inc</v>
      </c>
      <c r="K585" s="6" t="str">
        <v>Salar Inc</v>
      </c>
      <c r="L585" s="7">
        <f>=DATE(2011,7,29)</f>
        <v>40752.99949074074</v>
      </c>
      <c r="M585" s="7">
        <f>=DATE(2011,7,29)</f>
        <v>40752.99949074074</v>
      </c>
      <c r="N585" s="8">
        <v>11</v>
      </c>
      <c r="O585" s="8">
        <v>11</v>
      </c>
      <c r="P585" s="8" t="str">
        <v>11.00</v>
      </c>
      <c r="S585" s="8">
        <v>4</v>
      </c>
      <c r="W585" s="6" t="str">
        <v>Other Computer Related Svcs;Data Processing Services</v>
      </c>
      <c r="X585" s="6" t="str">
        <v>Data Processing Services;Applications Software(Business</v>
      </c>
      <c r="Y585" s="6" t="str">
        <v>Data Processing Services;Applications Software(Business</v>
      </c>
      <c r="Z585" s="6" t="str">
        <v>Applications Software(Business;Data Processing Services</v>
      </c>
      <c r="AA585" s="6" t="str">
        <v>Data Processing Services;Other Computer Related Svcs</v>
      </c>
      <c r="AB585" s="6" t="str">
        <v>Data Processing Services;Other Computer Related Svcs</v>
      </c>
      <c r="AC585" s="8">
        <v>11</v>
      </c>
      <c r="AD585" s="7">
        <f>=DATE(2011,8,1)</f>
        <v>40755.99949074074</v>
      </c>
      <c r="AF585" s="8" t="str">
        <v>11.00</v>
      </c>
      <c r="AG585" s="8" t="str">
        <v>11.00</v>
      </c>
      <c r="AH585" s="8" t="str">
        <v>11.00</v>
      </c>
      <c r="AI585" s="8" t="str">
        <v>11.00</v>
      </c>
      <c r="AJ585" s="8" t="str">
        <v>11.00</v>
      </c>
      <c r="AK585" s="6" t="str">
        <v>US Dollar</v>
      </c>
      <c r="AL585" s="8">
        <v>11</v>
      </c>
    </row>
    <row r="586">
      <c r="A586" s="6" t="str">
        <v>38259P</v>
      </c>
      <c r="B586" s="6" t="str">
        <v>United States</v>
      </c>
      <c r="C586" s="6" t="str">
        <v>Google Inc</v>
      </c>
      <c r="D586" s="6" t="str">
        <v>Alphabet Inc</v>
      </c>
      <c r="F586" s="6" t="str">
        <v>United States</v>
      </c>
      <c r="G586" s="6" t="str">
        <v>The Dealmap</v>
      </c>
      <c r="H586" s="6" t="str">
        <v>Business Services</v>
      </c>
      <c r="I586" s="6" t="str">
        <v>68486K</v>
      </c>
      <c r="J586" s="6" t="str">
        <v>The Dealmap</v>
      </c>
      <c r="K586" s="6" t="str">
        <v>The Dealmap</v>
      </c>
      <c r="L586" s="7">
        <f>=DATE(2011,8,1)</f>
        <v>40755.99949074074</v>
      </c>
      <c r="M586" s="7">
        <f>=DATE(2011,8,1)</f>
        <v>40755.99949074074</v>
      </c>
      <c r="W586" s="6" t="str">
        <v>Programming Services;Internet Services &amp; Software</v>
      </c>
      <c r="X586" s="6" t="str">
        <v>Internet Services &amp; Software</v>
      </c>
      <c r="Y586" s="6" t="str">
        <v>Internet Services &amp; Software</v>
      </c>
      <c r="Z586" s="6" t="str">
        <v>Internet Services &amp; Software</v>
      </c>
      <c r="AA586" s="6" t="str">
        <v>Internet Services &amp; Software;Telecommunications Equipment;Primary Business not Hi-Tech;Computer Consulting Services;Programming Services</v>
      </c>
      <c r="AB586" s="6" t="str">
        <v>Telecommunications Equipment;Computer Consulting Services;Primary Business not Hi-Tech;Programming Services;Internet Services &amp; Software</v>
      </c>
    </row>
    <row r="587">
      <c r="A587" s="6" t="str">
        <v>30303M</v>
      </c>
      <c r="B587" s="6" t="str">
        <v>United States</v>
      </c>
      <c r="C587" s="6" t="str">
        <v>Facebook Inc</v>
      </c>
      <c r="D587" s="6" t="str">
        <v>Facebook Inc</v>
      </c>
      <c r="F587" s="6" t="str">
        <v>United States</v>
      </c>
      <c r="G587" s="6" t="str">
        <v>Push Pop Press</v>
      </c>
      <c r="H587" s="6" t="str">
        <v>Business Services</v>
      </c>
      <c r="I587" s="6" t="str">
        <v>76601A</v>
      </c>
      <c r="J587" s="6" t="str">
        <v>Push Pop Press</v>
      </c>
      <c r="K587" s="6" t="str">
        <v>Push Pop Press</v>
      </c>
      <c r="L587" s="7">
        <f>=DATE(2011,8,2)</f>
        <v>40756.99949074074</v>
      </c>
      <c r="M587" s="7">
        <f>=DATE(2011,8,2)</f>
        <v>40756.99949074074</v>
      </c>
      <c r="W587" s="6" t="str">
        <v>Internet Services &amp; Software</v>
      </c>
      <c r="X587" s="6" t="str">
        <v>Computer Consulting Services;Applications Software(Business;Applications Software(Home)</v>
      </c>
      <c r="Y587" s="6" t="str">
        <v>Computer Consulting Services;Applications Software(Home);Applications Software(Business</v>
      </c>
      <c r="Z587" s="6" t="str">
        <v>Applications Software(Business;Applications Software(Home);Computer Consulting Services</v>
      </c>
      <c r="AA587" s="6" t="str">
        <v>Internet Services &amp; Software</v>
      </c>
      <c r="AB587" s="6" t="str">
        <v>Internet Services &amp; Software</v>
      </c>
    </row>
    <row r="588">
      <c r="A588" s="6" t="str">
        <v>67020Y</v>
      </c>
      <c r="B588" s="6" t="str">
        <v>United States</v>
      </c>
      <c r="C588" s="6" t="str">
        <v>Nuance Communications Inc</v>
      </c>
      <c r="D588" s="6" t="str">
        <v>Nuance Communications Inc</v>
      </c>
      <c r="F588" s="6" t="str">
        <v>Italy</v>
      </c>
      <c r="G588" s="6" t="str">
        <v>Loquendo SpA</v>
      </c>
      <c r="H588" s="6" t="str">
        <v>Prepackaged Software</v>
      </c>
      <c r="I588" s="6" t="str">
        <v>53941H</v>
      </c>
      <c r="J588" s="6" t="str">
        <v>Telecom Italia SpA</v>
      </c>
      <c r="K588" s="6" t="str">
        <v>Telecom Italia SpA</v>
      </c>
      <c r="L588" s="7">
        <f>=DATE(2011,8,15)</f>
        <v>40769.99949074074</v>
      </c>
      <c r="M588" s="7">
        <f>=DATE(2011,9,30)</f>
        <v>40815.99949074074</v>
      </c>
      <c r="N588" s="8">
        <v>76.3567734220801</v>
      </c>
      <c r="O588" s="8">
        <v>76.3567734220801</v>
      </c>
      <c r="W588" s="6" t="str">
        <v>Applications Software(Business;Primary Business not Hi-Tech;Internet Services &amp; Software;Networking Systems (LAN,WAN);Programming Services;Computer Consulting Services;Applications Software(Home);Database Software/Programming;Communication/Network Software;Desktop Publishing;Other Computer Related Svcs;Other Software (inq. Games);Utilities/File Mgmt Software</v>
      </c>
      <c r="X588" s="6" t="str">
        <v>Other Software (inq. Games)</v>
      </c>
      <c r="Y588" s="6" t="str">
        <v>Telecommunications Equipment;Cellular Communications</v>
      </c>
      <c r="Z588" s="6" t="str">
        <v>Telecommunications Equipment;Cellular Communications</v>
      </c>
      <c r="AA588" s="6" t="str">
        <v>Computer Consulting Services;Other Computer Related Svcs;Utilities/File Mgmt Software;Programming Services;Desktop Publishing;Applications Software(Home);Applications Software(Business;Networking Systems (LAN,WAN);Other Software (inq. Games);Communication/Network Software;Primary Business not Hi-Tech;Database Software/Programming;Internet Services &amp; Software</v>
      </c>
      <c r="AB588" s="6" t="str">
        <v>Other Computer Related Svcs;Programming Services;Other Software (inq. Games);Networking Systems (LAN,WAN);Desktop Publishing;Computer Consulting Services;Database Software/Programming;Internet Services &amp; Software;Applications Software(Home);Communication/Network Software;Applications Software(Business;Utilities/File Mgmt Software;Primary Business not Hi-Tech</v>
      </c>
      <c r="AC588" s="8">
        <v>76.3567734220801</v>
      </c>
      <c r="AD588" s="7">
        <f>=DATE(2011,8,16)</f>
        <v>40770.99949074074</v>
      </c>
      <c r="AJ588" s="8" t="str">
        <v>76.36</v>
      </c>
      <c r="AK588" s="6" t="str">
        <v>Euro</v>
      </c>
      <c r="AL588" s="8">
        <v>76.3567734220801</v>
      </c>
    </row>
    <row r="589">
      <c r="A589" s="6" t="str">
        <v>38259P</v>
      </c>
      <c r="B589" s="6" t="str">
        <v>United States</v>
      </c>
      <c r="C589" s="6" t="str">
        <v>Google Inc</v>
      </c>
      <c r="D589" s="6" t="str">
        <v>Alphabet Inc</v>
      </c>
      <c r="F589" s="6" t="str">
        <v>United States</v>
      </c>
      <c r="G589" s="6" t="str">
        <v>Motorola Mobility Holdings Inc</v>
      </c>
      <c r="H589" s="6" t="str">
        <v>Communications Equipment</v>
      </c>
      <c r="I589" s="6" t="str">
        <v>620097</v>
      </c>
      <c r="J589" s="6" t="str">
        <v>Motorola Mobility Holdings Inc</v>
      </c>
      <c r="K589" s="6" t="str">
        <v>Motorola Mobility Holdings Inc</v>
      </c>
      <c r="L589" s="7">
        <f>=DATE(2011,8,15)</f>
        <v>40769.99949074074</v>
      </c>
      <c r="M589" s="7">
        <f>=DATE(2012,5,22)</f>
        <v>41050.99949074074</v>
      </c>
      <c r="N589" s="8">
        <v>12449.946</v>
      </c>
      <c r="O589" s="8">
        <v>12449.946</v>
      </c>
      <c r="P589" s="8" t="str">
        <v>9,174.81</v>
      </c>
      <c r="R589" s="8">
        <v>-60</v>
      </c>
      <c r="S589" s="8">
        <v>12740</v>
      </c>
      <c r="T589" s="8">
        <v>2694</v>
      </c>
      <c r="U589" s="8">
        <v>-366</v>
      </c>
      <c r="V589" s="8">
        <v>656</v>
      </c>
      <c r="W589" s="6" t="str">
        <v>Internet Services &amp; Software;Programming Services</v>
      </c>
      <c r="X589" s="6" t="str">
        <v>Cellular Communications;Other Electronics;Other Telecommunications Equip</v>
      </c>
      <c r="Y589" s="6" t="str">
        <v>Other Electronics;Cellular Communications;Other Telecommunications Equip</v>
      </c>
      <c r="Z589" s="6" t="str">
        <v>Other Electronics;Cellular Communications;Other Telecommunications Equip</v>
      </c>
      <c r="AA589" s="6" t="str">
        <v>Primary Business not Hi-Tech;Telecommunications Equipment;Internet Services &amp; Software;Programming Services;Computer Consulting Services</v>
      </c>
      <c r="AB589" s="6" t="str">
        <v>Computer Consulting Services;Programming Services;Internet Services &amp; Software;Primary Business not Hi-Tech;Telecommunications Equipment</v>
      </c>
      <c r="AC589" s="8">
        <v>12449.946</v>
      </c>
      <c r="AD589" s="7">
        <f>=DATE(2011,8,15)</f>
        <v>40769.99949074074</v>
      </c>
      <c r="AE589" s="8">
        <v>13051.1896</v>
      </c>
      <c r="AF589" s="8" t="str">
        <v>9,174.79</v>
      </c>
      <c r="AG589" s="8" t="str">
        <v>9,174.81</v>
      </c>
      <c r="AH589" s="8" t="str">
        <v>12,102.81</v>
      </c>
      <c r="AI589" s="8" t="str">
        <v>12,102.79</v>
      </c>
      <c r="AJ589" s="8" t="str">
        <v>;225.21</v>
      </c>
      <c r="AK589" s="6" t="str">
        <v>US Dollar;US Dollar</v>
      </c>
      <c r="AL589" s="8">
        <v>12449.946</v>
      </c>
    </row>
    <row r="590">
      <c r="A590" s="6" t="str">
        <v>38259P</v>
      </c>
      <c r="B590" s="6" t="str">
        <v>United States</v>
      </c>
      <c r="C590" s="6" t="str">
        <v>Google Inc</v>
      </c>
      <c r="D590" s="6" t="str">
        <v>Alphabet Inc</v>
      </c>
      <c r="F590" s="6" t="str">
        <v>United States</v>
      </c>
      <c r="G590" s="6" t="str">
        <v>Zave Networks Inc</v>
      </c>
      <c r="H590" s="6" t="str">
        <v>Prepackaged Software</v>
      </c>
      <c r="I590" s="6" t="str">
        <v>98029F</v>
      </c>
      <c r="J590" s="6" t="str">
        <v>Zave Networks Inc</v>
      </c>
      <c r="K590" s="6" t="str">
        <v>Zave Networks Inc</v>
      </c>
      <c r="L590" s="7">
        <f>=DATE(2011,9,2)</f>
        <v>40787.99949074074</v>
      </c>
      <c r="M590" s="7">
        <f>=DATE(2011,9,2)</f>
        <v>40787.99949074074</v>
      </c>
      <c r="W590" s="6" t="str">
        <v>Programming Services;Internet Services &amp; Software</v>
      </c>
      <c r="X590" s="6" t="str">
        <v>Other Software (inq. Games);Internet Services &amp; Software;Applications Software(Business</v>
      </c>
      <c r="Y590" s="6" t="str">
        <v>Internet Services &amp; Software;Applications Software(Business;Other Software (inq. Games)</v>
      </c>
      <c r="Z590" s="6" t="str">
        <v>Internet Services &amp; Software;Applications Software(Business;Other Software (inq. Games)</v>
      </c>
      <c r="AA590" s="6" t="str">
        <v>Primary Business not Hi-Tech;Telecommunications Equipment;Internet Services &amp; Software;Programming Services;Computer Consulting Services</v>
      </c>
      <c r="AB590" s="6" t="str">
        <v>Computer Consulting Services;Primary Business not Hi-Tech;Telecommunications Equipment;Programming Services;Internet Services &amp; Software</v>
      </c>
    </row>
    <row r="591">
      <c r="A591" s="6" t="str">
        <v>38259P</v>
      </c>
      <c r="B591" s="6" t="str">
        <v>United States</v>
      </c>
      <c r="C591" s="6" t="str">
        <v>Google Inc</v>
      </c>
      <c r="D591" s="6" t="str">
        <v>Alphabet Inc</v>
      </c>
      <c r="F591" s="6" t="str">
        <v>United States</v>
      </c>
      <c r="G591" s="6" t="str">
        <v>Zagat Survey LLC</v>
      </c>
      <c r="H591" s="6" t="str">
        <v>Business Services</v>
      </c>
      <c r="I591" s="6" t="str">
        <v>98900R</v>
      </c>
      <c r="J591" s="6" t="str">
        <v>Zagat Survey LLC</v>
      </c>
      <c r="K591" s="6" t="str">
        <v>Zagat Survey LLC</v>
      </c>
      <c r="L591" s="7">
        <f>=DATE(2011,9,8)</f>
        <v>40793.99949074074</v>
      </c>
      <c r="M591" s="7">
        <f>=DATE(2011,9,8)</f>
        <v>40793.99949074074</v>
      </c>
      <c r="N591" s="8">
        <v>151</v>
      </c>
      <c r="O591" s="8">
        <v>151</v>
      </c>
      <c r="W591" s="6" t="str">
        <v>Programming Services;Internet Services &amp; Software</v>
      </c>
      <c r="X591" s="6" t="str">
        <v>Internet Services &amp; Software;Primary Business not Hi-Tech</v>
      </c>
      <c r="Y591" s="6" t="str">
        <v>Internet Services &amp; Software;Primary Business not Hi-Tech</v>
      </c>
      <c r="Z591" s="6" t="str">
        <v>Internet Services &amp; Software;Primary Business not Hi-Tech</v>
      </c>
      <c r="AA591" s="6" t="str">
        <v>Internet Services &amp; Software;Primary Business not Hi-Tech;Telecommunications Equipment;Programming Services;Computer Consulting Services</v>
      </c>
      <c r="AB591" s="6" t="str">
        <v>Programming Services;Telecommunications Equipment;Computer Consulting Services;Internet Services &amp; Software;Primary Business not Hi-Tech</v>
      </c>
      <c r="AC591" s="8">
        <v>151</v>
      </c>
      <c r="AD591" s="7">
        <f>=DATE(2011,9,8)</f>
        <v>40793.99949074074</v>
      </c>
      <c r="AJ591" s="8" t="str">
        <v>151.00</v>
      </c>
      <c r="AK591" s="6" t="str">
        <v>US Dollar</v>
      </c>
      <c r="AL591" s="8">
        <v>151</v>
      </c>
    </row>
    <row r="592">
      <c r="A592" s="6" t="str">
        <v>38259P</v>
      </c>
      <c r="B592" s="6" t="str">
        <v>United States</v>
      </c>
      <c r="C592" s="6" t="str">
        <v>Google Inc</v>
      </c>
      <c r="D592" s="6" t="str">
        <v>Alphabet Inc</v>
      </c>
      <c r="F592" s="6" t="str">
        <v>Germany</v>
      </c>
      <c r="G592" s="6" t="str">
        <v>DailyDeal GmbH</v>
      </c>
      <c r="H592" s="6" t="str">
        <v>Business Services</v>
      </c>
      <c r="I592" s="6" t="str">
        <v>24040Q</v>
      </c>
      <c r="J592" s="6" t="str">
        <v>DailyDeal GmbH</v>
      </c>
      <c r="K592" s="6" t="str">
        <v>DailyDeal GmbH</v>
      </c>
      <c r="L592" s="7">
        <f>=DATE(2011,9,19)</f>
        <v>40804.99949074074</v>
      </c>
      <c r="M592" s="7">
        <f>=DATE(2011,9,19)</f>
        <v>40804.99949074074</v>
      </c>
      <c r="W592" s="6" t="str">
        <v>Internet Services &amp; Software;Programming Services</v>
      </c>
      <c r="X592" s="6" t="str">
        <v>Other Computer Related Svcs;Internet Services &amp; Software</v>
      </c>
      <c r="Y592" s="6" t="str">
        <v>Internet Services &amp; Software;Other Computer Related Svcs</v>
      </c>
      <c r="Z592" s="6" t="str">
        <v>Internet Services &amp; Software;Other Computer Related Svcs</v>
      </c>
      <c r="AA592" s="6" t="str">
        <v>Primary Business not Hi-Tech;Telecommunications Equipment;Programming Services;Internet Services &amp; Software;Computer Consulting Services</v>
      </c>
      <c r="AB592" s="6" t="str">
        <v>Telecommunications Equipment;Internet Services &amp; Software;Programming Services;Primary Business not Hi-Tech;Computer Consulting Services</v>
      </c>
    </row>
    <row r="593">
      <c r="A593" s="6" t="str">
        <v>53578A</v>
      </c>
      <c r="B593" s="6" t="str">
        <v>United States</v>
      </c>
      <c r="C593" s="6" t="str">
        <v>LinkedIn Corp</v>
      </c>
      <c r="D593" s="6" t="str">
        <v>LinkedIn Corp</v>
      </c>
      <c r="F593" s="6" t="str">
        <v>United States</v>
      </c>
      <c r="G593" s="6" t="str">
        <v>Connected</v>
      </c>
      <c r="H593" s="6" t="str">
        <v>Business Services</v>
      </c>
      <c r="I593" s="6" t="str">
        <v>20750V</v>
      </c>
      <c r="J593" s="6" t="str">
        <v>Connected</v>
      </c>
      <c r="K593" s="6" t="str">
        <v>Connected</v>
      </c>
      <c r="L593" s="7">
        <f>=DATE(2011,10,5)</f>
        <v>40820.99949074074</v>
      </c>
      <c r="M593" s="7">
        <f>=DATE(2011,10,5)</f>
        <v>40820.99949074074</v>
      </c>
      <c r="W593" s="6" t="str">
        <v>Internet Services &amp; Software</v>
      </c>
      <c r="X593" s="6" t="str">
        <v>Internet Services &amp; Software</v>
      </c>
      <c r="Y593" s="6" t="str">
        <v>Internet Services &amp; Software</v>
      </c>
      <c r="Z593" s="6" t="str">
        <v>Internet Services &amp; Software</v>
      </c>
      <c r="AA593" s="6" t="str">
        <v>Internet Services &amp; Software</v>
      </c>
      <c r="AB593" s="6" t="str">
        <v>Internet Services &amp; Software</v>
      </c>
    </row>
    <row r="594">
      <c r="A594" s="6" t="str">
        <v>01864J</v>
      </c>
      <c r="B594" s="6" t="str">
        <v>United States</v>
      </c>
      <c r="C594" s="6" t="str">
        <v>Avanade Inc</v>
      </c>
      <c r="D594" s="6" t="str">
        <v>Accenture PLC</v>
      </c>
      <c r="F594" s="6" t="str">
        <v>Germany</v>
      </c>
      <c r="G594" s="6" t="str">
        <v>eCONNEX AG</v>
      </c>
      <c r="H594" s="6" t="str">
        <v>Prepackaged Software</v>
      </c>
      <c r="I594" s="6" t="str">
        <v>27985Z</v>
      </c>
      <c r="J594" s="6" t="str">
        <v>eCONNEX AG</v>
      </c>
      <c r="K594" s="6" t="str">
        <v>eCONNEX AG</v>
      </c>
      <c r="L594" s="7">
        <f>=DATE(2011,10,5)</f>
        <v>40820.99949074074</v>
      </c>
      <c r="M594" s="7">
        <f>=DATE(2011,11,7)</f>
        <v>40853.99949074074</v>
      </c>
      <c r="W594" s="6" t="str">
        <v>Other Computer Related Svcs;Other Software (inq. Games);Computer Consulting Services</v>
      </c>
      <c r="X594" s="6" t="str">
        <v>Database Software/Programming;Other Software (inq. Games);Programming Services;Applications Software(Business</v>
      </c>
      <c r="Y594" s="6" t="str">
        <v>Other Software (inq. Games);Applications Software(Business;Database Software/Programming;Programming Services</v>
      </c>
      <c r="Z594" s="6" t="str">
        <v>Database Software/Programming;Programming Services;Other Software (inq. Games);Applications Software(Business</v>
      </c>
      <c r="AA594" s="6" t="str">
        <v>Other Computer Related Svcs;Turnkey Systems;Computer Consulting Services;CAD/CAM/CAE/Graphics Systems;Other Computer Systems;Other Software (inq. Games);Utilities/File Mgmt Software;Communication/Network Software;Desktop Publishing;Applications Software(Home);Applications Software(Business;Primary Business not Hi-Tech;Operating Systems;Workstations;Data Processing Services;Data Commun(Exclude networking;Internet Services &amp; Software;Networking Systems (LAN,WAN)</v>
      </c>
      <c r="AB594" s="6" t="str">
        <v>Applications Software(Home);Desktop Publishing;Other Computer Systems;Primary Business not Hi-Tech;Operating Systems;Applications Software(Business;Communication/Network Software;Data Processing Services;Data Commun(Exclude networking;Utilities/File Mgmt Software;CAD/CAM/CAE/Graphics Systems;Internet Services &amp; Software;Networking Systems (LAN,WAN);Turnkey Systems;Other Software (inq. Games);Workstations;Other Computer Related Svcs;Computer Consulting Services</v>
      </c>
    </row>
    <row r="595">
      <c r="A595" s="6" t="str">
        <v>81350Q</v>
      </c>
      <c r="B595" s="6" t="str">
        <v>United States</v>
      </c>
      <c r="C595" s="6" t="str">
        <v>Sonic Acquisition Corp</v>
      </c>
      <c r="D595" s="6" t="str">
        <v>Nuance Communications Inc</v>
      </c>
      <c r="F595" s="6" t="str">
        <v>United States</v>
      </c>
      <c r="G595" s="6" t="str">
        <v>Swype Inc</v>
      </c>
      <c r="H595" s="6" t="str">
        <v>Business Services</v>
      </c>
      <c r="I595" s="6" t="str">
        <v>91299L</v>
      </c>
      <c r="J595" s="6" t="str">
        <v>Swype Inc</v>
      </c>
      <c r="K595" s="6" t="str">
        <v>Swype Inc</v>
      </c>
      <c r="L595" s="7">
        <f>=DATE(2011,10,6)</f>
        <v>40821.99949074074</v>
      </c>
      <c r="M595" s="7">
        <f>=DATE(2011,10,6)</f>
        <v>40821.99949074074</v>
      </c>
      <c r="N595" s="8">
        <v>102.5</v>
      </c>
      <c r="O595" s="8">
        <v>102.5</v>
      </c>
      <c r="P595" s="8" t="str">
        <v>94.59</v>
      </c>
      <c r="R595" s="8">
        <v>-13.862</v>
      </c>
      <c r="T595" s="8">
        <v>7.873</v>
      </c>
      <c r="U595" s="8">
        <v>-0.316</v>
      </c>
      <c r="V595" s="8">
        <v>-1.539</v>
      </c>
      <c r="W595" s="6" t="str">
        <v>Programming Services;Computer Consulting Services;Other Computer Related Svcs</v>
      </c>
      <c r="X595" s="6" t="str">
        <v>Programming Services;Computer Consulting Services;Other Computer Related Svcs</v>
      </c>
      <c r="Y595" s="6" t="str">
        <v>Other Computer Related Svcs;Computer Consulting Services;Programming Services</v>
      </c>
      <c r="Z595" s="6" t="str">
        <v>Programming Services;Other Computer Related Svcs;Computer Consulting Services</v>
      </c>
      <c r="AA595" s="6" t="str">
        <v>Primary Business not Hi-Tech;Database Software/Programming;Programming Services;Communication/Network Software;Other Computer Related Svcs;Computer Consulting Services;Desktop Publishing;Applications Software(Business;Other Software (inq. Games);Networking Systems (LAN,WAN);Applications Software(Home);Internet Services &amp; Software;Utilities/File Mgmt Software</v>
      </c>
      <c r="AB595" s="6" t="str">
        <v>Desktop Publishing;Networking Systems (LAN,WAN);Other Computer Related Svcs;Programming Services;Utilities/File Mgmt Software;Computer Consulting Services;Other Software (inq. Games);Database Software/Programming;Internet Services &amp; Software;Applications Software(Business;Applications Software(Home);Primary Business not Hi-Tech;Communication/Network Software</v>
      </c>
      <c r="AC595" s="8">
        <v>102.5</v>
      </c>
      <c r="AD595" s="7">
        <f>=DATE(2011,10,6)</f>
        <v>40821.99949074074</v>
      </c>
      <c r="AF595" s="8" t="str">
        <v>94.59</v>
      </c>
      <c r="AG595" s="8" t="str">
        <v>94.59</v>
      </c>
      <c r="AH595" s="8" t="str">
        <v>102.50</v>
      </c>
      <c r="AI595" s="8" t="str">
        <v>102.50</v>
      </c>
      <c r="AJ595" s="8" t="str">
        <v>102.50</v>
      </c>
      <c r="AK595" s="6" t="str">
        <v>US Dollar</v>
      </c>
      <c r="AL595" s="8">
        <v>102.5</v>
      </c>
    </row>
    <row r="596">
      <c r="A596" s="6" t="str">
        <v>30303M</v>
      </c>
      <c r="B596" s="6" t="str">
        <v>United States</v>
      </c>
      <c r="C596" s="6" t="str">
        <v>Facebook Inc</v>
      </c>
      <c r="D596" s="6" t="str">
        <v>Facebook Inc</v>
      </c>
      <c r="F596" s="6" t="str">
        <v>United States</v>
      </c>
      <c r="G596" s="6" t="str">
        <v>Friend.ly</v>
      </c>
      <c r="H596" s="6" t="str">
        <v>Business Services</v>
      </c>
      <c r="I596" s="6" t="str">
        <v>36711H</v>
      </c>
      <c r="J596" s="6" t="str">
        <v>Friend.ly</v>
      </c>
      <c r="K596" s="6" t="str">
        <v>Friend.ly</v>
      </c>
      <c r="L596" s="7">
        <f>=DATE(2011,10,11)</f>
        <v>40826.99949074074</v>
      </c>
      <c r="M596" s="7">
        <f>=DATE(2011,10,11)</f>
        <v>40826.99949074074</v>
      </c>
      <c r="W596" s="6" t="str">
        <v>Internet Services &amp; Software</v>
      </c>
      <c r="X596" s="6" t="str">
        <v>Internet Services &amp; Software</v>
      </c>
      <c r="Y596" s="6" t="str">
        <v>Internet Services &amp; Software</v>
      </c>
      <c r="Z596" s="6" t="str">
        <v>Internet Services &amp; Software</v>
      </c>
      <c r="AA596" s="6" t="str">
        <v>Internet Services &amp; Software</v>
      </c>
      <c r="AB596" s="6" t="str">
        <v>Internet Services &amp; Software</v>
      </c>
    </row>
    <row r="597">
      <c r="A597" s="6" t="str">
        <v>53578A</v>
      </c>
      <c r="B597" s="6" t="str">
        <v>United States</v>
      </c>
      <c r="C597" s="6" t="str">
        <v>LinkedIn Corp</v>
      </c>
      <c r="D597" s="6" t="str">
        <v>LinkedIn Corp</v>
      </c>
      <c r="F597" s="6" t="str">
        <v>United States</v>
      </c>
      <c r="G597" s="6" t="str">
        <v>IndexTank Inc</v>
      </c>
      <c r="H597" s="6" t="str">
        <v>Business Services</v>
      </c>
      <c r="I597" s="6" t="str">
        <v>47603V</v>
      </c>
      <c r="J597" s="6" t="str">
        <v>IndexTank Inc</v>
      </c>
      <c r="K597" s="6" t="str">
        <v>IndexTank Inc</v>
      </c>
      <c r="L597" s="7">
        <f>=DATE(2011,10,11)</f>
        <v>40826.99949074074</v>
      </c>
      <c r="M597" s="7">
        <f>=DATE(2011,10,11)</f>
        <v>40826.99949074074</v>
      </c>
      <c r="W597" s="6" t="str">
        <v>Internet Services &amp; Software</v>
      </c>
      <c r="X597" s="6" t="str">
        <v>Internet Services &amp; Software</v>
      </c>
      <c r="Y597" s="6" t="str">
        <v>Internet Services &amp; Software</v>
      </c>
      <c r="Z597" s="6" t="str">
        <v>Internet Services &amp; Software</v>
      </c>
      <c r="AA597" s="6" t="str">
        <v>Internet Services &amp; Software</v>
      </c>
      <c r="AB597" s="6" t="str">
        <v>Internet Services &amp; Software</v>
      </c>
    </row>
    <row r="598">
      <c r="A598" s="6" t="str">
        <v>594918</v>
      </c>
      <c r="B598" s="6" t="str">
        <v>United States</v>
      </c>
      <c r="C598" s="6" t="str">
        <v>Microsoft Corp</v>
      </c>
      <c r="D598" s="6" t="str">
        <v>Microsoft Corp</v>
      </c>
      <c r="F598" s="6" t="str">
        <v>United States</v>
      </c>
      <c r="G598" s="6" t="str">
        <v>Twisted Pixel Games LLC</v>
      </c>
      <c r="H598" s="6" t="str">
        <v>Prepackaged Software</v>
      </c>
      <c r="I598" s="6" t="str">
        <v>91599M</v>
      </c>
      <c r="J598" s="6" t="str">
        <v>Twisted Pixel Games LLC</v>
      </c>
      <c r="K598" s="6" t="str">
        <v>Twisted Pixel Games LLC</v>
      </c>
      <c r="L598" s="7">
        <f>=DATE(2011,10,12)</f>
        <v>40827.99949074074</v>
      </c>
      <c r="M598" s="7">
        <f>=DATE(2011,10,12)</f>
        <v>40827.99949074074</v>
      </c>
      <c r="W598" s="6" t="str">
        <v>Monitors/Terminals;Internet Services &amp; Software;Operating Systems;Other Peripherals;Computer Consulting Services;Applications Software(Business</v>
      </c>
      <c r="X598" s="6" t="str">
        <v>Other Software (inq. Games)</v>
      </c>
      <c r="Y598" s="6" t="str">
        <v>Other Software (inq. Games)</v>
      </c>
      <c r="Z598" s="6" t="str">
        <v>Other Software (inq. Games)</v>
      </c>
      <c r="AA598" s="6" t="str">
        <v>Monitors/Terminals;Operating Systems;Applications Software(Business;Computer Consulting Services;Internet Services &amp; Software;Other Peripherals</v>
      </c>
      <c r="AB598" s="6" t="str">
        <v>Computer Consulting Services;Internet Services &amp; Software;Applications Software(Business;Other Peripherals;Operating Systems;Monitors/Terminals</v>
      </c>
    </row>
    <row r="599">
      <c r="A599" s="6" t="str">
        <v>0A5696</v>
      </c>
      <c r="B599" s="6" t="str">
        <v>United States</v>
      </c>
      <c r="C599" s="6" t="str">
        <v>Fliptop Inc</v>
      </c>
      <c r="D599" s="6" t="str">
        <v>Fliptop Inc</v>
      </c>
      <c r="F599" s="6" t="str">
        <v>United Kingdom</v>
      </c>
      <c r="G599" s="6" t="str">
        <v>Qwerly</v>
      </c>
      <c r="H599" s="6" t="str">
        <v>Business Services</v>
      </c>
      <c r="I599" s="6" t="str">
        <v>0A5699</v>
      </c>
      <c r="J599" s="6" t="str">
        <v>Qwerly</v>
      </c>
      <c r="K599" s="6" t="str">
        <v>Qwerly</v>
      </c>
      <c r="L599" s="7">
        <f>=DATE(2011,10,31)</f>
        <v>40846.99949074074</v>
      </c>
      <c r="M599" s="7">
        <f>=DATE(2011,10,31)</f>
        <v>40846.99949074074</v>
      </c>
      <c r="W599" s="6" t="str">
        <v>Applications Software(Business</v>
      </c>
      <c r="X599" s="6" t="str">
        <v>Database Software/Programming;Desktop Publishing;Applications Software(Home);Internet Services &amp; Software;Communication/Network Software;Programming Services;Applications Software(Business;Utilities/File Mgmt Software;Other Software (inq. Games)</v>
      </c>
      <c r="Y599" s="6" t="str">
        <v>Database Software/Programming;Programming Services;Communication/Network Software;Desktop Publishing;Internet Services &amp; Software;Utilities/File Mgmt Software;Applications Software(Home);Other Software (inq. Games);Applications Software(Business</v>
      </c>
      <c r="Z599" s="6" t="str">
        <v>Applications Software(Home);Desktop Publishing;Other Software (inq. Games);Database Software/Programming;Communication/Network Software;Internet Services &amp; Software;Programming Services;Utilities/File Mgmt Software;Applications Software(Business</v>
      </c>
      <c r="AA599" s="6" t="str">
        <v>Applications Software(Business</v>
      </c>
      <c r="AB599" s="6" t="str">
        <v>Applications Software(Business</v>
      </c>
    </row>
    <row r="600">
      <c r="A600" s="6" t="str">
        <v>30303M</v>
      </c>
      <c r="B600" s="6" t="str">
        <v>United States</v>
      </c>
      <c r="C600" s="6" t="str">
        <v>Facebook Inc</v>
      </c>
      <c r="D600" s="6" t="str">
        <v>Facebook Inc</v>
      </c>
      <c r="F600" s="6" t="str">
        <v>United States</v>
      </c>
      <c r="G600" s="6" t="str">
        <v>Strobe Inc</v>
      </c>
      <c r="H600" s="6" t="str">
        <v>Business Services</v>
      </c>
      <c r="I600" s="6" t="str">
        <v>85909W</v>
      </c>
      <c r="J600" s="6" t="str">
        <v>Strobe Inc</v>
      </c>
      <c r="K600" s="6" t="str">
        <v>Strobe Inc</v>
      </c>
      <c r="L600" s="7">
        <f>=DATE(2011,11,8)</f>
        <v>40854.99949074074</v>
      </c>
      <c r="M600" s="7">
        <f>=DATE(2011,11,8)</f>
        <v>40854.99949074074</v>
      </c>
      <c r="W600" s="6" t="str">
        <v>Internet Services &amp; Software</v>
      </c>
      <c r="X600" s="6" t="str">
        <v>Internet Services &amp; Software;Other Computer Related Svcs;Programming Services;Computer Consulting Services;Applications Software(Business</v>
      </c>
      <c r="Y600" s="6" t="str">
        <v>Programming Services;Other Computer Related Svcs;Applications Software(Business;Computer Consulting Services;Internet Services &amp; Software</v>
      </c>
      <c r="Z600" s="6" t="str">
        <v>Internet Services &amp; Software;Programming Services;Computer Consulting Services;Applications Software(Business;Other Computer Related Svcs</v>
      </c>
      <c r="AA600" s="6" t="str">
        <v>Internet Services &amp; Software</v>
      </c>
      <c r="AB600" s="6" t="str">
        <v>Internet Services &amp; Software</v>
      </c>
    </row>
    <row r="601">
      <c r="A601" s="6" t="str">
        <v>38259P</v>
      </c>
      <c r="B601" s="6" t="str">
        <v>United States</v>
      </c>
      <c r="C601" s="6" t="str">
        <v>Google Inc</v>
      </c>
      <c r="D601" s="6" t="str">
        <v>Alphabet Inc</v>
      </c>
      <c r="E601" s="6" t="str">
        <v>Google Inc</v>
      </c>
      <c r="F601" s="6" t="str">
        <v>United States</v>
      </c>
      <c r="G601" s="6" t="str">
        <v>Apture Inc</v>
      </c>
      <c r="H601" s="6" t="str">
        <v>Prepackaged Software</v>
      </c>
      <c r="I601" s="6" t="str">
        <v>04149Q</v>
      </c>
      <c r="J601" s="6" t="str">
        <v>Apture Inc</v>
      </c>
      <c r="K601" s="6" t="str">
        <v>Apture Inc</v>
      </c>
      <c r="L601" s="7">
        <f>=DATE(2011,11,10)</f>
        <v>40856.99949074074</v>
      </c>
      <c r="M601" s="7">
        <f>=DATE(2011,11,10)</f>
        <v>40856.99949074074</v>
      </c>
      <c r="W601" s="6" t="str">
        <v>Programming Services;Internet Services &amp; Software</v>
      </c>
      <c r="X601" s="6" t="str">
        <v>Applications Software(Business</v>
      </c>
      <c r="Y601" s="6" t="str">
        <v>Applications Software(Business</v>
      </c>
      <c r="Z601" s="6" t="str">
        <v>Applications Software(Business</v>
      </c>
      <c r="AA601" s="6" t="str">
        <v>Computer Consulting Services;Primary Business not Hi-Tech;Internet Services &amp; Software;Telecommunications Equipment;Programming Services</v>
      </c>
      <c r="AB601" s="6" t="str">
        <v>Computer Consulting Services;Programming Services;Internet Services &amp; Software;Primary Business not Hi-Tech;Telecommunications Equipment</v>
      </c>
    </row>
    <row r="602">
      <c r="A602" s="6" t="str">
        <v>38259P</v>
      </c>
      <c r="B602" s="6" t="str">
        <v>United States</v>
      </c>
      <c r="C602" s="6" t="str">
        <v>Google Inc</v>
      </c>
      <c r="D602" s="6" t="str">
        <v>Alphabet Inc</v>
      </c>
      <c r="E602" s="6" t="str">
        <v>Google Inc</v>
      </c>
      <c r="F602" s="6" t="str">
        <v>United States</v>
      </c>
      <c r="G602" s="6" t="str">
        <v>Katango Inc</v>
      </c>
      <c r="H602" s="6" t="str">
        <v>Prepackaged Software</v>
      </c>
      <c r="I602" s="6" t="str">
        <v>48969C</v>
      </c>
      <c r="J602" s="6" t="str">
        <v>Katango Inc</v>
      </c>
      <c r="K602" s="6" t="str">
        <v>Katango Inc</v>
      </c>
      <c r="L602" s="7">
        <f>=DATE(2011,11,10)</f>
        <v>40856.99949074074</v>
      </c>
      <c r="M602" s="7">
        <f>=DATE(2011,11,10)</f>
        <v>40856.99949074074</v>
      </c>
      <c r="W602" s="6" t="str">
        <v>Programming Services;Internet Services &amp; Software</v>
      </c>
      <c r="X602" s="6" t="str">
        <v>Applications Software(Business</v>
      </c>
      <c r="Y602" s="6" t="str">
        <v>Applications Software(Business</v>
      </c>
      <c r="Z602" s="6" t="str">
        <v>Applications Software(Business</v>
      </c>
      <c r="AA602" s="6" t="str">
        <v>Primary Business not Hi-Tech;Programming Services;Internet Services &amp; Software;Computer Consulting Services;Telecommunications Equipment</v>
      </c>
      <c r="AB602" s="6" t="str">
        <v>Computer Consulting Services;Internet Services &amp; Software;Primary Business not Hi-Tech;Programming Services;Telecommunications Equipment</v>
      </c>
    </row>
    <row r="603">
      <c r="A603" s="6" t="str">
        <v>594918</v>
      </c>
      <c r="B603" s="6" t="str">
        <v>United States</v>
      </c>
      <c r="C603" s="6" t="str">
        <v>Microsoft Corp</v>
      </c>
      <c r="D603" s="6" t="str">
        <v>Microsoft Corp</v>
      </c>
      <c r="F603" s="6" t="str">
        <v>United States</v>
      </c>
      <c r="G603" s="6" t="str">
        <v>VideoSurf Inc</v>
      </c>
      <c r="H603" s="6" t="str">
        <v>Business Services</v>
      </c>
      <c r="I603" s="6" t="str">
        <v>93514A</v>
      </c>
      <c r="J603" s="6" t="str">
        <v>VideoSurf Inc</v>
      </c>
      <c r="K603" s="6" t="str">
        <v>VideoSurf Inc</v>
      </c>
      <c r="L603" s="7">
        <f>=DATE(2011,11,22)</f>
        <v>40868.99949074074</v>
      </c>
      <c r="M603" s="7">
        <f>=DATE(2011,11,22)</f>
        <v>40868.99949074074</v>
      </c>
      <c r="W603" s="6" t="str">
        <v>Other Peripherals;Monitors/Terminals;Applications Software(Business;Internet Services &amp; Software;Computer Consulting Services;Operating Systems</v>
      </c>
      <c r="X603" s="6" t="str">
        <v>Internet Services &amp; Software</v>
      </c>
      <c r="Y603" s="6" t="str">
        <v>Internet Services &amp; Software</v>
      </c>
      <c r="Z603" s="6" t="str">
        <v>Internet Services &amp; Software</v>
      </c>
      <c r="AA603" s="6" t="str">
        <v>Other Peripherals;Computer Consulting Services;Internet Services &amp; Software;Operating Systems;Monitors/Terminals;Applications Software(Business</v>
      </c>
      <c r="AB603" s="6" t="str">
        <v>Computer Consulting Services;Other Peripherals;Internet Services &amp; Software;Monitors/Terminals;Applications Software(Business;Operating Systems</v>
      </c>
    </row>
    <row r="604">
      <c r="A604" s="6" t="str">
        <v>30303M</v>
      </c>
      <c r="B604" s="6" t="str">
        <v>United States</v>
      </c>
      <c r="C604" s="6" t="str">
        <v>Facebook Inc</v>
      </c>
      <c r="D604" s="6" t="str">
        <v>Facebook Inc</v>
      </c>
      <c r="F604" s="6" t="str">
        <v>United States</v>
      </c>
      <c r="G604" s="6" t="str">
        <v>Gowalla Inc</v>
      </c>
      <c r="H604" s="6" t="str">
        <v>Prepackaged Software</v>
      </c>
      <c r="I604" s="6" t="str">
        <v>38396X</v>
      </c>
      <c r="J604" s="6" t="str">
        <v>Gowalla Inc</v>
      </c>
      <c r="K604" s="6" t="str">
        <v>Gowalla Inc</v>
      </c>
      <c r="L604" s="7">
        <f>=DATE(2011,12,2)</f>
        <v>40878.99949074074</v>
      </c>
      <c r="M604" s="7">
        <f>=DATE(2011,12,2)</f>
        <v>40878.99949074074</v>
      </c>
      <c r="W604" s="6" t="str">
        <v>Internet Services &amp; Software</v>
      </c>
      <c r="X604" s="6" t="str">
        <v>Applications Software(Business</v>
      </c>
      <c r="Y604" s="6" t="str">
        <v>Applications Software(Business</v>
      </c>
      <c r="Z604" s="6" t="str">
        <v>Applications Software(Business</v>
      </c>
      <c r="AA604" s="6" t="str">
        <v>Internet Services &amp; Software</v>
      </c>
      <c r="AB604" s="6" t="str">
        <v>Internet Services &amp; Software</v>
      </c>
    </row>
    <row r="605">
      <c r="A605" s="6" t="str">
        <v>37657R</v>
      </c>
      <c r="B605" s="6" t="str">
        <v>United States</v>
      </c>
      <c r="C605" s="6" t="str">
        <v>GitHub Inc</v>
      </c>
      <c r="D605" s="6" t="str">
        <v>GitHub Inc</v>
      </c>
      <c r="F605" s="6" t="str">
        <v>United States</v>
      </c>
      <c r="G605" s="6" t="str">
        <v>Ordered List</v>
      </c>
      <c r="H605" s="6" t="str">
        <v>Business Services</v>
      </c>
      <c r="I605" s="6" t="str">
        <v>68696M</v>
      </c>
      <c r="J605" s="6" t="str">
        <v>Ordered List</v>
      </c>
      <c r="K605" s="6" t="str">
        <v>Ordered List</v>
      </c>
      <c r="L605" s="7">
        <f>=DATE(2011,12,5)</f>
        <v>40881.99949074074</v>
      </c>
      <c r="M605" s="7">
        <f>=DATE(2011,12,5)</f>
        <v>40881.99949074074</v>
      </c>
      <c r="W605" s="6" t="str">
        <v>Internet Services &amp; Software</v>
      </c>
      <c r="X605" s="6" t="str">
        <v>Internet Services &amp; Software</v>
      </c>
      <c r="Y605" s="6" t="str">
        <v>Internet Services &amp; Software</v>
      </c>
      <c r="Z605" s="6" t="str">
        <v>Internet Services &amp; Software</v>
      </c>
      <c r="AA605" s="6" t="str">
        <v>Internet Services &amp; Software</v>
      </c>
      <c r="AB605" s="6" t="str">
        <v>Internet Services &amp; Software</v>
      </c>
    </row>
    <row r="606">
      <c r="A606" s="6" t="str">
        <v>023135</v>
      </c>
      <c r="B606" s="6" t="str">
        <v>United States</v>
      </c>
      <c r="C606" s="6" t="str">
        <v>Amazon.com Inc</v>
      </c>
      <c r="D606" s="6" t="str">
        <v>Amazon.com Inc</v>
      </c>
      <c r="F606" s="6" t="str">
        <v>United States</v>
      </c>
      <c r="G606" s="6" t="str">
        <v>Foxit Corp</v>
      </c>
      <c r="H606" s="6" t="str">
        <v>Prepackaged Software</v>
      </c>
      <c r="I606" s="6" t="str">
        <v>35220Q</v>
      </c>
      <c r="J606" s="6" t="str">
        <v>Foxit Corp</v>
      </c>
      <c r="K606" s="6" t="str">
        <v>Foxit Corp</v>
      </c>
      <c r="L606" s="7">
        <f>=DATE(2011,12,6)</f>
        <v>40882.99949074074</v>
      </c>
      <c r="M606" s="7">
        <f>=DATE(2011,12,6)</f>
        <v>40882.99949074074</v>
      </c>
      <c r="W606" s="6" t="str">
        <v>Primary Business not Hi-Tech</v>
      </c>
      <c r="X606" s="6" t="str">
        <v>Applications Software(Business;Utilities/File Mgmt Software</v>
      </c>
      <c r="Y606" s="6" t="str">
        <v>Utilities/File Mgmt Software;Applications Software(Business</v>
      </c>
      <c r="Z606" s="6" t="str">
        <v>Utilities/File Mgmt Software;Applications Software(Business</v>
      </c>
      <c r="AA606" s="6" t="str">
        <v>Primary Business not Hi-Tech</v>
      </c>
      <c r="AB606" s="6" t="str">
        <v>Primary Business not Hi-Tech</v>
      </c>
    </row>
    <row r="607">
      <c r="A607" s="6" t="str">
        <v>052660</v>
      </c>
      <c r="B607" s="6" t="str">
        <v>United States</v>
      </c>
      <c r="C607" s="6" t="str">
        <v>AuthenTec Inc</v>
      </c>
      <c r="D607" s="6" t="str">
        <v>AuthenTec Inc</v>
      </c>
      <c r="F607" s="6" t="str">
        <v>United States</v>
      </c>
      <c r="G607" s="6" t="str">
        <v>PeerSec Networks Inc</v>
      </c>
      <c r="H607" s="6" t="str">
        <v>Prepackaged Software</v>
      </c>
      <c r="I607" s="6" t="str">
        <v>70579Q</v>
      </c>
      <c r="J607" s="6" t="str">
        <v>PeerSec Networks Inc</v>
      </c>
      <c r="K607" s="6" t="str">
        <v>PeerSec Networks Inc</v>
      </c>
      <c r="L607" s="7">
        <f>=DATE(2011,12,6)</f>
        <v>40882.99949074074</v>
      </c>
      <c r="M607" s="7">
        <f>=DATE(2011,12,6)</f>
        <v>40882.99949074074</v>
      </c>
      <c r="W607" s="6" t="str">
        <v>Other Electronics;Semiconductors;Search, Detection, Navigation</v>
      </c>
      <c r="X607" s="6" t="str">
        <v>Applications Software(Business</v>
      </c>
      <c r="Y607" s="6" t="str">
        <v>Applications Software(Business</v>
      </c>
      <c r="Z607" s="6" t="str">
        <v>Applications Software(Business</v>
      </c>
      <c r="AA607" s="6" t="str">
        <v>Semiconductors;Search, Detection, Navigation;Other Electronics</v>
      </c>
      <c r="AB607" s="6" t="str">
        <v>Semiconductors;Other Electronics;Search, Detection, Navigation</v>
      </c>
    </row>
    <row r="608">
      <c r="A608" s="6" t="str">
        <v>98787H</v>
      </c>
      <c r="B608" s="6" t="str">
        <v>United States</v>
      </c>
      <c r="C608" s="6" t="str">
        <v>YouTube Inc</v>
      </c>
      <c r="D608" s="6" t="str">
        <v>Alphabet Inc</v>
      </c>
      <c r="F608" s="6" t="str">
        <v>United States</v>
      </c>
      <c r="G608" s="6" t="str">
        <v>RightsFlow Inc</v>
      </c>
      <c r="H608" s="6" t="str">
        <v>Business Services</v>
      </c>
      <c r="I608" s="6" t="str">
        <v>76873V</v>
      </c>
      <c r="J608" s="6" t="str">
        <v>RightsFlow Inc</v>
      </c>
      <c r="K608" s="6" t="str">
        <v>RightsFlow Inc</v>
      </c>
      <c r="L608" s="7">
        <f>=DATE(2011,12,9)</f>
        <v>40885.99949074074</v>
      </c>
      <c r="M608" s="7">
        <f>=DATE(2011,12,9)</f>
        <v>40885.99949074074</v>
      </c>
      <c r="W608" s="6" t="str">
        <v>Internet Services &amp; Software</v>
      </c>
      <c r="X608" s="6" t="str">
        <v>Internet Services &amp; Software</v>
      </c>
      <c r="Y608" s="6" t="str">
        <v>Internet Services &amp; Software</v>
      </c>
      <c r="Z608" s="6" t="str">
        <v>Internet Services &amp; Software</v>
      </c>
      <c r="AA608" s="6" t="str">
        <v>Internet Services &amp; Software;Programming Services</v>
      </c>
      <c r="AB608" s="6" t="str">
        <v>Internet Services &amp; Software;Telecommunications Equipment;Computer Consulting Services;Programming Services;Primary Business not Hi-Tech</v>
      </c>
    </row>
    <row r="609">
      <c r="A609" s="6" t="str">
        <v>38259P</v>
      </c>
      <c r="B609" s="6" t="str">
        <v>United States</v>
      </c>
      <c r="C609" s="6" t="str">
        <v>Google Inc</v>
      </c>
      <c r="D609" s="6" t="str">
        <v>Alphabet Inc</v>
      </c>
      <c r="F609" s="6" t="str">
        <v>United States</v>
      </c>
      <c r="G609" s="6" t="str">
        <v>Clever Sense Inc</v>
      </c>
      <c r="H609" s="6" t="str">
        <v>Prepackaged Software</v>
      </c>
      <c r="I609" s="6" t="str">
        <v>18584W</v>
      </c>
      <c r="J609" s="6" t="str">
        <v>Clever Sense Inc</v>
      </c>
      <c r="K609" s="6" t="str">
        <v>Clever Sense Inc</v>
      </c>
      <c r="L609" s="7">
        <f>=DATE(2011,12,13)</f>
        <v>40889.99949074074</v>
      </c>
      <c r="M609" s="7">
        <f>=DATE(2011,12,13)</f>
        <v>40889.99949074074</v>
      </c>
      <c r="W609" s="6" t="str">
        <v>Internet Services &amp; Software;Programming Services</v>
      </c>
      <c r="X609" s="6" t="str">
        <v>Applications Software(Home);Other Software (inq. Games)</v>
      </c>
      <c r="Y609" s="6" t="str">
        <v>Applications Software(Home);Other Software (inq. Games)</v>
      </c>
      <c r="Z609" s="6" t="str">
        <v>Applications Software(Home);Other Software (inq. Games)</v>
      </c>
      <c r="AA609" s="6" t="str">
        <v>Primary Business not Hi-Tech;Programming Services;Computer Consulting Services;Telecommunications Equipment;Internet Services &amp; Software</v>
      </c>
      <c r="AB609" s="6" t="str">
        <v>Telecommunications Equipment;Computer Consulting Services;Programming Services;Primary Business not Hi-Tech;Internet Services &amp; Software</v>
      </c>
    </row>
    <row r="610">
      <c r="A610" s="6" t="str">
        <v>023135</v>
      </c>
      <c r="B610" s="6" t="str">
        <v>United States</v>
      </c>
      <c r="C610" s="6" t="str">
        <v>Amazon.com Inc</v>
      </c>
      <c r="D610" s="6" t="str">
        <v>Amazon.com Inc</v>
      </c>
      <c r="F610" s="6" t="str">
        <v>Turkey</v>
      </c>
      <c r="G610" s="6" t="str">
        <v>Ciceksepeti Internet Hizmetleri As</v>
      </c>
      <c r="H610" s="6" t="str">
        <v>Miscellaneous Retail Trade</v>
      </c>
      <c r="I610" s="6" t="str">
        <v>17487L</v>
      </c>
      <c r="J610" s="6" t="str">
        <v>Ciceksepeti Internet Hizmetleri As</v>
      </c>
      <c r="K610" s="6" t="str">
        <v>Ciceksepeti Internet Hizmetleri As</v>
      </c>
      <c r="L610" s="7">
        <f>=DATE(2011,12,20)</f>
        <v>40896.99949074074</v>
      </c>
      <c r="W610" s="6" t="str">
        <v>Primary Business not Hi-Tech</v>
      </c>
      <c r="X610" s="6" t="str">
        <v>Internet Services &amp; Software</v>
      </c>
      <c r="Y610" s="6" t="str">
        <v>Internet Services &amp; Software</v>
      </c>
      <c r="Z610" s="6" t="str">
        <v>Internet Services &amp; Software</v>
      </c>
      <c r="AA610" s="6" t="str">
        <v>Primary Business not Hi-Tech</v>
      </c>
      <c r="AB610" s="6" t="str">
        <v>Primary Business not Hi-Tech</v>
      </c>
    </row>
    <row r="611">
      <c r="A611" s="6" t="str">
        <v>67020Y</v>
      </c>
      <c r="B611" s="6" t="str">
        <v>United States</v>
      </c>
      <c r="C611" s="6" t="str">
        <v>Nuance Communications Inc</v>
      </c>
      <c r="D611" s="6" t="str">
        <v>Nuance Communications Inc</v>
      </c>
      <c r="F611" s="6" t="str">
        <v>United States</v>
      </c>
      <c r="G611" s="6" t="str">
        <v>Vlingo Inc</v>
      </c>
      <c r="H611" s="6" t="str">
        <v>Prepackaged Software</v>
      </c>
      <c r="I611" s="6" t="str">
        <v>93519M</v>
      </c>
      <c r="J611" s="6" t="str">
        <v>Vlingo Inc</v>
      </c>
      <c r="K611" s="6" t="str">
        <v>Vlingo Inc</v>
      </c>
      <c r="L611" s="7">
        <f>=DATE(2011,12,20)</f>
        <v>40896.99949074074</v>
      </c>
      <c r="M611" s="7">
        <f>=DATE(2012,6,1)</f>
        <v>41060.99949074074</v>
      </c>
      <c r="N611" s="8">
        <v>200</v>
      </c>
      <c r="O611" s="8">
        <v>200</v>
      </c>
      <c r="R611" s="8">
        <v>-23.377</v>
      </c>
      <c r="S611" s="8">
        <v>4.46</v>
      </c>
      <c r="T611" s="8">
        <v>12.768</v>
      </c>
      <c r="U611" s="8">
        <v>-1.412</v>
      </c>
      <c r="V611" s="8">
        <v>-14.259</v>
      </c>
      <c r="W611" s="6" t="str">
        <v>Programming Services;Applications Software(Home);Primary Business not Hi-Tech;Applications Software(Business;Networking Systems (LAN,WAN);Communication/Network Software;Database Software/Programming;Internet Services &amp; Software;Utilities/File Mgmt Software;Other Software (inq. Games);Computer Consulting Services;Other Computer Related Svcs;Desktop Publishing</v>
      </c>
      <c r="X611" s="6" t="str">
        <v>Satellite Communications;Cellular Communications;Communication/Network Software</v>
      </c>
      <c r="Y611" s="6" t="str">
        <v>Cellular Communications;Satellite Communications;Communication/Network Software</v>
      </c>
      <c r="Z611" s="6" t="str">
        <v>Cellular Communications;Communication/Network Software;Satellite Communications</v>
      </c>
      <c r="AA611" s="6" t="str">
        <v>Other Computer Related Svcs;Programming Services;Utilities/File Mgmt Software;Primary Business not Hi-Tech;Computer Consulting Services;Internet Services &amp; Software;Other Software (inq. Games);Applications Software(Business;Desktop Publishing;Database Software/Programming;Applications Software(Home);Communication/Network Software;Networking Systems (LAN,WAN)</v>
      </c>
      <c r="AB611" s="6" t="str">
        <v>Other Computer Related Svcs;Computer Consulting Services;Desktop Publishing;Database Software/Programming;Networking Systems (LAN,WAN);Primary Business not Hi-Tech;Applications Software(Business;Communication/Network Software;Applications Software(Home);Programming Services;Other Software (inq. Games);Utilities/File Mgmt Software;Internet Services &amp; Software</v>
      </c>
      <c r="AC611" s="8">
        <v>200</v>
      </c>
      <c r="AD611" s="7">
        <f>=DATE(2012,6,1)</f>
        <v>41060.99949074074</v>
      </c>
      <c r="AJ611" s="8" t="str">
        <v>200.00</v>
      </c>
      <c r="AK611" s="6" t="str">
        <v>US Dollar</v>
      </c>
      <c r="AL611" s="8">
        <v>200</v>
      </c>
    </row>
    <row r="612">
      <c r="A612" s="6" t="str">
        <v>023135</v>
      </c>
      <c r="B612" s="6" t="str">
        <v>United States</v>
      </c>
      <c r="C612" s="6" t="str">
        <v>Amazon.com Inc</v>
      </c>
      <c r="D612" s="6" t="str">
        <v>Amazon.com Inc</v>
      </c>
      <c r="F612" s="6" t="str">
        <v>United States</v>
      </c>
      <c r="G612" s="6" t="str">
        <v>Quorus Inc</v>
      </c>
      <c r="H612" s="6" t="str">
        <v>Business Services</v>
      </c>
      <c r="I612" s="6" t="str">
        <v>76883Z</v>
      </c>
      <c r="J612" s="6" t="str">
        <v>Quorus Inc</v>
      </c>
      <c r="K612" s="6" t="str">
        <v>Quorus Inc</v>
      </c>
      <c r="L612" s="7">
        <f>=DATE(2011,12,28)</f>
        <v>40904.99949074074</v>
      </c>
      <c r="M612" s="7">
        <f>=DATE(2011,12,28)</f>
        <v>40904.99949074074</v>
      </c>
      <c r="W612" s="6" t="str">
        <v>Primary Business not Hi-Tech</v>
      </c>
      <c r="X612" s="6" t="str">
        <v>Communication/Network Software;Internet Services &amp; Software</v>
      </c>
      <c r="Y612" s="6" t="str">
        <v>Communication/Network Software;Internet Services &amp; Software</v>
      </c>
      <c r="Z612" s="6" t="str">
        <v>Communication/Network Software;Internet Services &amp; Software</v>
      </c>
      <c r="AA612" s="6" t="str">
        <v>Primary Business not Hi-Tech</v>
      </c>
      <c r="AB612" s="6" t="str">
        <v>Primary Business not Hi-Tech</v>
      </c>
    </row>
    <row r="613">
      <c r="A613" s="6" t="str">
        <v>037833</v>
      </c>
      <c r="B613" s="6" t="str">
        <v>United States</v>
      </c>
      <c r="C613" s="6" t="str">
        <v>Apple Inc</v>
      </c>
      <c r="D613" s="6" t="str">
        <v>Apple Inc</v>
      </c>
      <c r="F613" s="6" t="str">
        <v>Israel</v>
      </c>
      <c r="G613" s="6" t="str">
        <v>Anobit Technologies Ltd</v>
      </c>
      <c r="H613" s="6" t="str">
        <v>Computer and Office Equipment</v>
      </c>
      <c r="I613" s="6" t="str">
        <v>04150X</v>
      </c>
      <c r="J613" s="6" t="str">
        <v>Anobit Technologies Ltd</v>
      </c>
      <c r="K613" s="6" t="str">
        <v>Anobit Technologies Ltd</v>
      </c>
      <c r="L613" s="7">
        <f>=DATE(2012,1,6)</f>
        <v>40913.99949074074</v>
      </c>
      <c r="M613" s="7">
        <f>=DATE(2012,1,6)</f>
        <v>40913.99949074074</v>
      </c>
      <c r="W613" s="6" t="str">
        <v>Portable Computers;Other Software (inq. Games);Mainframes &amp; Super Computers;Disk Drives;Monitors/Terminals;Micro-Computers (PCs);Printers;Other Peripherals</v>
      </c>
      <c r="X613" s="6" t="str">
        <v>Other Peripherals</v>
      </c>
      <c r="Y613" s="6" t="str">
        <v>Other Peripherals</v>
      </c>
      <c r="Z613" s="6" t="str">
        <v>Other Peripherals</v>
      </c>
      <c r="AA613" s="6" t="str">
        <v>Portable Computers;Disk Drives;Other Peripherals;Monitors/Terminals;Mainframes &amp; Super Computers;Printers;Other Software (inq. Games);Micro-Computers (PCs)</v>
      </c>
      <c r="AB613" s="6" t="str">
        <v>Micro-Computers (PCs);Other Software (inq. Games);Printers;Monitors/Terminals;Disk Drives;Portable Computers;Other Peripherals;Mainframes &amp; Super Computers</v>
      </c>
      <c r="AD613" s="7">
        <f>=DATE(2011,12,13)</f>
        <v>40889.99949074074</v>
      </c>
    </row>
    <row r="614">
      <c r="A614" s="6" t="str">
        <v>052660</v>
      </c>
      <c r="B614" s="6" t="str">
        <v>United States</v>
      </c>
      <c r="C614" s="6" t="str">
        <v>AuthenTec Inc</v>
      </c>
      <c r="D614" s="6" t="str">
        <v>AuthenTec Inc</v>
      </c>
      <c r="F614" s="6" t="str">
        <v>United States</v>
      </c>
      <c r="G614" s="6" t="str">
        <v>Proxure Inc</v>
      </c>
      <c r="H614" s="6" t="str">
        <v>Prepackaged Software</v>
      </c>
      <c r="I614" s="6" t="str">
        <v>76886V</v>
      </c>
      <c r="J614" s="6" t="str">
        <v>Proxure Inc</v>
      </c>
      <c r="K614" s="6" t="str">
        <v>Proxure Inc</v>
      </c>
      <c r="L614" s="7">
        <f>=DATE(2012,1,9)</f>
        <v>40916.99949074074</v>
      </c>
      <c r="M614" s="7">
        <f>=DATE(2012,1,9)</f>
        <v>40916.99949074074</v>
      </c>
      <c r="W614" s="6" t="str">
        <v>Other Electronics;Search, Detection, Navigation;Semiconductors</v>
      </c>
      <c r="X614" s="6" t="str">
        <v>Applications Software(Business</v>
      </c>
      <c r="Y614" s="6" t="str">
        <v>Applications Software(Business</v>
      </c>
      <c r="Z614" s="6" t="str">
        <v>Applications Software(Business</v>
      </c>
      <c r="AA614" s="6" t="str">
        <v>Search, Detection, Navigation;Other Electronics;Semiconductors</v>
      </c>
      <c r="AB614" s="6" t="str">
        <v>Search, Detection, Navigation;Other Electronics;Semiconductors</v>
      </c>
    </row>
    <row r="615">
      <c r="A615" s="6" t="str">
        <v>594918</v>
      </c>
      <c r="B615" s="6" t="str">
        <v>United States</v>
      </c>
      <c r="C615" s="6" t="str">
        <v>Microsoft Corp</v>
      </c>
      <c r="D615" s="6" t="str">
        <v>Microsoft Corp</v>
      </c>
      <c r="F615" s="6" t="str">
        <v>United States</v>
      </c>
      <c r="G615" s="6" t="str">
        <v>24/7 Customer Inc</v>
      </c>
      <c r="H615" s="6" t="str">
        <v>Business Services</v>
      </c>
      <c r="I615" s="6" t="str">
        <v>92060V</v>
      </c>
      <c r="J615" s="6" t="str">
        <v>24/7 Customer Inc</v>
      </c>
      <c r="K615" s="6" t="str">
        <v>24/7 Customer Inc</v>
      </c>
      <c r="L615" s="7">
        <f>=DATE(2012,2,7)</f>
        <v>40945.99949074074</v>
      </c>
      <c r="W615" s="6" t="str">
        <v>Monitors/Terminals;Other Peripherals;Internet Services &amp; Software;Operating Systems;Applications Software(Business;Computer Consulting Services</v>
      </c>
      <c r="X615" s="6" t="str">
        <v>Data Processing Services;Other Computer Related Svcs</v>
      </c>
      <c r="Y615" s="6" t="str">
        <v>Other Computer Related Svcs;Data Processing Services</v>
      </c>
      <c r="Z615" s="6" t="str">
        <v>Data Processing Services;Other Computer Related Svcs</v>
      </c>
      <c r="AA615" s="6" t="str">
        <v>Applications Software(Business;Internet Services &amp; Software;Computer Consulting Services;Other Peripherals;Operating Systems;Monitors/Terminals</v>
      </c>
      <c r="AB615" s="6" t="str">
        <v>Other Peripherals;Operating Systems;Monitors/Terminals;Internet Services &amp; Software;Computer Consulting Services;Applications Software(Business</v>
      </c>
    </row>
    <row r="616">
      <c r="A616" s="6" t="str">
        <v>53578A</v>
      </c>
      <c r="B616" s="6" t="str">
        <v>United States</v>
      </c>
      <c r="C616" s="6" t="str">
        <v>LinkedIn Corp</v>
      </c>
      <c r="D616" s="6" t="str">
        <v>LinkedIn Corp</v>
      </c>
      <c r="F616" s="6" t="str">
        <v>United States</v>
      </c>
      <c r="G616" s="6" t="str">
        <v>Rapportive Inc</v>
      </c>
      <c r="H616" s="6" t="str">
        <v>Business Services</v>
      </c>
      <c r="I616" s="6" t="str">
        <v>99505N</v>
      </c>
      <c r="J616" s="6" t="str">
        <v>Rapportive Inc</v>
      </c>
      <c r="K616" s="6" t="str">
        <v>Rapportive Inc</v>
      </c>
      <c r="L616" s="7">
        <f>=DATE(2012,2,7)</f>
        <v>40945.99949074074</v>
      </c>
      <c r="M616" s="7">
        <f>=DATE(2012,2,23)</f>
        <v>40961.99949074074</v>
      </c>
      <c r="N616" s="8">
        <v>15</v>
      </c>
      <c r="O616" s="8">
        <v>15</v>
      </c>
      <c r="W616" s="6" t="str">
        <v>Internet Services &amp; Software</v>
      </c>
      <c r="X616" s="6" t="str">
        <v>Internet Services &amp; Software</v>
      </c>
      <c r="Y616" s="6" t="str">
        <v>Internet Services &amp; Software</v>
      </c>
      <c r="Z616" s="6" t="str">
        <v>Internet Services &amp; Software</v>
      </c>
      <c r="AA616" s="6" t="str">
        <v>Internet Services &amp; Software</v>
      </c>
      <c r="AB616" s="6" t="str">
        <v>Internet Services &amp; Software</v>
      </c>
      <c r="AC616" s="8">
        <v>15</v>
      </c>
      <c r="AD616" s="7">
        <f>=DATE(2012,2,23)</f>
        <v>40961.99949074074</v>
      </c>
      <c r="AJ616" s="8" t="str">
        <v>15.00</v>
      </c>
      <c r="AK616" s="6" t="str">
        <v>US Dollar</v>
      </c>
      <c r="AL616" s="8">
        <v>15</v>
      </c>
    </row>
    <row r="617">
      <c r="A617" s="6" t="str">
        <v>00507V</v>
      </c>
      <c r="B617" s="6" t="str">
        <v>United States</v>
      </c>
      <c r="C617" s="6" t="str">
        <v>Activision Blizzard Inc</v>
      </c>
      <c r="D617" s="6" t="str">
        <v>Vivendi SE</v>
      </c>
      <c r="F617" s="6" t="str">
        <v>United States</v>
      </c>
      <c r="G617" s="6" t="str">
        <v>Activision Blizzard Inc</v>
      </c>
      <c r="H617" s="6" t="str">
        <v>Prepackaged Software</v>
      </c>
      <c r="I617" s="6" t="str">
        <v>00507V</v>
      </c>
      <c r="J617" s="6" t="str">
        <v>Vivendi SE</v>
      </c>
      <c r="K617" s="6" t="str">
        <v>Vivendi SE</v>
      </c>
      <c r="L617" s="7">
        <f>=DATE(2012,2,9)</f>
        <v>40947.99949074074</v>
      </c>
      <c r="N617" s="8">
        <v>1000</v>
      </c>
      <c r="O617" s="8">
        <v>1000</v>
      </c>
      <c r="R617" s="8">
        <v>1085</v>
      </c>
      <c r="S617" s="8">
        <v>4755</v>
      </c>
      <c r="T617" s="8">
        <v>-808</v>
      </c>
      <c r="U617" s="8">
        <v>266</v>
      </c>
      <c r="V617" s="8">
        <v>952</v>
      </c>
      <c r="W617" s="6" t="str">
        <v>Other Computer Systems;Other Software (inq. Games);Operating Systems</v>
      </c>
      <c r="X617" s="6" t="str">
        <v>Operating Systems;Other Software (inq. Games);Other Computer Systems</v>
      </c>
      <c r="Y617" s="6" t="str">
        <v>Internet Services &amp; Software;Other Software (inq. Games);Primary Business not Hi-Tech</v>
      </c>
      <c r="Z617" s="6" t="str">
        <v>Internet Services &amp; Software;Primary Business not Hi-Tech;Other Software (inq. Games)</v>
      </c>
      <c r="AA617" s="6" t="str">
        <v>Other Software (inq. Games);Internet Services &amp; Software;Primary Business not Hi-Tech</v>
      </c>
      <c r="AB617" s="6" t="str">
        <v>Internet Services &amp; Software;Other Software (inq. Games);Primary Business not Hi-Tech</v>
      </c>
      <c r="AC617" s="8">
        <v>1000</v>
      </c>
      <c r="AD617" s="7">
        <f>=DATE(2012,2,9)</f>
        <v>40947.99949074074</v>
      </c>
      <c r="AJ617" s="8" t="str">
        <v>1,000.00</v>
      </c>
      <c r="AK617" s="6" t="str">
        <v>US Dollar</v>
      </c>
      <c r="AL617" s="8">
        <v>1000</v>
      </c>
    </row>
    <row r="618">
      <c r="A618" s="6" t="str">
        <v>27195M</v>
      </c>
      <c r="B618" s="6" t="str">
        <v>United States</v>
      </c>
      <c r="C618" s="6" t="str">
        <v>Z2Live Inc</v>
      </c>
      <c r="D618" s="6" t="str">
        <v>Z2Live Inc</v>
      </c>
      <c r="F618" s="6" t="str">
        <v>Canada</v>
      </c>
      <c r="G618" s="6" t="str">
        <v>Big Sandwich Games</v>
      </c>
      <c r="H618" s="6" t="str">
        <v>Prepackaged Software</v>
      </c>
      <c r="I618" s="6" t="str">
        <v>09399J</v>
      </c>
      <c r="J618" s="6" t="str">
        <v>Big Sandwich Games</v>
      </c>
      <c r="K618" s="6" t="str">
        <v>Big Sandwich Games</v>
      </c>
      <c r="L618" s="7">
        <f>=DATE(2012,2,23)</f>
        <v>40961.99949074074</v>
      </c>
      <c r="M618" s="7">
        <f>=DATE(2012,2,23)</f>
        <v>40961.99949074074</v>
      </c>
      <c r="W618" s="6" t="str">
        <v>Other Software (inq. Games)</v>
      </c>
      <c r="X618" s="6" t="str">
        <v>Other Software (inq. Games)</v>
      </c>
      <c r="Y618" s="6" t="str">
        <v>Other Software (inq. Games)</v>
      </c>
      <c r="Z618" s="6" t="str">
        <v>Other Software (inq. Games)</v>
      </c>
      <c r="AA618" s="6" t="str">
        <v>Other Software (inq. Games)</v>
      </c>
      <c r="AB618" s="6" t="str">
        <v>Other Software (inq. Games)</v>
      </c>
    </row>
    <row r="619">
      <c r="A619" s="6" t="str">
        <v>037833</v>
      </c>
      <c r="B619" s="6" t="str">
        <v>United States</v>
      </c>
      <c r="C619" s="6" t="str">
        <v>Apple Inc</v>
      </c>
      <c r="D619" s="6" t="str">
        <v>Apple Inc</v>
      </c>
      <c r="F619" s="6" t="str">
        <v>United States</v>
      </c>
      <c r="G619" s="6" t="str">
        <v>Chomp Inc</v>
      </c>
      <c r="H619" s="6" t="str">
        <v>Business Services</v>
      </c>
      <c r="I619" s="6" t="str">
        <v>16804P</v>
      </c>
      <c r="J619" s="6" t="str">
        <v>Chomp Inc</v>
      </c>
      <c r="K619" s="6" t="str">
        <v>Chomp Inc</v>
      </c>
      <c r="L619" s="7">
        <f>=DATE(2012,2,23)</f>
        <v>40961.99949074074</v>
      </c>
      <c r="M619" s="7">
        <f>=DATE(2012,2,23)</f>
        <v>40961.99949074074</v>
      </c>
      <c r="W619" s="6" t="str">
        <v>Micro-Computers (PCs);Printers;Other Peripherals;Monitors/Terminals;Portable Computers;Disk Drives;Other Software (inq. Games);Mainframes &amp; Super Computers</v>
      </c>
      <c r="X619" s="6" t="str">
        <v>Internet Services &amp; Software</v>
      </c>
      <c r="Y619" s="6" t="str">
        <v>Internet Services &amp; Software</v>
      </c>
      <c r="Z619" s="6" t="str">
        <v>Internet Services &amp; Software</v>
      </c>
      <c r="AA619" s="6" t="str">
        <v>Portable Computers;Other Software (inq. Games);Mainframes &amp; Super Computers;Printers;Other Peripherals;Disk Drives;Monitors/Terminals;Micro-Computers (PCs)</v>
      </c>
      <c r="AB619" s="6" t="str">
        <v>Disk Drives;Mainframes &amp; Super Computers;Other Software (inq. Games);Printers;Micro-Computers (PCs);Other Peripherals;Portable Computers;Monitors/Terminals</v>
      </c>
    </row>
    <row r="620">
      <c r="A620" s="6" t="str">
        <v>12079J</v>
      </c>
      <c r="B620" s="6" t="str">
        <v>United States</v>
      </c>
      <c r="C620" s="6" t="str">
        <v>Burstly Inc</v>
      </c>
      <c r="D620" s="6" t="str">
        <v>Burstly Inc</v>
      </c>
      <c r="F620" s="6" t="str">
        <v>United States</v>
      </c>
      <c r="G620" s="6" t="str">
        <v>TestFlight App Inc</v>
      </c>
      <c r="H620" s="6" t="str">
        <v>Prepackaged Software</v>
      </c>
      <c r="I620" s="6" t="str">
        <v>99514C</v>
      </c>
      <c r="J620" s="6" t="str">
        <v>TestFlight App Inc</v>
      </c>
      <c r="K620" s="6" t="str">
        <v>TestFlight App Inc</v>
      </c>
      <c r="L620" s="7">
        <f>=DATE(2012,3,5)</f>
        <v>40972.99949074074</v>
      </c>
      <c r="M620" s="7">
        <f>=DATE(2012,3,5)</f>
        <v>40972.99949074074</v>
      </c>
      <c r="W620" s="6" t="str">
        <v>Other Computer Related Svcs;Internet Services &amp; Software;Data Processing Services</v>
      </c>
      <c r="X620" s="6" t="str">
        <v>Other Software (inq. Games)</v>
      </c>
      <c r="Y620" s="6" t="str">
        <v>Other Software (inq. Games)</v>
      </c>
      <c r="Z620" s="6" t="str">
        <v>Other Software (inq. Games)</v>
      </c>
      <c r="AA620" s="6" t="str">
        <v>Internet Services &amp; Software;Other Computer Related Svcs;Data Processing Services</v>
      </c>
      <c r="AB620" s="6" t="str">
        <v>Other Computer Related Svcs;Internet Services &amp; Software;Data Processing Services</v>
      </c>
    </row>
    <row r="621">
      <c r="A621" s="6" t="str">
        <v>68517C</v>
      </c>
      <c r="B621" s="6" t="str">
        <v>United States</v>
      </c>
      <c r="C621" s="6" t="str">
        <v>Townsend Merger Corp</v>
      </c>
      <c r="D621" s="6" t="str">
        <v>Nuance Communications Inc</v>
      </c>
      <c r="F621" s="6" t="str">
        <v>United States</v>
      </c>
      <c r="G621" s="6" t="str">
        <v>Transcend Services Inc</v>
      </c>
      <c r="H621" s="6" t="str">
        <v>Business Services</v>
      </c>
      <c r="I621" s="6" t="str">
        <v>893929</v>
      </c>
      <c r="J621" s="6" t="str">
        <v>Transcend Services Inc</v>
      </c>
      <c r="K621" s="6" t="str">
        <v>Transcend Services Inc</v>
      </c>
      <c r="L621" s="7">
        <f>=DATE(2012,3,7)</f>
        <v>40974.99949074074</v>
      </c>
      <c r="M621" s="7">
        <f>=DATE(2012,4,27)</f>
        <v>41025.99949074074</v>
      </c>
      <c r="N621" s="8">
        <v>333.243</v>
      </c>
      <c r="O621" s="8">
        <v>333.243</v>
      </c>
      <c r="P621" s="8" t="str">
        <v>319.85</v>
      </c>
      <c r="R621" s="8">
        <v>19.038</v>
      </c>
      <c r="S621" s="8">
        <v>125.057</v>
      </c>
      <c r="T621" s="8">
        <v>0.912</v>
      </c>
      <c r="U621" s="8">
        <v>-5.812</v>
      </c>
      <c r="V621" s="8">
        <v>10.47</v>
      </c>
      <c r="W621" s="6" t="str">
        <v>Internet Services &amp; Software;Other Software (inq. Games)</v>
      </c>
      <c r="X621" s="6" t="str">
        <v>Other Computer Related Svcs;Data Processing Services</v>
      </c>
      <c r="Y621" s="6" t="str">
        <v>Other Computer Related Svcs;Data Processing Services</v>
      </c>
      <c r="Z621" s="6" t="str">
        <v>Data Processing Services;Other Computer Related Svcs</v>
      </c>
      <c r="AA621" s="6" t="str">
        <v>Networking Systems (LAN,WAN);Computer Consulting Services;Programming Services;Utilities/File Mgmt Software;Database Software/Programming;Communication/Network Software;Applications Software(Home);Internet Services &amp; Software;Desktop Publishing;Other Software (inq. Games);Applications Software(Business;Primary Business not Hi-Tech;Other Computer Related Svcs</v>
      </c>
      <c r="AB621" s="6" t="str">
        <v>Desktop Publishing;Computer Consulting Services;Utilities/File Mgmt Software;Primary Business not Hi-Tech;Communication/Network Software;Database Software/Programming;Networking Systems (LAN,WAN);Applications Software(Business;Other Computer Related Svcs;Internet Services &amp; Software;Other Software (inq. Games);Applications Software(Home);Programming Services</v>
      </c>
      <c r="AC621" s="8">
        <v>333.243</v>
      </c>
      <c r="AD621" s="7">
        <f>=DATE(2012,3,7)</f>
        <v>40974.99949074074</v>
      </c>
      <c r="AE621" s="8">
        <v>341.019705</v>
      </c>
      <c r="AF621" s="8" t="str">
        <v>319.78</v>
      </c>
      <c r="AG621" s="8" t="str">
        <v>319.85</v>
      </c>
      <c r="AH621" s="8" t="str">
        <v>333.31</v>
      </c>
      <c r="AI621" s="8" t="str">
        <v>333.24</v>
      </c>
      <c r="AJ621" s="8" t="str">
        <v>17.97;</v>
      </c>
      <c r="AK621" s="6" t="str">
        <v>US Dollar;US Dollar</v>
      </c>
      <c r="AL621" s="8">
        <v>333.243</v>
      </c>
    </row>
    <row r="622">
      <c r="A622" s="6" t="str">
        <v>30303M</v>
      </c>
      <c r="B622" s="6" t="str">
        <v>United States</v>
      </c>
      <c r="C622" s="6" t="str">
        <v>Facebook Inc</v>
      </c>
      <c r="D622" s="6" t="str">
        <v>Facebook Inc</v>
      </c>
      <c r="F622" s="6" t="str">
        <v>United States</v>
      </c>
      <c r="G622" s="6" t="str">
        <v>GazeHawk Inc</v>
      </c>
      <c r="H622" s="6" t="str">
        <v>Business Services</v>
      </c>
      <c r="I622" s="6" t="str">
        <v>36929P</v>
      </c>
      <c r="J622" s="6" t="str">
        <v>GazeHawk Inc</v>
      </c>
      <c r="K622" s="6" t="str">
        <v>GazeHawk Inc</v>
      </c>
      <c r="L622" s="7">
        <f>=DATE(2012,3,9)</f>
        <v>40976.99949074074</v>
      </c>
      <c r="M622" s="7">
        <f>=DATE(2012,3,9)</f>
        <v>40976.99949074074</v>
      </c>
      <c r="W622" s="6" t="str">
        <v>Internet Services &amp; Software</v>
      </c>
      <c r="X622" s="6" t="str">
        <v>Other Computer Related Svcs;Internet Services &amp; Software;Computer Consulting Services</v>
      </c>
      <c r="Y622" s="6" t="str">
        <v>Computer Consulting Services;Other Computer Related Svcs;Internet Services &amp; Software</v>
      </c>
      <c r="Z622" s="6" t="str">
        <v>Other Computer Related Svcs;Computer Consulting Services;Internet Services &amp; Software</v>
      </c>
      <c r="AA622" s="6" t="str">
        <v>Internet Services &amp; Software</v>
      </c>
      <c r="AB622" s="6" t="str">
        <v>Internet Services &amp; Software</v>
      </c>
    </row>
    <row r="623">
      <c r="A623" s="6" t="str">
        <v>037833</v>
      </c>
      <c r="B623" s="6" t="str">
        <v>United States</v>
      </c>
      <c r="C623" s="6" t="str">
        <v>Apple Inc</v>
      </c>
      <c r="D623" s="6" t="str">
        <v>Apple Inc</v>
      </c>
      <c r="F623" s="6" t="str">
        <v>United States</v>
      </c>
      <c r="G623" s="6" t="str">
        <v>Apple Inc</v>
      </c>
      <c r="H623" s="6" t="str">
        <v>Computer and Office Equipment</v>
      </c>
      <c r="I623" s="6" t="str">
        <v>037833</v>
      </c>
      <c r="J623" s="6" t="str">
        <v>Apple Inc</v>
      </c>
      <c r="K623" s="6" t="str">
        <v>Apple Inc</v>
      </c>
      <c r="L623" s="7">
        <f>=DATE(2012,3,19)</f>
        <v>40986.99949074074</v>
      </c>
      <c r="M623" s="7">
        <f>=DATE(2018,9,30)</f>
        <v>43372.99949074074</v>
      </c>
      <c r="N623" s="8">
        <v>210000</v>
      </c>
      <c r="O623" s="8">
        <v>210000</v>
      </c>
      <c r="P623" s="8" t="str">
        <v>1,456,613.14</v>
      </c>
      <c r="R623" s="8">
        <v>45687</v>
      </c>
      <c r="S623" s="8">
        <v>215639</v>
      </c>
      <c r="T623" s="8">
        <v>-20483</v>
      </c>
      <c r="U623" s="8">
        <v>-45977</v>
      </c>
      <c r="V623" s="8">
        <v>65824</v>
      </c>
      <c r="W623" s="6" t="str">
        <v>Mainframes &amp; Super Computers;Portable Computers;Monitors/Terminals;Micro-Computers (PCs);Disk Drives;Printers;Other Peripherals;Other Software (inq. Games)</v>
      </c>
      <c r="X623" s="6" t="str">
        <v>Monitors/Terminals;Micro-Computers (PCs);Other Peripherals;Printers;Disk Drives;Mainframes &amp; Super Computers;Portable Computers;Other Software (inq. Games)</v>
      </c>
      <c r="Y623" s="6" t="str">
        <v>Micro-Computers (PCs);Portable Computers;Disk Drives;Mainframes &amp; Super Computers;Other Peripherals;Other Software (inq. Games);Monitors/Terminals;Printers</v>
      </c>
      <c r="Z623" s="6" t="str">
        <v>Disk Drives;Portable Computers;Other Peripherals;Other Software (inq. Games);Printers;Mainframes &amp; Super Computers;Monitors/Terminals;Micro-Computers (PCs)</v>
      </c>
      <c r="AA623" s="6" t="str">
        <v>Other Peripherals;Monitors/Terminals;Printers;Disk Drives;Mainframes &amp; Super Computers;Portable Computers;Other Software (inq. Games);Micro-Computers (PCs)</v>
      </c>
      <c r="AB623" s="6" t="str">
        <v>Monitors/Terminals;Portable Computers;Printers;Micro-Computers (PCs);Disk Drives;Mainframes &amp; Super Computers;Other Peripherals;Other Software (inq. Games)</v>
      </c>
      <c r="AC623" s="8">
        <v>210000</v>
      </c>
      <c r="AD623" s="7">
        <f>=DATE(2017,5,2)</f>
        <v>42856.99949074074</v>
      </c>
      <c r="AF623" s="8" t="str">
        <v>1,456,613.14</v>
      </c>
      <c r="AG623" s="8" t="str">
        <v>1,456,613.14</v>
      </c>
      <c r="AH623" s="8" t="str">
        <v>1,436,736.14</v>
      </c>
      <c r="AI623" s="8" t="str">
        <v>1,436,736.14</v>
      </c>
      <c r="AJ623" s="8" t="str">
        <v>210,000.00</v>
      </c>
      <c r="AK623" s="6" t="str">
        <v>US Dollar</v>
      </c>
      <c r="AL623" s="8">
        <v>210000</v>
      </c>
    </row>
    <row r="624">
      <c r="A624" s="6" t="str">
        <v>023135</v>
      </c>
      <c r="B624" s="6" t="str">
        <v>United States</v>
      </c>
      <c r="C624" s="6" t="str">
        <v>Amazon.com Inc</v>
      </c>
      <c r="D624" s="6" t="str">
        <v>Amazon.com Inc</v>
      </c>
      <c r="F624" s="6" t="str">
        <v>United States</v>
      </c>
      <c r="G624" s="6" t="str">
        <v>Kiva Systems Inc</v>
      </c>
      <c r="H624" s="6" t="str">
        <v>Business Services</v>
      </c>
      <c r="I624" s="6" t="str">
        <v>49497E</v>
      </c>
      <c r="J624" s="6" t="str">
        <v>Kiva Systems Inc</v>
      </c>
      <c r="K624" s="6" t="str">
        <v>Kiva Systems Inc</v>
      </c>
      <c r="L624" s="7">
        <f>=DATE(2012,3,19)</f>
        <v>40986.99949074074</v>
      </c>
      <c r="M624" s="7">
        <f>=DATE(2012,5,1)</f>
        <v>41029.99949074074</v>
      </c>
      <c r="N624" s="8">
        <v>775</v>
      </c>
      <c r="O624" s="8">
        <v>775</v>
      </c>
      <c r="W624" s="6" t="str">
        <v>Primary Business not Hi-Tech</v>
      </c>
      <c r="X624" s="6" t="str">
        <v>Other Computer Systems</v>
      </c>
      <c r="Y624" s="6" t="str">
        <v>Other Computer Systems</v>
      </c>
      <c r="Z624" s="6" t="str">
        <v>Other Computer Systems</v>
      </c>
      <c r="AA624" s="6" t="str">
        <v>Primary Business not Hi-Tech</v>
      </c>
      <c r="AB624" s="6" t="str">
        <v>Primary Business not Hi-Tech</v>
      </c>
      <c r="AC624" s="8">
        <v>775</v>
      </c>
      <c r="AD624" s="7">
        <f>=DATE(2012,3,19)</f>
        <v>40986.99949074074</v>
      </c>
      <c r="AF624" s="8" t="str">
        <v>775.00</v>
      </c>
      <c r="AG624" s="8" t="str">
        <v>775.00</v>
      </c>
      <c r="AH624" s="8" t="str">
        <v>775.00</v>
      </c>
      <c r="AI624" s="8" t="str">
        <v>775.00</v>
      </c>
      <c r="AJ624" s="8" t="str">
        <v>775.00</v>
      </c>
      <c r="AK624" s="6" t="str">
        <v>US Dollar</v>
      </c>
      <c r="AL624" s="8">
        <v>775</v>
      </c>
    </row>
    <row r="625">
      <c r="A625" s="6" t="str">
        <v>38259P</v>
      </c>
      <c r="B625" s="6" t="str">
        <v>United States</v>
      </c>
      <c r="C625" s="6" t="str">
        <v>Google Inc</v>
      </c>
      <c r="D625" s="6" t="str">
        <v>Alphabet Inc</v>
      </c>
      <c r="F625" s="6" t="str">
        <v>United States</v>
      </c>
      <c r="G625" s="6" t="str">
        <v>TxVia Inc</v>
      </c>
      <c r="H625" s="6" t="str">
        <v>Prepackaged Software</v>
      </c>
      <c r="I625" s="6" t="str">
        <v>92134A</v>
      </c>
      <c r="J625" s="6" t="str">
        <v>TxVia Inc</v>
      </c>
      <c r="K625" s="6" t="str">
        <v>TxVia Inc</v>
      </c>
      <c r="L625" s="7">
        <f>=DATE(2012,4,3)</f>
        <v>41001.99949074074</v>
      </c>
      <c r="M625" s="7">
        <f>=DATE(2012,4,3)</f>
        <v>41001.99949074074</v>
      </c>
      <c r="W625" s="6" t="str">
        <v>Programming Services;Internet Services &amp; Software</v>
      </c>
      <c r="X625" s="6" t="str">
        <v>Applications Software(Business</v>
      </c>
      <c r="Y625" s="6" t="str">
        <v>Applications Software(Business</v>
      </c>
      <c r="Z625" s="6" t="str">
        <v>Applications Software(Business</v>
      </c>
      <c r="AA625" s="6" t="str">
        <v>Primary Business not Hi-Tech;Telecommunications Equipment;Internet Services &amp; Software;Programming Services;Computer Consulting Services</v>
      </c>
      <c r="AB625" s="6" t="str">
        <v>Primary Business not Hi-Tech;Telecommunications Equipment;Internet Services &amp; Software;Programming Services;Computer Consulting Services</v>
      </c>
    </row>
    <row r="626">
      <c r="A626" s="6" t="str">
        <v>30303M</v>
      </c>
      <c r="B626" s="6" t="str">
        <v>United States</v>
      </c>
      <c r="C626" s="6" t="str">
        <v>Facebook Inc</v>
      </c>
      <c r="D626" s="6" t="str">
        <v>Facebook Inc</v>
      </c>
      <c r="F626" s="6" t="str">
        <v>United States</v>
      </c>
      <c r="G626" s="6" t="str">
        <v>Instagram Inc</v>
      </c>
      <c r="H626" s="6" t="str">
        <v>Prepackaged Software</v>
      </c>
      <c r="I626" s="6" t="str">
        <v>49012C</v>
      </c>
      <c r="J626" s="6" t="str">
        <v>Instagram Inc</v>
      </c>
      <c r="K626" s="6" t="str">
        <v>Instagram Inc</v>
      </c>
      <c r="L626" s="7">
        <f>=DATE(2012,4,9)</f>
        <v>41007.99949074074</v>
      </c>
      <c r="M626" s="7">
        <f>=DATE(2012,9,6)</f>
        <v>41157.99949074074</v>
      </c>
      <c r="N626" s="8">
        <v>727.34</v>
      </c>
      <c r="O626" s="8">
        <v>1000</v>
      </c>
      <c r="W626" s="6" t="str">
        <v>Internet Services &amp; Software</v>
      </c>
      <c r="X626" s="6" t="str">
        <v>Communication/Network Software;Internet Services &amp; Software</v>
      </c>
      <c r="Y626" s="6" t="str">
        <v>Internet Services &amp; Software;Communication/Network Software</v>
      </c>
      <c r="Z626" s="6" t="str">
        <v>Internet Services &amp; Software;Communication/Network Software</v>
      </c>
      <c r="AA626" s="6" t="str">
        <v>Internet Services &amp; Software</v>
      </c>
      <c r="AB626" s="6" t="str">
        <v>Internet Services &amp; Software</v>
      </c>
      <c r="AC626" s="8">
        <v>1000</v>
      </c>
      <c r="AD626" s="7">
        <f>=DATE(2012,4,9)</f>
        <v>41007.99949074074</v>
      </c>
      <c r="AF626" s="8" t="str">
        <v>1,000.00</v>
      </c>
      <c r="AG626" s="8" t="str">
        <v>727.34</v>
      </c>
      <c r="AH626" s="8" t="str">
        <v>1,000.00</v>
      </c>
      <c r="AI626" s="8" t="str">
        <v>1,000.00</v>
      </c>
      <c r="AJ626" s="8" t="str">
        <v>700.00;300.00</v>
      </c>
      <c r="AK626" s="6" t="str">
        <v>US Dollar;US Dollar</v>
      </c>
      <c r="AL626" s="8">
        <v>1000</v>
      </c>
    </row>
    <row r="627">
      <c r="A627" s="6" t="str">
        <v>99521P</v>
      </c>
      <c r="B627" s="6" t="str">
        <v>United States</v>
      </c>
      <c r="C627" s="6" t="str">
        <v>Yammer Inc</v>
      </c>
      <c r="D627" s="6" t="str">
        <v>Yammer Inc</v>
      </c>
      <c r="F627" s="6" t="str">
        <v>United Kingdom</v>
      </c>
      <c r="G627" s="6" t="str">
        <v>Quolos Ltd</v>
      </c>
      <c r="H627" s="6" t="str">
        <v>Prepackaged Software</v>
      </c>
      <c r="I627" s="6" t="str">
        <v>76924N</v>
      </c>
      <c r="J627" s="6" t="str">
        <v>Quolos Ltd</v>
      </c>
      <c r="K627" s="6" t="str">
        <v>Quolos Ltd</v>
      </c>
      <c r="L627" s="7">
        <f>=DATE(2012,4,11)</f>
        <v>41009.99949074074</v>
      </c>
      <c r="M627" s="7">
        <f>=DATE(2012,4,11)</f>
        <v>41009.99949074074</v>
      </c>
      <c r="W627" s="6" t="str">
        <v>Internet Services &amp; Software;Applications Software(Business</v>
      </c>
      <c r="X627" s="6" t="str">
        <v>Communication/Network Software;Computer Consulting Services</v>
      </c>
      <c r="Y627" s="6" t="str">
        <v>Computer Consulting Services;Communication/Network Software</v>
      </c>
      <c r="Z627" s="6" t="str">
        <v>Computer Consulting Services;Communication/Network Software</v>
      </c>
      <c r="AA627" s="6" t="str">
        <v>Internet Services &amp; Software;Applications Software(Business</v>
      </c>
      <c r="AB627" s="6" t="str">
        <v>Internet Services &amp; Software;Applications Software(Business</v>
      </c>
    </row>
    <row r="628">
      <c r="A628" s="6" t="str">
        <v>38259P</v>
      </c>
      <c r="B628" s="6" t="str">
        <v>United States</v>
      </c>
      <c r="C628" s="6" t="str">
        <v>Google Inc</v>
      </c>
      <c r="D628" s="6" t="str">
        <v>Alphabet Inc</v>
      </c>
      <c r="F628" s="6" t="str">
        <v>United States</v>
      </c>
      <c r="G628" s="6" t="str">
        <v>Google Inc</v>
      </c>
      <c r="H628" s="6" t="str">
        <v>Business Services</v>
      </c>
      <c r="I628" s="6" t="str">
        <v>38259P</v>
      </c>
      <c r="J628" s="6" t="str">
        <v>Alphabet Inc</v>
      </c>
      <c r="K628" s="6" t="str">
        <v>Alphabet Inc</v>
      </c>
      <c r="L628" s="7">
        <f>=DATE(2012,4,12)</f>
        <v>41010.99949074074</v>
      </c>
      <c r="R628" s="8">
        <v>10829</v>
      </c>
      <c r="S628" s="8">
        <v>39909</v>
      </c>
      <c r="T628" s="8">
        <v>2148</v>
      </c>
      <c r="U628" s="8">
        <v>-6469</v>
      </c>
      <c r="V628" s="8">
        <v>15087</v>
      </c>
      <c r="W628" s="6" t="str">
        <v>Programming Services;Internet Services &amp; Software</v>
      </c>
      <c r="X628" s="6" t="str">
        <v>Programming Services;Internet Services &amp; Software</v>
      </c>
      <c r="Y628" s="6" t="str">
        <v>Internet Services &amp; Software;Telecommunications Equipment;Computer Consulting Services;Primary Business not Hi-Tech;Programming Services</v>
      </c>
      <c r="Z628" s="6" t="str">
        <v>Internet Services &amp; Software;Primary Business not Hi-Tech;Programming Services;Telecommunications Equipment;Computer Consulting Services</v>
      </c>
      <c r="AA628" s="6" t="str">
        <v>Internet Services &amp; Software;Telecommunications Equipment;Programming Services;Primary Business not Hi-Tech;Computer Consulting Services</v>
      </c>
      <c r="AB628" s="6" t="str">
        <v>Telecommunications Equipment;Programming Services;Internet Services &amp; Software;Computer Consulting Services;Primary Business not Hi-Tech</v>
      </c>
    </row>
    <row r="629">
      <c r="A629" s="6" t="str">
        <v>30303M</v>
      </c>
      <c r="B629" s="6" t="str">
        <v>United States</v>
      </c>
      <c r="C629" s="6" t="str">
        <v>Facebook Inc</v>
      </c>
      <c r="D629" s="6" t="str">
        <v>Facebook Inc</v>
      </c>
      <c r="F629" s="6" t="str">
        <v>United States</v>
      </c>
      <c r="G629" s="6" t="str">
        <v>Malbec Labs Inc</v>
      </c>
      <c r="H629" s="6" t="str">
        <v>Prepackaged Software</v>
      </c>
      <c r="I629" s="6" t="str">
        <v>56016N</v>
      </c>
      <c r="J629" s="6" t="str">
        <v>Malbec Labs Inc</v>
      </c>
      <c r="K629" s="6" t="str">
        <v>Malbec Labs Inc</v>
      </c>
      <c r="L629" s="7">
        <f>=DATE(2012,4,13)</f>
        <v>41011.99949074074</v>
      </c>
      <c r="M629" s="7">
        <f>=DATE(2012,4,13)</f>
        <v>41011.99949074074</v>
      </c>
      <c r="W629" s="6" t="str">
        <v>Internet Services &amp; Software</v>
      </c>
      <c r="X629" s="6" t="str">
        <v>Other Software (inq. Games);Applications Software(Business</v>
      </c>
      <c r="Y629" s="6" t="str">
        <v>Other Software (inq. Games);Applications Software(Business</v>
      </c>
      <c r="Z629" s="6" t="str">
        <v>Applications Software(Business;Other Software (inq. Games)</v>
      </c>
      <c r="AA629" s="6" t="str">
        <v>Internet Services &amp; Software</v>
      </c>
      <c r="AB629" s="6" t="str">
        <v>Internet Services &amp; Software</v>
      </c>
    </row>
    <row r="630">
      <c r="A630" s="6" t="str">
        <v>594918</v>
      </c>
      <c r="B630" s="6" t="str">
        <v>United States</v>
      </c>
      <c r="C630" s="6" t="str">
        <v>Microsoft Corp</v>
      </c>
      <c r="D630" s="6" t="str">
        <v>Microsoft Corp</v>
      </c>
      <c r="F630" s="6" t="str">
        <v>United States</v>
      </c>
      <c r="G630" s="6" t="str">
        <v>Nook Media LLC</v>
      </c>
      <c r="H630" s="6" t="str">
        <v>Prepackaged Software</v>
      </c>
      <c r="I630" s="6" t="str">
        <v>93558H</v>
      </c>
      <c r="J630" s="6" t="str">
        <v>Barnes &amp; Noble Inc</v>
      </c>
      <c r="K630" s="6" t="str">
        <v>Barnes &amp; Noble Inc</v>
      </c>
      <c r="L630" s="7">
        <f>=DATE(2012,4,30)</f>
        <v>41028.99949074074</v>
      </c>
      <c r="M630" s="7">
        <f>=DATE(2012,10,4)</f>
        <v>41185.99949074074</v>
      </c>
      <c r="N630" s="8">
        <v>300</v>
      </c>
      <c r="O630" s="8">
        <v>300</v>
      </c>
      <c r="W630" s="6" t="str">
        <v>Operating Systems;Applications Software(Business;Internet Services &amp; Software;Other Peripherals;Monitors/Terminals;Computer Consulting Services</v>
      </c>
      <c r="X630" s="6" t="str">
        <v>Applications Software(Home);Internet Services &amp; Software</v>
      </c>
      <c r="Y630" s="6" t="str">
        <v>Internet Services &amp; Software;Primary Business not Hi-Tech</v>
      </c>
      <c r="Z630" s="6" t="str">
        <v>Internet Services &amp; Software;Primary Business not Hi-Tech</v>
      </c>
      <c r="AA630" s="6" t="str">
        <v>Internet Services &amp; Software;Applications Software(Business;Computer Consulting Services;Monitors/Terminals;Operating Systems;Other Peripherals</v>
      </c>
      <c r="AB630" s="6" t="str">
        <v>Other Peripherals;Operating Systems;Applications Software(Business;Internet Services &amp; Software;Monitors/Terminals;Computer Consulting Services</v>
      </c>
      <c r="AC630" s="8">
        <v>300</v>
      </c>
      <c r="AD630" s="7">
        <f>=DATE(2012,4,30)</f>
        <v>41028.99949074074</v>
      </c>
      <c r="AF630" s="8" t="str">
        <v>1,704.55</v>
      </c>
      <c r="AG630" s="8" t="str">
        <v>1,704.55</v>
      </c>
      <c r="AH630" s="8" t="str">
        <v>1,704.55</v>
      </c>
      <c r="AI630" s="8" t="str">
        <v>1,704.55</v>
      </c>
      <c r="AJ630" s="8" t="str">
        <v>300.00</v>
      </c>
      <c r="AK630" s="6" t="str">
        <v>US Dollar</v>
      </c>
      <c r="AL630" s="8">
        <v>300</v>
      </c>
    </row>
    <row r="631">
      <c r="A631" s="6" t="str">
        <v>53578A</v>
      </c>
      <c r="B631" s="6" t="str">
        <v>United States</v>
      </c>
      <c r="C631" s="6" t="str">
        <v>LinkedIn Corp</v>
      </c>
      <c r="D631" s="6" t="str">
        <v>LinkedIn Corp</v>
      </c>
      <c r="F631" s="6" t="str">
        <v>United States</v>
      </c>
      <c r="G631" s="6" t="str">
        <v>SlideShare Inc</v>
      </c>
      <c r="H631" s="6" t="str">
        <v>Business Services</v>
      </c>
      <c r="I631" s="6" t="str">
        <v>32085H</v>
      </c>
      <c r="J631" s="6" t="str">
        <v>SlideShare Inc</v>
      </c>
      <c r="K631" s="6" t="str">
        <v>SlideShare Inc</v>
      </c>
      <c r="L631" s="7">
        <f>=DATE(2012,5,3)</f>
        <v>41031.99949074074</v>
      </c>
      <c r="M631" s="7">
        <f>=DATE(2012,5,17)</f>
        <v>41045.99949074074</v>
      </c>
      <c r="N631" s="8">
        <v>119.268</v>
      </c>
      <c r="O631" s="8">
        <v>118.75</v>
      </c>
      <c r="W631" s="6" t="str">
        <v>Internet Services &amp; Software</v>
      </c>
      <c r="X631" s="6" t="str">
        <v>Internet Services &amp; Software</v>
      </c>
      <c r="Y631" s="6" t="str">
        <v>Internet Services &amp; Software</v>
      </c>
      <c r="Z631" s="6" t="str">
        <v>Internet Services &amp; Software</v>
      </c>
      <c r="AA631" s="6" t="str">
        <v>Internet Services &amp; Software</v>
      </c>
      <c r="AB631" s="6" t="str">
        <v>Internet Services &amp; Software</v>
      </c>
      <c r="AC631" s="8">
        <v>118.75</v>
      </c>
      <c r="AD631" s="7">
        <f>=DATE(2012,5,3)</f>
        <v>41031.99949074074</v>
      </c>
      <c r="AF631" s="8" t="str">
        <v>118.75</v>
      </c>
      <c r="AG631" s="8" t="str">
        <v>119.27</v>
      </c>
      <c r="AH631" s="8" t="str">
        <v>118.75</v>
      </c>
      <c r="AI631" s="8" t="str">
        <v>118.75</v>
      </c>
      <c r="AJ631" s="8" t="str">
        <v>;66.39;52.36</v>
      </c>
      <c r="AK631" s="6" t="str">
        <v>US Dollar;US Dollar;</v>
      </c>
      <c r="AL631" s="8">
        <v>118.75</v>
      </c>
    </row>
    <row r="632">
      <c r="A632" s="6" t="str">
        <v>30303M</v>
      </c>
      <c r="B632" s="6" t="str">
        <v>United States</v>
      </c>
      <c r="C632" s="6" t="str">
        <v>Facebook Inc</v>
      </c>
      <c r="D632" s="6" t="str">
        <v>Facebook Inc</v>
      </c>
      <c r="F632" s="6" t="str">
        <v>United States</v>
      </c>
      <c r="G632" s="6" t="str">
        <v>Glancee Inc</v>
      </c>
      <c r="H632" s="6" t="str">
        <v>Prepackaged Software</v>
      </c>
      <c r="I632" s="6" t="str">
        <v>37658H</v>
      </c>
      <c r="J632" s="6" t="str">
        <v>Glancee Inc</v>
      </c>
      <c r="K632" s="6" t="str">
        <v>Glancee Inc</v>
      </c>
      <c r="L632" s="7">
        <f>=DATE(2012,5,8)</f>
        <v>41036.99949074074</v>
      </c>
      <c r="M632" s="7">
        <f>=DATE(2012,5,8)</f>
        <v>41036.99949074074</v>
      </c>
      <c r="W632" s="6" t="str">
        <v>Internet Services &amp; Software</v>
      </c>
      <c r="X632" s="6" t="str">
        <v>Internet Services &amp; Software;Communication/Network Software</v>
      </c>
      <c r="Y632" s="6" t="str">
        <v>Internet Services &amp; Software;Communication/Network Software</v>
      </c>
      <c r="Z632" s="6" t="str">
        <v>Communication/Network Software;Internet Services &amp; Software</v>
      </c>
      <c r="AA632" s="6" t="str">
        <v>Internet Services &amp; Software</v>
      </c>
      <c r="AB632" s="6" t="str">
        <v>Internet Services &amp; Software</v>
      </c>
    </row>
    <row r="633">
      <c r="A633" s="6" t="str">
        <v>30303M</v>
      </c>
      <c r="B633" s="6" t="str">
        <v>United States</v>
      </c>
      <c r="C633" s="6" t="str">
        <v>Facebook Inc</v>
      </c>
      <c r="D633" s="6" t="str">
        <v>Facebook Inc</v>
      </c>
      <c r="F633" s="6" t="str">
        <v>United States</v>
      </c>
      <c r="G633" s="6" t="str">
        <v>Karma Science Inc</v>
      </c>
      <c r="H633" s="6" t="str">
        <v>Business Services</v>
      </c>
      <c r="I633" s="6" t="str">
        <v>85759P</v>
      </c>
      <c r="J633" s="6" t="str">
        <v>Karma Science Inc</v>
      </c>
      <c r="K633" s="6" t="str">
        <v>Karma Science Inc</v>
      </c>
      <c r="L633" s="7">
        <f>=DATE(2012,5,18)</f>
        <v>41046.99949074074</v>
      </c>
      <c r="M633" s="7">
        <f>=DATE(2012,5,18)</f>
        <v>41046.99949074074</v>
      </c>
      <c r="W633" s="6" t="str">
        <v>Internet Services &amp; Software</v>
      </c>
      <c r="X633" s="6" t="str">
        <v>Other Computer Related Svcs;Programming Services;Computer Consulting Services</v>
      </c>
      <c r="Y633" s="6" t="str">
        <v>Other Computer Related Svcs;Programming Services;Computer Consulting Services</v>
      </c>
      <c r="Z633" s="6" t="str">
        <v>Programming Services;Computer Consulting Services;Other Computer Related Svcs</v>
      </c>
      <c r="AA633" s="6" t="str">
        <v>Internet Services &amp; Software</v>
      </c>
      <c r="AB633" s="6" t="str">
        <v>Internet Services &amp; Software</v>
      </c>
    </row>
    <row r="634">
      <c r="A634" s="6" t="str">
        <v>30303M</v>
      </c>
      <c r="B634" s="6" t="str">
        <v>United States</v>
      </c>
      <c r="C634" s="6" t="str">
        <v>Facebook Inc</v>
      </c>
      <c r="D634" s="6" t="str">
        <v>Facebook Inc</v>
      </c>
      <c r="F634" s="6" t="str">
        <v>United States</v>
      </c>
      <c r="G634" s="6" t="str">
        <v>Bolt &amp; Peters</v>
      </c>
      <c r="H634" s="6" t="str">
        <v>Business Services</v>
      </c>
      <c r="I634" s="6" t="str">
        <v>09827L</v>
      </c>
      <c r="J634" s="6" t="str">
        <v>Bolt &amp; Peters</v>
      </c>
      <c r="K634" s="6" t="str">
        <v>Bolt &amp; Peters</v>
      </c>
      <c r="L634" s="7">
        <f>=DATE(2012,5,24)</f>
        <v>41052.99949074074</v>
      </c>
      <c r="M634" s="7">
        <f>=DATE(2012,5,24)</f>
        <v>41052.99949074074</v>
      </c>
      <c r="W634" s="6" t="str">
        <v>Internet Services &amp; Software</v>
      </c>
      <c r="X634" s="6" t="str">
        <v>Research &amp; Development Firm;Computer Consulting Services</v>
      </c>
      <c r="Y634" s="6" t="str">
        <v>Computer Consulting Services;Research &amp; Development Firm</v>
      </c>
      <c r="Z634" s="6" t="str">
        <v>Research &amp; Development Firm;Computer Consulting Services</v>
      </c>
      <c r="AA634" s="6" t="str">
        <v>Internet Services &amp; Software</v>
      </c>
      <c r="AB634" s="6" t="str">
        <v>Internet Services &amp; Software</v>
      </c>
    </row>
    <row r="635">
      <c r="A635" s="6" t="str">
        <v>30303M</v>
      </c>
      <c r="B635" s="6" t="str">
        <v>United States</v>
      </c>
      <c r="C635" s="6" t="str">
        <v>Facebook Inc</v>
      </c>
      <c r="D635" s="6" t="str">
        <v>Facebook Inc</v>
      </c>
      <c r="F635" s="6" t="str">
        <v>Norway</v>
      </c>
      <c r="G635" s="6" t="str">
        <v>Opera Software ASA(NOW 5H4036)</v>
      </c>
      <c r="H635" s="6" t="str">
        <v>Prepackaged Software</v>
      </c>
      <c r="I635" s="6" t="str">
        <v>68422E</v>
      </c>
      <c r="J635" s="6" t="str">
        <v>Opera Software ASA(NOW 5H4036)</v>
      </c>
      <c r="K635" s="6" t="str">
        <v>Opera Software ASA(NOW 5H4036)</v>
      </c>
      <c r="L635" s="7">
        <f>=DATE(2012,5,26)</f>
        <v>41054.99949074074</v>
      </c>
      <c r="R635" s="8">
        <v>29.5485854858549</v>
      </c>
      <c r="S635" s="8">
        <v>179.811280969953</v>
      </c>
      <c r="T635" s="8">
        <v>-81.310997556</v>
      </c>
      <c r="U635" s="8">
        <v>-178.146679428</v>
      </c>
      <c r="V635" s="8">
        <v>233.621274924</v>
      </c>
      <c r="W635" s="6" t="str">
        <v>Internet Services &amp; Software</v>
      </c>
      <c r="X635" s="6" t="str">
        <v>Internet Services &amp; Software;Communication/Network Software</v>
      </c>
      <c r="Y635" s="6" t="str">
        <v>Internet Services &amp; Software;Communication/Network Software</v>
      </c>
      <c r="Z635" s="6" t="str">
        <v>Communication/Network Software;Internet Services &amp; Software</v>
      </c>
      <c r="AA635" s="6" t="str">
        <v>Internet Services &amp; Software</v>
      </c>
      <c r="AB635" s="6" t="str">
        <v>Internet Services &amp; Software</v>
      </c>
    </row>
    <row r="636">
      <c r="A636" s="6" t="str">
        <v>037833</v>
      </c>
      <c r="B636" s="6" t="str">
        <v>United States</v>
      </c>
      <c r="C636" s="6" t="str">
        <v>Apple Inc</v>
      </c>
      <c r="D636" s="6" t="str">
        <v>Apple Inc</v>
      </c>
      <c r="F636" s="6" t="str">
        <v>Italy</v>
      </c>
      <c r="G636" s="6" t="str">
        <v>Redmatica Srl-Business Branch</v>
      </c>
      <c r="H636" s="6" t="str">
        <v>Computer and Office Equipment</v>
      </c>
      <c r="I636" s="6" t="str">
        <v>76942L</v>
      </c>
      <c r="J636" s="6" t="str">
        <v>Redmatica Srl</v>
      </c>
      <c r="K636" s="6" t="str">
        <v>Redmatica Srl</v>
      </c>
      <c r="L636" s="7">
        <f>=DATE(2012,5,28)</f>
        <v>41056.99949074074</v>
      </c>
      <c r="M636" s="7">
        <f>=DATE(2012,5,28)</f>
        <v>41056.99949074074</v>
      </c>
      <c r="W636" s="6" t="str">
        <v>Disk Drives;Monitors/Terminals;Other Peripherals;Printers;Other Software (inq. Games);Micro-Computers (PCs);Mainframes &amp; Super Computers;Portable Computers</v>
      </c>
      <c r="X636" s="6" t="str">
        <v>Micro-Computers (PCs);Monitors/Terminals;Mainframes &amp; Super Computers;Printers;Portable Computers;Disk Drives;Other Peripherals;Other Software (inq. Games)</v>
      </c>
      <c r="Y636" s="6" t="str">
        <v>Portable Computers;Monitors/Terminals;Micro-Computers (PCs);Disk Drives;Other Software (inq. Games);Mainframes &amp; Super Computers;Printers;Other Peripherals</v>
      </c>
      <c r="Z636" s="6" t="str">
        <v>Other Software (inq. Games);Mainframes &amp; Super Computers;Printers;Disk Drives;Monitors/Terminals;Other Peripherals;Micro-Computers (PCs);Portable Computers</v>
      </c>
      <c r="AA636" s="6" t="str">
        <v>Other Peripherals;Mainframes &amp; Super Computers;Disk Drives;Other Software (inq. Games);Monitors/Terminals;Portable Computers;Printers;Micro-Computers (PCs)</v>
      </c>
      <c r="AB636" s="6" t="str">
        <v>Other Peripherals;Micro-Computers (PCs);Monitors/Terminals;Portable Computers;Other Software (inq. Games);Mainframes &amp; Super Computers;Disk Drives;Printers</v>
      </c>
    </row>
    <row r="637">
      <c r="A637" s="6" t="str">
        <v>30303M</v>
      </c>
      <c r="B637" s="6" t="str">
        <v>United States</v>
      </c>
      <c r="C637" s="6" t="str">
        <v>Facebook Inc</v>
      </c>
      <c r="D637" s="6" t="str">
        <v>Facebook Inc</v>
      </c>
      <c r="F637" s="6" t="str">
        <v>United States</v>
      </c>
      <c r="G637" s="6" t="str">
        <v>Vevo LLC</v>
      </c>
      <c r="H637" s="6" t="str">
        <v>Business Services</v>
      </c>
      <c r="I637" s="6" t="str">
        <v>93287A</v>
      </c>
      <c r="J637" s="6" t="str">
        <v>Vivendi SE</v>
      </c>
      <c r="K637" s="6" t="str">
        <v>Universal Music Group Inc</v>
      </c>
      <c r="L637" s="7">
        <f>=DATE(2012,5,31)</f>
        <v>41059.99949074074</v>
      </c>
      <c r="W637" s="6" t="str">
        <v>Internet Services &amp; Software</v>
      </c>
      <c r="X637" s="6" t="str">
        <v>Internet Services &amp; Software</v>
      </c>
      <c r="Y637" s="6" t="str">
        <v>Primary Business not Hi-Tech</v>
      </c>
      <c r="Z637" s="6" t="str">
        <v>Internet Services &amp; Software;Primary Business not Hi-Tech;Other Software (inq. Games)</v>
      </c>
      <c r="AA637" s="6" t="str">
        <v>Internet Services &amp; Software</v>
      </c>
      <c r="AB637" s="6" t="str">
        <v>Internet Services &amp; Software</v>
      </c>
    </row>
    <row r="638">
      <c r="A638" s="6" t="str">
        <v>38259P</v>
      </c>
      <c r="B638" s="6" t="str">
        <v>United States</v>
      </c>
      <c r="C638" s="6" t="str">
        <v>Google Inc</v>
      </c>
      <c r="D638" s="6" t="str">
        <v>Alphabet Inc</v>
      </c>
      <c r="F638" s="6" t="str">
        <v>United States</v>
      </c>
      <c r="G638" s="6" t="str">
        <v>Meebo.com Inc</v>
      </c>
      <c r="H638" s="6" t="str">
        <v>Business Services</v>
      </c>
      <c r="I638" s="6" t="str">
        <v>58646X</v>
      </c>
      <c r="J638" s="6" t="str">
        <v>Meebo.com Inc</v>
      </c>
      <c r="K638" s="6" t="str">
        <v>Meebo.com Inc</v>
      </c>
      <c r="L638" s="7">
        <f>=DATE(2012,6,4)</f>
        <v>41063.99949074074</v>
      </c>
      <c r="M638" s="7">
        <f>=DATE(2012,12,3)</f>
        <v>41245.99949074074</v>
      </c>
      <c r="W638" s="6" t="str">
        <v>Internet Services &amp; Software;Programming Services</v>
      </c>
      <c r="X638" s="6" t="str">
        <v>Internet Services &amp; Software</v>
      </c>
      <c r="Y638" s="6" t="str">
        <v>Internet Services &amp; Software</v>
      </c>
      <c r="Z638" s="6" t="str">
        <v>Internet Services &amp; Software</v>
      </c>
      <c r="AA638" s="6" t="str">
        <v>Telecommunications Equipment;Computer Consulting Services;Internet Services &amp; Software;Primary Business not Hi-Tech;Programming Services</v>
      </c>
      <c r="AB638" s="6" t="str">
        <v>Primary Business not Hi-Tech;Internet Services &amp; Software;Programming Services;Telecommunications Equipment;Computer Consulting Services</v>
      </c>
    </row>
    <row r="639">
      <c r="A639" s="6" t="str">
        <v>38259P</v>
      </c>
      <c r="B639" s="6" t="str">
        <v>United States</v>
      </c>
      <c r="C639" s="6" t="str">
        <v>Google Inc</v>
      </c>
      <c r="D639" s="6" t="str">
        <v>Alphabet Inc</v>
      </c>
      <c r="F639" s="6" t="str">
        <v>United States</v>
      </c>
      <c r="G639" s="6" t="str">
        <v>Quickoffice Inc</v>
      </c>
      <c r="H639" s="6" t="str">
        <v>Prepackaged Software</v>
      </c>
      <c r="I639" s="6" t="str">
        <v>75466V</v>
      </c>
      <c r="J639" s="6" t="str">
        <v>Quickoffice Inc</v>
      </c>
      <c r="K639" s="6" t="str">
        <v>Quickoffice Inc</v>
      </c>
      <c r="L639" s="7">
        <f>=DATE(2012,6,5)</f>
        <v>41064.99949074074</v>
      </c>
      <c r="M639" s="7">
        <f>=DATE(2012,6,5)</f>
        <v>41064.99949074074</v>
      </c>
      <c r="W639" s="6" t="str">
        <v>Programming Services;Internet Services &amp; Software</v>
      </c>
      <c r="X639" s="6" t="str">
        <v>Other Computer Related Svcs;Computer Consulting Services;Data Processing Services;Other Software (inq. Games)</v>
      </c>
      <c r="Y639" s="6" t="str">
        <v>Other Software (inq. Games);Computer Consulting Services;Other Computer Related Svcs;Data Processing Services</v>
      </c>
      <c r="Z639" s="6" t="str">
        <v>Computer Consulting Services;Other Computer Related Svcs;Other Software (inq. Games);Data Processing Services</v>
      </c>
      <c r="AA639" s="6" t="str">
        <v>Telecommunications Equipment;Computer Consulting Services;Primary Business not Hi-Tech;Internet Services &amp; Software;Programming Services</v>
      </c>
      <c r="AB639" s="6" t="str">
        <v>Internet Services &amp; Software;Computer Consulting Services;Primary Business not Hi-Tech;Telecommunications Equipment;Programming Services</v>
      </c>
    </row>
    <row r="640">
      <c r="A640" s="6" t="str">
        <v>594918</v>
      </c>
      <c r="B640" s="6" t="str">
        <v>United States</v>
      </c>
      <c r="C640" s="6" t="str">
        <v>Microsoft Corp</v>
      </c>
      <c r="D640" s="6" t="str">
        <v>Microsoft Corp</v>
      </c>
      <c r="F640" s="6" t="str">
        <v>Denmark</v>
      </c>
      <c r="G640" s="6" t="str">
        <v>Press Play Aps</v>
      </c>
      <c r="H640" s="6" t="str">
        <v>Business Services</v>
      </c>
      <c r="I640" s="6" t="str">
        <v>76946K</v>
      </c>
      <c r="J640" s="6" t="str">
        <v>Press Play Aps</v>
      </c>
      <c r="K640" s="6" t="str">
        <v>Press Play Aps</v>
      </c>
      <c r="L640" s="7">
        <f>=DATE(2012,6,6)</f>
        <v>41065.99949074074</v>
      </c>
      <c r="M640" s="7">
        <f>=DATE(2012,6,6)</f>
        <v>41065.99949074074</v>
      </c>
      <c r="W640" s="6" t="str">
        <v>Computer Consulting Services;Monitors/Terminals;Operating Systems;Applications Software(Business;Internet Services &amp; Software;Other Peripherals</v>
      </c>
      <c r="X640" s="6" t="str">
        <v>Internet Services &amp; Software</v>
      </c>
      <c r="Y640" s="6" t="str">
        <v>Internet Services &amp; Software</v>
      </c>
      <c r="Z640" s="6" t="str">
        <v>Internet Services &amp; Software</v>
      </c>
      <c r="AA640" s="6" t="str">
        <v>Monitors/Terminals;Internet Services &amp; Software;Operating Systems;Other Peripherals;Applications Software(Business;Computer Consulting Services</v>
      </c>
      <c r="AB640" s="6" t="str">
        <v>Operating Systems;Monitors/Terminals;Applications Software(Business;Computer Consulting Services;Other Peripherals;Internet Services &amp; Software</v>
      </c>
    </row>
    <row r="641">
      <c r="A641" s="6" t="str">
        <v>30303M</v>
      </c>
      <c r="B641" s="6" t="str">
        <v>United States</v>
      </c>
      <c r="C641" s="6" t="str">
        <v>Facebook Inc</v>
      </c>
      <c r="D641" s="6" t="str">
        <v>Facebook Inc</v>
      </c>
      <c r="F641" s="6" t="str">
        <v>Israel</v>
      </c>
      <c r="G641" s="6" t="str">
        <v>Face.com</v>
      </c>
      <c r="H641" s="6" t="str">
        <v>Prepackaged Software</v>
      </c>
      <c r="I641" s="6" t="str">
        <v>30782E</v>
      </c>
      <c r="J641" s="6" t="str">
        <v>Face.com</v>
      </c>
      <c r="K641" s="6" t="str">
        <v>Face.com</v>
      </c>
      <c r="L641" s="7">
        <f>=DATE(2012,6,18)</f>
        <v>41077.99949074074</v>
      </c>
      <c r="M641" s="7">
        <f>=DATE(2012,6,18)</f>
        <v>41077.99949074074</v>
      </c>
      <c r="W641" s="6" t="str">
        <v>Internet Services &amp; Software</v>
      </c>
      <c r="X641" s="6" t="str">
        <v>Communication/Network Software;Internet Services &amp; Software</v>
      </c>
      <c r="Y641" s="6" t="str">
        <v>Internet Services &amp; Software;Communication/Network Software</v>
      </c>
      <c r="Z641" s="6" t="str">
        <v>Communication/Network Software;Internet Services &amp; Software</v>
      </c>
      <c r="AA641" s="6" t="str">
        <v>Internet Services &amp; Software</v>
      </c>
      <c r="AB641" s="6" t="str">
        <v>Internet Services &amp; Software</v>
      </c>
    </row>
    <row r="642">
      <c r="A642" s="6" t="str">
        <v>594918</v>
      </c>
      <c r="B642" s="6" t="str">
        <v>United States</v>
      </c>
      <c r="C642" s="6" t="str">
        <v>Microsoft Corp</v>
      </c>
      <c r="D642" s="6" t="str">
        <v>Microsoft Corp</v>
      </c>
      <c r="F642" s="6" t="str">
        <v>United States</v>
      </c>
      <c r="G642" s="6" t="str">
        <v>Yammer Inc</v>
      </c>
      <c r="H642" s="6" t="str">
        <v>Prepackaged Software</v>
      </c>
      <c r="I642" s="6" t="str">
        <v>99521P</v>
      </c>
      <c r="J642" s="6" t="str">
        <v>Yammer Inc</v>
      </c>
      <c r="K642" s="6" t="str">
        <v>Yammer Inc</v>
      </c>
      <c r="L642" s="7">
        <f>=DATE(2012,6,25)</f>
        <v>41084.99949074074</v>
      </c>
      <c r="M642" s="7">
        <f>=DATE(2012,7,19)</f>
        <v>41108.99949074074</v>
      </c>
      <c r="N642" s="8">
        <v>1200</v>
      </c>
      <c r="O642" s="8">
        <v>1200</v>
      </c>
      <c r="W642" s="6" t="str">
        <v>Computer Consulting Services;Other Peripherals;Applications Software(Business;Internet Services &amp; Software;Operating Systems;Monitors/Terminals</v>
      </c>
      <c r="X642" s="6" t="str">
        <v>Applications Software(Business;Internet Services &amp; Software</v>
      </c>
      <c r="Y642" s="6" t="str">
        <v>Applications Software(Business;Internet Services &amp; Software</v>
      </c>
      <c r="Z642" s="6" t="str">
        <v>Applications Software(Business;Internet Services &amp; Software</v>
      </c>
      <c r="AA642" s="6" t="str">
        <v>Internet Services &amp; Software;Applications Software(Business;Monitors/Terminals;Other Peripherals;Operating Systems;Computer Consulting Services</v>
      </c>
      <c r="AB642" s="6" t="str">
        <v>Applications Software(Business;Other Peripherals;Internet Services &amp; Software;Monitors/Terminals;Computer Consulting Services;Operating Systems</v>
      </c>
      <c r="AC642" s="8">
        <v>1200</v>
      </c>
      <c r="AD642" s="7">
        <f>=DATE(2012,6,25)</f>
        <v>41084.99949074074</v>
      </c>
      <c r="AJ642" s="8" t="str">
        <v>1,200.00</v>
      </c>
      <c r="AK642" s="6" t="str">
        <v>US Dollar</v>
      </c>
      <c r="AL642" s="8">
        <v>1200</v>
      </c>
    </row>
    <row r="643">
      <c r="A643" s="6" t="str">
        <v>07573T</v>
      </c>
      <c r="B643" s="6" t="str">
        <v>United States</v>
      </c>
      <c r="C643" s="6" t="str">
        <v>Beats Electronics LLC</v>
      </c>
      <c r="D643" s="6" t="str">
        <v>HTC Corp</v>
      </c>
      <c r="F643" s="6" t="str">
        <v>United States</v>
      </c>
      <c r="G643" s="6" t="str">
        <v>MOG Inc</v>
      </c>
      <c r="H643" s="6" t="str">
        <v>Prepackaged Software</v>
      </c>
      <c r="I643" s="6" t="str">
        <v>60607V</v>
      </c>
      <c r="J643" s="6" t="str">
        <v>MOG Inc</v>
      </c>
      <c r="K643" s="6" t="str">
        <v>MOG Inc</v>
      </c>
      <c r="L643" s="7">
        <f>=DATE(2012,7,2)</f>
        <v>41091.99949074074</v>
      </c>
      <c r="M643" s="7">
        <f>=DATE(2012,7,2)</f>
        <v>41091.99949074074</v>
      </c>
      <c r="W643" s="6" t="str">
        <v>Other Peripherals</v>
      </c>
      <c r="X643" s="6" t="str">
        <v>Internet Services &amp; Software;Other Software (inq. Games);Other Computer Related Svcs</v>
      </c>
      <c r="Y643" s="6" t="str">
        <v>Internet Services &amp; Software;Other Computer Related Svcs;Other Software (inq. Games)</v>
      </c>
      <c r="Z643" s="6" t="str">
        <v>Other Computer Related Svcs;Other Software (inq. Games);Internet Services &amp; Software</v>
      </c>
      <c r="AA643" s="6" t="str">
        <v>Micro-Computers (PCs);Portable Computers;Other Telecommunications Equip</v>
      </c>
      <c r="AB643" s="6" t="str">
        <v>Other Telecommunications Equip;Micro-Computers (PCs);Portable Computers</v>
      </c>
    </row>
    <row r="644">
      <c r="A644" s="6" t="str">
        <v>023135</v>
      </c>
      <c r="B644" s="6" t="str">
        <v>United States</v>
      </c>
      <c r="C644" s="6" t="str">
        <v>Amazon.com Inc</v>
      </c>
      <c r="D644" s="6" t="str">
        <v>Amazon.com Inc</v>
      </c>
      <c r="F644" s="6" t="str">
        <v>United States</v>
      </c>
      <c r="G644" s="6" t="str">
        <v>UpNext Inc</v>
      </c>
      <c r="H644" s="6" t="str">
        <v>Prepackaged Software</v>
      </c>
      <c r="I644" s="6" t="str">
        <v>93610R</v>
      </c>
      <c r="J644" s="6" t="str">
        <v>UpNext Inc</v>
      </c>
      <c r="K644" s="6" t="str">
        <v>UpNext Inc</v>
      </c>
      <c r="L644" s="7">
        <f>=DATE(2012,7,2)</f>
        <v>41091.99949074074</v>
      </c>
      <c r="W644" s="6" t="str">
        <v>Primary Business not Hi-Tech</v>
      </c>
      <c r="X644" s="6" t="str">
        <v>Applications Software(Business;Communication/Network Software</v>
      </c>
      <c r="Y644" s="6" t="str">
        <v>Applications Software(Business;Communication/Network Software</v>
      </c>
      <c r="Z644" s="6" t="str">
        <v>Communication/Network Software;Applications Software(Business</v>
      </c>
      <c r="AA644" s="6" t="str">
        <v>Primary Business not Hi-Tech</v>
      </c>
      <c r="AB644" s="6" t="str">
        <v>Primary Business not Hi-Tech</v>
      </c>
    </row>
    <row r="645">
      <c r="A645" s="6" t="str">
        <v>594918</v>
      </c>
      <c r="B645" s="6" t="str">
        <v>United States</v>
      </c>
      <c r="C645" s="6" t="str">
        <v>Microsoft Corp</v>
      </c>
      <c r="D645" s="6" t="str">
        <v>Microsoft Corp</v>
      </c>
      <c r="F645" s="6" t="str">
        <v>United States</v>
      </c>
      <c r="G645" s="6" t="str">
        <v>Perceptive Pixel Inc</v>
      </c>
      <c r="H645" s="6" t="str">
        <v>Prepackaged Software</v>
      </c>
      <c r="I645" s="6" t="str">
        <v>71410V</v>
      </c>
      <c r="J645" s="6" t="str">
        <v>Perceptive Pixel Inc</v>
      </c>
      <c r="K645" s="6" t="str">
        <v>Perceptive Pixel Inc</v>
      </c>
      <c r="L645" s="7">
        <f>=DATE(2012,7,9)</f>
        <v>41098.99949074074</v>
      </c>
      <c r="M645" s="7">
        <f>=DATE(2012,7,30)</f>
        <v>41119.99949074074</v>
      </c>
      <c r="W645" s="6" t="str">
        <v>Monitors/Terminals;Internet Services &amp; Software;Other Peripherals;Applications Software(Business;Computer Consulting Services;Operating Systems</v>
      </c>
      <c r="X645" s="6" t="str">
        <v>Semiconductors;Superconductors;Other Software (inq. Games)</v>
      </c>
      <c r="Y645" s="6" t="str">
        <v>Semiconductors;Superconductors;Other Software (inq. Games)</v>
      </c>
      <c r="Z645" s="6" t="str">
        <v>Semiconductors;Other Software (inq. Games);Superconductors</v>
      </c>
      <c r="AA645" s="6" t="str">
        <v>Applications Software(Business;Internet Services &amp; Software;Computer Consulting Services;Operating Systems;Other Peripherals;Monitors/Terminals</v>
      </c>
      <c r="AB645" s="6" t="str">
        <v>Internet Services &amp; Software;Computer Consulting Services;Monitors/Terminals;Other Peripherals;Operating Systems;Applications Software(Business</v>
      </c>
    </row>
    <row r="646">
      <c r="A646" s="6" t="str">
        <v>30303M</v>
      </c>
      <c r="B646" s="6" t="str">
        <v>United States</v>
      </c>
      <c r="C646" s="6" t="str">
        <v>Facebook Inc</v>
      </c>
      <c r="D646" s="6" t="str">
        <v>Facebook Inc</v>
      </c>
      <c r="F646" s="6" t="str">
        <v>United States</v>
      </c>
      <c r="G646" s="6" t="str">
        <v>Spool Inc</v>
      </c>
      <c r="H646" s="6" t="str">
        <v>Prepackaged Software</v>
      </c>
      <c r="I646" s="6" t="str">
        <v>84901Z</v>
      </c>
      <c r="J646" s="6" t="str">
        <v>Spool Inc</v>
      </c>
      <c r="K646" s="6" t="str">
        <v>Spool Inc</v>
      </c>
      <c r="L646" s="7">
        <f>=DATE(2012,7,14)</f>
        <v>41103.99949074074</v>
      </c>
      <c r="M646" s="7">
        <f>=DATE(2012,7,14)</f>
        <v>41103.99949074074</v>
      </c>
      <c r="W646" s="6" t="str">
        <v>Internet Services &amp; Software</v>
      </c>
      <c r="X646" s="6" t="str">
        <v>Applications Software(Business</v>
      </c>
      <c r="Y646" s="6" t="str">
        <v>Applications Software(Business</v>
      </c>
      <c r="Z646" s="6" t="str">
        <v>Applications Software(Business</v>
      </c>
      <c r="AA646" s="6" t="str">
        <v>Internet Services &amp; Software</v>
      </c>
      <c r="AB646" s="6" t="str">
        <v>Internet Services &amp; Software</v>
      </c>
    </row>
    <row r="647">
      <c r="A647" s="6" t="str">
        <v>30303M</v>
      </c>
      <c r="B647" s="6" t="str">
        <v>United States</v>
      </c>
      <c r="C647" s="6" t="str">
        <v>Facebook Inc</v>
      </c>
      <c r="D647" s="6" t="str">
        <v>Facebook Inc</v>
      </c>
      <c r="F647" s="6" t="str">
        <v>Canada</v>
      </c>
      <c r="G647" s="6" t="str">
        <v>Acrylic Software</v>
      </c>
      <c r="H647" s="6" t="str">
        <v>Business Services</v>
      </c>
      <c r="I647" s="6" t="str">
        <v>02034H</v>
      </c>
      <c r="J647" s="6" t="str">
        <v>Acrylic Software</v>
      </c>
      <c r="K647" s="6" t="str">
        <v>Acrylic Software</v>
      </c>
      <c r="L647" s="7">
        <f>=DATE(2012,7,20)</f>
        <v>41109.99949074074</v>
      </c>
      <c r="M647" s="7">
        <f>=DATE(2012,7,20)</f>
        <v>41109.99949074074</v>
      </c>
      <c r="W647" s="6" t="str">
        <v>Internet Services &amp; Software</v>
      </c>
      <c r="X647" s="6" t="str">
        <v>Other Computer Related Svcs;Computer Consulting Services;Programming Services</v>
      </c>
      <c r="Y647" s="6" t="str">
        <v>Computer Consulting Services;Other Computer Related Svcs;Programming Services</v>
      </c>
      <c r="Z647" s="6" t="str">
        <v>Other Computer Related Svcs;Programming Services;Computer Consulting Services</v>
      </c>
      <c r="AA647" s="6" t="str">
        <v>Internet Services &amp; Software</v>
      </c>
      <c r="AB647" s="6" t="str">
        <v>Internet Services &amp; Software</v>
      </c>
    </row>
    <row r="648">
      <c r="A648" s="6" t="str">
        <v>38259P</v>
      </c>
      <c r="B648" s="6" t="str">
        <v>United States</v>
      </c>
      <c r="C648" s="6" t="str">
        <v>Google Inc</v>
      </c>
      <c r="D648" s="6" t="str">
        <v>Alphabet Inc</v>
      </c>
      <c r="F648" s="6" t="str">
        <v>France</v>
      </c>
      <c r="G648" s="6" t="str">
        <v>Sparrow SAS</v>
      </c>
      <c r="H648" s="6" t="str">
        <v>Prepackaged Software</v>
      </c>
      <c r="I648" s="6" t="str">
        <v>84675Z</v>
      </c>
      <c r="J648" s="6" t="str">
        <v>Sparrow SAS</v>
      </c>
      <c r="K648" s="6" t="str">
        <v>Sparrow SAS</v>
      </c>
      <c r="L648" s="7">
        <f>=DATE(2012,7,20)</f>
        <v>41109.99949074074</v>
      </c>
      <c r="M648" s="7">
        <f>=DATE(2012,7,20)</f>
        <v>41109.99949074074</v>
      </c>
      <c r="W648" s="6" t="str">
        <v>Internet Services &amp; Software;Programming Services</v>
      </c>
      <c r="X648" s="6" t="str">
        <v>Applications Software(Home);Internet Services &amp; Software</v>
      </c>
      <c r="Y648" s="6" t="str">
        <v>Internet Services &amp; Software;Applications Software(Home)</v>
      </c>
      <c r="Z648" s="6" t="str">
        <v>Applications Software(Home);Internet Services &amp; Software</v>
      </c>
      <c r="AA648" s="6" t="str">
        <v>Primary Business not Hi-Tech;Telecommunications Equipment;Computer Consulting Services;Internet Services &amp; Software;Programming Services</v>
      </c>
      <c r="AB648" s="6" t="str">
        <v>Telecommunications Equipment;Primary Business not Hi-Tech;Computer Consulting Services;Internet Services &amp; Software;Programming Services</v>
      </c>
    </row>
    <row r="649">
      <c r="A649" s="6" t="str">
        <v>07573T</v>
      </c>
      <c r="B649" s="6" t="str">
        <v>United States</v>
      </c>
      <c r="C649" s="6" t="str">
        <v>Beats Electronics LLC</v>
      </c>
      <c r="D649" s="6" t="str">
        <v>HTC Corp</v>
      </c>
      <c r="F649" s="6" t="str">
        <v>United States</v>
      </c>
      <c r="G649" s="6" t="str">
        <v>Beats Electronics LLC</v>
      </c>
      <c r="H649" s="6" t="str">
        <v>Electronic and Electrical Equipment</v>
      </c>
      <c r="I649" s="6" t="str">
        <v>07573T</v>
      </c>
      <c r="J649" s="6" t="str">
        <v>HTC Corp</v>
      </c>
      <c r="K649" s="6" t="str">
        <v>HTC Corp</v>
      </c>
      <c r="L649" s="7">
        <f>=DATE(2012,7,23)</f>
        <v>41112.99949074074</v>
      </c>
      <c r="M649" s="7">
        <f>=DATE(2012,7,23)</f>
        <v>41112.99949074074</v>
      </c>
      <c r="N649" s="8">
        <v>150</v>
      </c>
      <c r="O649" s="8">
        <v>150</v>
      </c>
      <c r="W649" s="6" t="str">
        <v>Other Peripherals</v>
      </c>
      <c r="X649" s="6" t="str">
        <v>Other Peripherals</v>
      </c>
      <c r="Y649" s="6" t="str">
        <v>Portable Computers;Other Telecommunications Equip;Micro-Computers (PCs)</v>
      </c>
      <c r="Z649" s="6" t="str">
        <v>Micro-Computers (PCs);Other Telecommunications Equip;Portable Computers</v>
      </c>
      <c r="AA649" s="6" t="str">
        <v>Other Telecommunications Equip;Micro-Computers (PCs);Portable Computers</v>
      </c>
      <c r="AB649" s="6" t="str">
        <v>Micro-Computers (PCs);Other Telecommunications Equip;Portable Computers</v>
      </c>
      <c r="AC649" s="8">
        <v>150</v>
      </c>
      <c r="AD649" s="7">
        <f>=DATE(2012,7,23)</f>
        <v>41112.99949074074</v>
      </c>
      <c r="AF649" s="8" t="str">
        <v>600.00</v>
      </c>
      <c r="AG649" s="8" t="str">
        <v>600.00</v>
      </c>
      <c r="AH649" s="8" t="str">
        <v>600.00</v>
      </c>
      <c r="AI649" s="8" t="str">
        <v>600.00</v>
      </c>
      <c r="AJ649" s="8" t="str">
        <v>150.00</v>
      </c>
      <c r="AK649" s="6" t="str">
        <v>US Dollar</v>
      </c>
      <c r="AL649" s="8">
        <v>150</v>
      </c>
    </row>
    <row r="650">
      <c r="A650" s="6" t="str">
        <v>037833</v>
      </c>
      <c r="B650" s="6" t="str">
        <v>United States</v>
      </c>
      <c r="C650" s="6" t="str">
        <v>Apple Inc</v>
      </c>
      <c r="D650" s="6" t="str">
        <v>Apple Inc</v>
      </c>
      <c r="F650" s="6" t="str">
        <v>United States</v>
      </c>
      <c r="G650" s="6" t="str">
        <v>AuthenTec Inc</v>
      </c>
      <c r="H650" s="6" t="str">
        <v>Electronic and Electrical Equipment</v>
      </c>
      <c r="I650" s="6" t="str">
        <v>052660</v>
      </c>
      <c r="J650" s="6" t="str">
        <v>AuthenTec Inc</v>
      </c>
      <c r="K650" s="6" t="str">
        <v>AuthenTec Inc</v>
      </c>
      <c r="L650" s="7">
        <f>=DATE(2012,7,27)</f>
        <v>41116.99949074074</v>
      </c>
      <c r="M650" s="7">
        <f>=DATE(2012,10,4)</f>
        <v>41185.99949074074</v>
      </c>
      <c r="N650" s="8">
        <v>392.865</v>
      </c>
      <c r="O650" s="8">
        <v>392.865</v>
      </c>
      <c r="P650" s="8" t="str">
        <v>373.34</v>
      </c>
      <c r="R650" s="8">
        <v>-2.461</v>
      </c>
      <c r="S650" s="8">
        <v>76.11</v>
      </c>
      <c r="T650" s="8">
        <v>0.608</v>
      </c>
      <c r="U650" s="8">
        <v>6.987</v>
      </c>
      <c r="V650" s="8">
        <v>6.966</v>
      </c>
      <c r="W650" s="6" t="str">
        <v>Micro-Computers (PCs);Portable Computers;Other Peripherals;Disk Drives;Monitors/Terminals;Mainframes &amp; Super Computers;Other Software (inq. Games);Printers</v>
      </c>
      <c r="X650" s="6" t="str">
        <v>Search, Detection, Navigation;Other Electronics;Semiconductors</v>
      </c>
      <c r="Y650" s="6" t="str">
        <v>Semiconductors;Other Electronics;Search, Detection, Navigation</v>
      </c>
      <c r="Z650" s="6" t="str">
        <v>Other Electronics;Semiconductors;Search, Detection, Navigation</v>
      </c>
      <c r="AA650" s="6" t="str">
        <v>Mainframes &amp; Super Computers;Monitors/Terminals;Disk Drives;Printers;Other Software (inq. Games);Micro-Computers (PCs);Other Peripherals;Portable Computers</v>
      </c>
      <c r="AB650" s="6" t="str">
        <v>Other Peripherals;Disk Drives;Micro-Computers (PCs);Printers;Monitors/Terminals;Other Software (inq. Games);Mainframes &amp; Super Computers;Portable Computers</v>
      </c>
      <c r="AC650" s="8">
        <v>392.865</v>
      </c>
      <c r="AD650" s="7">
        <f>=DATE(2012,7,27)</f>
        <v>41116.99949074074</v>
      </c>
      <c r="AE650" s="8">
        <v>413.893176</v>
      </c>
      <c r="AF650" s="8" t="str">
        <v>371.55</v>
      </c>
      <c r="AG650" s="8" t="str">
        <v>373.34</v>
      </c>
      <c r="AH650" s="8" t="str">
        <v>394.66</v>
      </c>
      <c r="AI650" s="8" t="str">
        <v>392.87</v>
      </c>
      <c r="AJ650" s="8" t="str">
        <v>36.78;</v>
      </c>
      <c r="AK650" s="6" t="str">
        <v>US Dollar;US Dollar</v>
      </c>
      <c r="AL650" s="8">
        <v>392.865</v>
      </c>
    </row>
    <row r="651">
      <c r="A651" s="6" t="str">
        <v>38259P</v>
      </c>
      <c r="B651" s="6" t="str">
        <v>United States</v>
      </c>
      <c r="C651" s="6" t="str">
        <v>Google Inc</v>
      </c>
      <c r="D651" s="6" t="str">
        <v>Alphabet Inc</v>
      </c>
      <c r="F651" s="6" t="str">
        <v>United States</v>
      </c>
      <c r="G651" s="6" t="str">
        <v>Wildfire Interactive Inc</v>
      </c>
      <c r="H651" s="6" t="str">
        <v>Business Services</v>
      </c>
      <c r="I651" s="6" t="str">
        <v>96788Q</v>
      </c>
      <c r="J651" s="6" t="str">
        <v>Wildfire Interactive Inc</v>
      </c>
      <c r="K651" s="6" t="str">
        <v>Wildfire Interactive Inc</v>
      </c>
      <c r="L651" s="7">
        <f>=DATE(2012,7,31)</f>
        <v>41120.99949074074</v>
      </c>
      <c r="M651" s="7">
        <f>=DATE(2012,7,31)</f>
        <v>41120.99949074074</v>
      </c>
      <c r="N651" s="8">
        <v>250</v>
      </c>
      <c r="O651" s="8">
        <v>250</v>
      </c>
      <c r="W651" s="6" t="str">
        <v>Programming Services;Internet Services &amp; Software</v>
      </c>
      <c r="X651" s="6" t="str">
        <v>Internet Services &amp; Software;Applications Software(Business;Communication/Network Software;Networking Systems (LAN,WAN);Other Software (inq. Games)</v>
      </c>
      <c r="Y651" s="6" t="str">
        <v>Communication/Network Software;Applications Software(Business;Other Software (inq. Games);Internet Services &amp; Software;Networking Systems (LAN,WAN)</v>
      </c>
      <c r="Z651" s="6" t="str">
        <v>Communication/Network Software;Internet Services &amp; Software;Other Software (inq. Games);Networking Systems (LAN,WAN);Applications Software(Business</v>
      </c>
      <c r="AA651" s="6" t="str">
        <v>Telecommunications Equipment;Primary Business not Hi-Tech;Programming Services;Computer Consulting Services;Internet Services &amp; Software</v>
      </c>
      <c r="AB651" s="6" t="str">
        <v>Telecommunications Equipment;Internet Services &amp; Software;Computer Consulting Services;Programming Services;Primary Business not Hi-Tech</v>
      </c>
      <c r="AC651" s="8">
        <v>250</v>
      </c>
      <c r="AD651" s="7">
        <f>=DATE(2012,7,31)</f>
        <v>41120.99949074074</v>
      </c>
      <c r="AJ651" s="8" t="str">
        <v>250.00</v>
      </c>
      <c r="AK651" s="6" t="str">
        <v>US Dollar</v>
      </c>
      <c r="AL651" s="8">
        <v>250</v>
      </c>
    </row>
    <row r="652">
      <c r="A652" s="6" t="str">
        <v>037833</v>
      </c>
      <c r="B652" s="6" t="str">
        <v>United States</v>
      </c>
      <c r="C652" s="6" t="str">
        <v>Apple Inc</v>
      </c>
      <c r="D652" s="6" t="str">
        <v>Apple Inc</v>
      </c>
      <c r="F652" s="6" t="str">
        <v>United States</v>
      </c>
      <c r="G652" s="6" t="str">
        <v>Thing Daemon Inc</v>
      </c>
      <c r="H652" s="6" t="str">
        <v>Business Services</v>
      </c>
      <c r="I652" s="6" t="str">
        <v>85715K</v>
      </c>
      <c r="J652" s="6" t="str">
        <v>Thing Daemon Inc</v>
      </c>
      <c r="K652" s="6" t="str">
        <v>Thing Daemon Inc</v>
      </c>
      <c r="L652" s="7">
        <f>=DATE(2012,8,6)</f>
        <v>41126.99949074074</v>
      </c>
      <c r="W652" s="6" t="str">
        <v>Portable Computers;Disk Drives;Monitors/Terminals;Micro-Computers (PCs);Other Software (inq. Games);Printers;Other Peripherals;Mainframes &amp; Super Computers</v>
      </c>
      <c r="X652" s="6" t="str">
        <v>Internet Services &amp; Software</v>
      </c>
      <c r="Y652" s="6" t="str">
        <v>Internet Services &amp; Software</v>
      </c>
      <c r="Z652" s="6" t="str">
        <v>Internet Services &amp; Software</v>
      </c>
      <c r="AA652" s="6" t="str">
        <v>Monitors/Terminals;Micro-Computers (PCs);Other Software (inq. Games);Disk Drives;Mainframes &amp; Super Computers;Other Peripherals;Portable Computers;Printers</v>
      </c>
      <c r="AB652" s="6" t="str">
        <v>Micro-Computers (PCs);Other Peripherals;Disk Drives;Mainframes &amp; Super Computers;Other Software (inq. Games);Monitors/Terminals;Printers;Portable Computers</v>
      </c>
    </row>
    <row r="653">
      <c r="A653" s="6" t="str">
        <v>38259P</v>
      </c>
      <c r="B653" s="6" t="str">
        <v>United States</v>
      </c>
      <c r="C653" s="6" t="str">
        <v>Google Inc</v>
      </c>
      <c r="D653" s="6" t="str">
        <v>Alphabet Inc</v>
      </c>
      <c r="F653" s="6" t="str">
        <v>United States</v>
      </c>
      <c r="G653" s="6" t="str">
        <v>John Wiley &amp; Sons Inc-Consumer Print &amp; Digital Publishing Asset</v>
      </c>
      <c r="H653" s="6" t="str">
        <v>Printing, Publishing, and Allied Services</v>
      </c>
      <c r="I653" s="6" t="str">
        <v>96831N</v>
      </c>
      <c r="J653" s="6" t="str">
        <v>John Wiley &amp; Sons Inc</v>
      </c>
      <c r="K653" s="6" t="str">
        <v>John Wiley &amp; Sons Inc</v>
      </c>
      <c r="L653" s="7">
        <f>=DATE(2012,8,13)</f>
        <v>41133.99949074074</v>
      </c>
      <c r="M653" s="7">
        <f>=DATE(2012,8,31)</f>
        <v>41151.99949074074</v>
      </c>
      <c r="W653" s="6" t="str">
        <v>Internet Services &amp; Software;Programming Services</v>
      </c>
      <c r="X653" s="6" t="str">
        <v>Internet Services &amp; Software</v>
      </c>
      <c r="Y653" s="6" t="str">
        <v>Internet Services &amp; Software</v>
      </c>
      <c r="Z653" s="6" t="str">
        <v>Internet Services &amp; Software</v>
      </c>
      <c r="AA653" s="6" t="str">
        <v>Programming Services;Internet Services &amp; Software;Primary Business not Hi-Tech;Telecommunications Equipment;Computer Consulting Services</v>
      </c>
      <c r="AB653" s="6" t="str">
        <v>Primary Business not Hi-Tech;Telecommunications Equipment;Programming Services;Computer Consulting Services;Internet Services &amp; Software</v>
      </c>
    </row>
    <row r="654">
      <c r="A654" s="6" t="str">
        <v>30303M</v>
      </c>
      <c r="B654" s="6" t="str">
        <v>United States</v>
      </c>
      <c r="C654" s="6" t="str">
        <v>Facebook Inc</v>
      </c>
      <c r="D654" s="6" t="str">
        <v>Facebook Inc</v>
      </c>
      <c r="F654" s="6" t="str">
        <v>United States</v>
      </c>
      <c r="G654" s="6" t="str">
        <v>Threadsy Inc</v>
      </c>
      <c r="H654" s="6" t="str">
        <v>Prepackaged Software</v>
      </c>
      <c r="I654" s="6" t="str">
        <v>93662K</v>
      </c>
      <c r="J654" s="6" t="str">
        <v>Threadsy Inc</v>
      </c>
      <c r="K654" s="6" t="str">
        <v>Threadsy Inc</v>
      </c>
      <c r="L654" s="7">
        <f>=DATE(2012,8,24)</f>
        <v>41144.99949074074</v>
      </c>
      <c r="M654" s="7">
        <f>=DATE(2012,8,24)</f>
        <v>41144.99949074074</v>
      </c>
      <c r="W654" s="6" t="str">
        <v>Internet Services &amp; Software</v>
      </c>
      <c r="X654" s="6" t="str">
        <v>Communication/Network Software;Applications Software(Business;Programming Services;Database Software/Programming;Applications Software(Home);Utilities/File Mgmt Software</v>
      </c>
      <c r="Y654" s="6" t="str">
        <v>Programming Services;Applications Software(Home);Applications Software(Business;Communication/Network Software;Utilities/File Mgmt Software;Database Software/Programming</v>
      </c>
      <c r="Z654" s="6" t="str">
        <v>Applications Software(Home);Utilities/File Mgmt Software;Communication/Network Software;Programming Services;Database Software/Programming;Applications Software(Business</v>
      </c>
      <c r="AA654" s="6" t="str">
        <v>Internet Services &amp; Software</v>
      </c>
      <c r="AB654" s="6" t="str">
        <v>Internet Services &amp; Software</v>
      </c>
    </row>
    <row r="655">
      <c r="A655" s="6" t="str">
        <v>30303M</v>
      </c>
      <c r="B655" s="6" t="str">
        <v>United States</v>
      </c>
      <c r="C655" s="6" t="str">
        <v>Facebook Inc</v>
      </c>
      <c r="D655" s="6" t="str">
        <v>Facebook Inc</v>
      </c>
      <c r="F655" s="6" t="str">
        <v>Israel</v>
      </c>
      <c r="G655" s="6" t="str">
        <v>Waze Ltd</v>
      </c>
      <c r="H655" s="6" t="str">
        <v>Business Services</v>
      </c>
      <c r="I655" s="6" t="str">
        <v>94678Y</v>
      </c>
      <c r="J655" s="6" t="str">
        <v>Waze Ltd</v>
      </c>
      <c r="K655" s="6" t="str">
        <v>Waze Ltd</v>
      </c>
      <c r="L655" s="7">
        <f>=DATE(2012,8,28)</f>
        <v>41148.99949074074</v>
      </c>
      <c r="W655" s="6" t="str">
        <v>Internet Services &amp; Software</v>
      </c>
      <c r="X655" s="6" t="str">
        <v>Other Software (inq. Games);Database Software/Programming;Applications Software(Business;Communication/Network Software</v>
      </c>
      <c r="Y655" s="6" t="str">
        <v>Database Software/Programming;Applications Software(Business;Communication/Network Software;Other Software (inq. Games)</v>
      </c>
      <c r="Z655" s="6" t="str">
        <v>Applications Software(Business;Communication/Network Software;Database Software/Programming;Other Software (inq. Games)</v>
      </c>
      <c r="AA655" s="6" t="str">
        <v>Internet Services &amp; Software</v>
      </c>
      <c r="AB655" s="6" t="str">
        <v>Internet Services &amp; Software</v>
      </c>
    </row>
    <row r="656">
      <c r="A656" s="6" t="str">
        <v>037833</v>
      </c>
      <c r="B656" s="6" t="str">
        <v>United States</v>
      </c>
      <c r="C656" s="6" t="str">
        <v>Apple Inc</v>
      </c>
      <c r="D656" s="6" t="str">
        <v>Apple Inc</v>
      </c>
      <c r="F656" s="6" t="str">
        <v>United States</v>
      </c>
      <c r="G656" s="6" t="str">
        <v>Apple Inc</v>
      </c>
      <c r="H656" s="6" t="str">
        <v>Computer and Office Equipment</v>
      </c>
      <c r="I656" s="6" t="str">
        <v>037833</v>
      </c>
      <c r="J656" s="6" t="str">
        <v>Apple Inc</v>
      </c>
      <c r="K656" s="6" t="str">
        <v>Apple Inc</v>
      </c>
      <c r="L656" s="7">
        <f>=DATE(2012,8,31)</f>
        <v>41151.99949074074</v>
      </c>
      <c r="M656" s="7">
        <f>=DATE(2013,4,1)</f>
        <v>41364.99949074074</v>
      </c>
      <c r="N656" s="8">
        <v>2000</v>
      </c>
      <c r="O656" s="8">
        <v>2000</v>
      </c>
      <c r="P656" s="8" t="str">
        <v>432,109.59</v>
      </c>
      <c r="R656" s="8">
        <v>40133</v>
      </c>
      <c r="S656" s="8">
        <v>148812</v>
      </c>
      <c r="T656" s="8">
        <v>755</v>
      </c>
      <c r="U656" s="8">
        <v>-57050</v>
      </c>
      <c r="V656" s="8">
        <v>53739</v>
      </c>
      <c r="W656" s="6" t="str">
        <v>Portable Computers;Mainframes &amp; Super Computers;Other Peripherals;Micro-Computers (PCs);Disk Drives;Printers;Other Software (inq. Games);Monitors/Terminals</v>
      </c>
      <c r="X656" s="6" t="str">
        <v>Mainframes &amp; Super Computers;Disk Drives;Other Peripherals;Printers;Micro-Computers (PCs);Portable Computers;Monitors/Terminals;Other Software (inq. Games)</v>
      </c>
      <c r="Y656" s="6" t="str">
        <v>Other Peripherals;Portable Computers;Monitors/Terminals;Micro-Computers (PCs);Disk Drives;Mainframes &amp; Super Computers;Printers;Other Software (inq. Games)</v>
      </c>
      <c r="Z656" s="6" t="str">
        <v>Other Peripherals;Micro-Computers (PCs);Disk Drives;Monitors/Terminals;Other Software (inq. Games);Printers;Portable Computers;Mainframes &amp; Super Computers</v>
      </c>
      <c r="AA656" s="6" t="str">
        <v>Other Software (inq. Games);Other Peripherals;Mainframes &amp; Super Computers;Printers;Disk Drives;Micro-Computers (PCs);Portable Computers;Monitors/Terminals</v>
      </c>
      <c r="AB656" s="6" t="str">
        <v>Printers;Mainframes &amp; Super Computers;Disk Drives;Portable Computers;Monitors/Terminals;Micro-Computers (PCs);Other Peripherals;Other Software (inq. Games)</v>
      </c>
      <c r="AC656" s="8">
        <v>2000</v>
      </c>
      <c r="AD656" s="7">
        <f>=DATE(2012,8,31)</f>
        <v>41151.99949074074</v>
      </c>
      <c r="AF656" s="8" t="str">
        <v>432,109.59</v>
      </c>
      <c r="AG656" s="8" t="str">
        <v>432,109.59</v>
      </c>
      <c r="AH656" s="8" t="str">
        <v>459,763.59</v>
      </c>
      <c r="AI656" s="8" t="str">
        <v>459,763.59</v>
      </c>
      <c r="AJ656" s="8" t="str">
        <v>2,000.00</v>
      </c>
      <c r="AK656" s="6" t="str">
        <v>US Dollar</v>
      </c>
      <c r="AL656" s="8">
        <v>2000</v>
      </c>
    </row>
    <row r="657">
      <c r="A657" s="6" t="str">
        <v>38259P</v>
      </c>
      <c r="B657" s="6" t="str">
        <v>United States</v>
      </c>
      <c r="C657" s="6" t="str">
        <v>Google Inc</v>
      </c>
      <c r="D657" s="6" t="str">
        <v>Alphabet Inc</v>
      </c>
      <c r="F657" s="6" t="str">
        <v>Spain</v>
      </c>
      <c r="G657" s="6" t="str">
        <v>VirusTotal.com</v>
      </c>
      <c r="H657" s="6" t="str">
        <v>Business Services</v>
      </c>
      <c r="I657" s="6" t="str">
        <v>93672E</v>
      </c>
      <c r="J657" s="6" t="str">
        <v>VirusTotal.com</v>
      </c>
      <c r="K657" s="6" t="str">
        <v>VirusTotal.com</v>
      </c>
      <c r="L657" s="7">
        <f>=DATE(2012,9,7)</f>
        <v>41158.99949074074</v>
      </c>
      <c r="M657" s="7">
        <f>=DATE(2012,9,7)</f>
        <v>41158.99949074074</v>
      </c>
      <c r="W657" s="6" t="str">
        <v>Internet Services &amp; Software;Programming Services</v>
      </c>
      <c r="X657" s="6" t="str">
        <v>Networking Systems (LAN,WAN);Internet Services &amp; Software</v>
      </c>
      <c r="Y657" s="6" t="str">
        <v>Networking Systems (LAN,WAN);Internet Services &amp; Software</v>
      </c>
      <c r="Z657" s="6" t="str">
        <v>Networking Systems (LAN,WAN);Internet Services &amp; Software</v>
      </c>
      <c r="AA657" s="6" t="str">
        <v>Computer Consulting Services;Internet Services &amp; Software;Primary Business not Hi-Tech;Telecommunications Equipment;Programming Services</v>
      </c>
      <c r="AB657" s="6" t="str">
        <v>Primary Business not Hi-Tech;Programming Services;Telecommunications Equipment;Computer Consulting Services;Internet Services &amp; Software</v>
      </c>
    </row>
    <row r="658">
      <c r="A658" s="6" t="str">
        <v>38259P</v>
      </c>
      <c r="B658" s="6" t="str">
        <v>United States</v>
      </c>
      <c r="C658" s="6" t="str">
        <v>Google Inc</v>
      </c>
      <c r="D658" s="6" t="str">
        <v>Alphabet Inc</v>
      </c>
      <c r="F658" s="6" t="str">
        <v>Germany</v>
      </c>
      <c r="G658" s="6" t="str">
        <v>Nik Software GmbH</v>
      </c>
      <c r="H658" s="6" t="str">
        <v>Prepackaged Software</v>
      </c>
      <c r="I658" s="6" t="str">
        <v>65206Q</v>
      </c>
      <c r="J658" s="6" t="str">
        <v>Nik Software GmbH</v>
      </c>
      <c r="K658" s="6" t="str">
        <v>Nik Software GmbH</v>
      </c>
      <c r="L658" s="7">
        <f>=DATE(2012,9,17)</f>
        <v>41168.99949074074</v>
      </c>
      <c r="M658" s="7">
        <f>=DATE(2012,9,17)</f>
        <v>41168.99949074074</v>
      </c>
      <c r="W658" s="6" t="str">
        <v>Internet Services &amp; Software;Programming Services</v>
      </c>
      <c r="X658" s="6" t="str">
        <v>Internet Services &amp; Software;Communication/Network Software</v>
      </c>
      <c r="Y658" s="6" t="str">
        <v>Internet Services &amp; Software;Communication/Network Software</v>
      </c>
      <c r="Z658" s="6" t="str">
        <v>Communication/Network Software;Internet Services &amp; Software</v>
      </c>
      <c r="AA658" s="6" t="str">
        <v>Telecommunications Equipment;Computer Consulting Services;Primary Business not Hi-Tech;Programming Services;Internet Services &amp; Software</v>
      </c>
      <c r="AB658" s="6" t="str">
        <v>Primary Business not Hi-Tech;Computer Consulting Services;Programming Services;Internet Services &amp; Software;Telecommunications Equipment</v>
      </c>
    </row>
    <row r="659">
      <c r="A659" s="6" t="str">
        <v>67020Y</v>
      </c>
      <c r="B659" s="6" t="str">
        <v>United States</v>
      </c>
      <c r="C659" s="6" t="str">
        <v>Nuance Communications Inc</v>
      </c>
      <c r="D659" s="6" t="str">
        <v>Nuance Communications Inc</v>
      </c>
      <c r="F659" s="6" t="str">
        <v>United States</v>
      </c>
      <c r="G659" s="6" t="str">
        <v>Ditech Networks Inc</v>
      </c>
      <c r="H659" s="6" t="str">
        <v>Communications Equipment</v>
      </c>
      <c r="I659" s="6" t="str">
        <v>25500T</v>
      </c>
      <c r="J659" s="6" t="str">
        <v>Ditech Networks Inc</v>
      </c>
      <c r="K659" s="6" t="str">
        <v>Ditech Networks Inc</v>
      </c>
      <c r="L659" s="7">
        <f>=DATE(2012,9,18)</f>
        <v>41169.99949074074</v>
      </c>
      <c r="M659" s="7">
        <f>=DATE(2012,12,4)</f>
        <v>41246.99949074074</v>
      </c>
      <c r="N659" s="8">
        <v>38.998</v>
      </c>
      <c r="O659" s="8">
        <v>38.998</v>
      </c>
      <c r="P659" s="8" t="str">
        <v>18.14</v>
      </c>
      <c r="R659" s="8">
        <v>-10.94</v>
      </c>
      <c r="S659" s="8">
        <v>16.52</v>
      </c>
      <c r="T659" s="8">
        <v>0.123</v>
      </c>
      <c r="U659" s="8">
        <v>0.256</v>
      </c>
      <c r="V659" s="8">
        <v>-4.275</v>
      </c>
      <c r="W659" s="6" t="str">
        <v>Desktop Publishing;Other Software (inq. Games);Computer Consulting Services;Networking Systems (LAN,WAN);Other Computer Related Svcs;Communication/Network Software;Database Software/Programming;Programming Services;Applications Software(Business;Internet Services &amp; Software;Primary Business not Hi-Tech;Applications Software(Home);Utilities/File Mgmt Software</v>
      </c>
      <c r="X659" s="6" t="str">
        <v>Facsimile Equipment;Modems;Telephone Interconnect Equip;Other Telecommunications Equip;Communication/Network Software</v>
      </c>
      <c r="Y659" s="6" t="str">
        <v>Communication/Network Software;Facsimile Equipment;Other Telecommunications Equip;Telephone Interconnect Equip;Modems</v>
      </c>
      <c r="Z659" s="6" t="str">
        <v>Modems;Telephone Interconnect Equip;Communication/Network Software;Facsimile Equipment;Other Telecommunications Equip</v>
      </c>
      <c r="AA659" s="6" t="str">
        <v>Other Software (inq. Games);Applications Software(Business;Applications Software(Home);Desktop Publishing;Other Computer Related Svcs;Database Software/Programming;Primary Business not Hi-Tech;Networking Systems (LAN,WAN);Utilities/File Mgmt Software;Communication/Network Software;Computer Consulting Services;Programming Services;Internet Services &amp; Software</v>
      </c>
      <c r="AB659" s="6" t="str">
        <v>Programming Services;Computer Consulting Services;Primary Business not Hi-Tech;Applications Software(Business;Other Computer Related Svcs;Communication/Network Software;Internet Services &amp; Software;Networking Systems (LAN,WAN);Applications Software(Home);Other Software (inq. Games);Desktop Publishing;Utilities/File Mgmt Software;Database Software/Programming</v>
      </c>
      <c r="AC659" s="8">
        <v>38.998</v>
      </c>
      <c r="AD659" s="7">
        <f>=DATE(2012,9,18)</f>
        <v>41169.99949074074</v>
      </c>
      <c r="AE659" s="8">
        <v>38.99769635</v>
      </c>
      <c r="AF659" s="8" t="str">
        <v>18.14</v>
      </c>
      <c r="AG659" s="8" t="str">
        <v>18.14</v>
      </c>
      <c r="AH659" s="8" t="str">
        <v>39.00</v>
      </c>
      <c r="AI659" s="8" t="str">
        <v>39.00</v>
      </c>
      <c r="AK659" s="6" t="str">
        <v>US Dollar</v>
      </c>
      <c r="AL659" s="8">
        <v>38.998</v>
      </c>
    </row>
    <row r="660">
      <c r="A660" s="6" t="str">
        <v>67020Y</v>
      </c>
      <c r="B660" s="6" t="str">
        <v>United States</v>
      </c>
      <c r="C660" s="6" t="str">
        <v>Nuance Communications Inc</v>
      </c>
      <c r="D660" s="6" t="str">
        <v>Nuance Communications Inc</v>
      </c>
      <c r="F660" s="6" t="str">
        <v>United States</v>
      </c>
      <c r="G660" s="6" t="str">
        <v>QuadraMed Corp-Quantim</v>
      </c>
      <c r="H660" s="6" t="str">
        <v>Business Services</v>
      </c>
      <c r="I660" s="6" t="str">
        <v>77008V</v>
      </c>
      <c r="J660" s="6" t="str">
        <v>Francisco Partners Management LP</v>
      </c>
      <c r="K660" s="6" t="str">
        <v>QuadraMed Corp</v>
      </c>
      <c r="L660" s="7">
        <f>=DATE(2012,9,27)</f>
        <v>41178.99949074074</v>
      </c>
      <c r="W660" s="6" t="str">
        <v>Networking Systems (LAN,WAN);Utilities/File Mgmt Software;Primary Business not Hi-Tech;Applications Software(Business;Database Software/Programming;Desktop Publishing;Communication/Network Software;Other Software (inq. Games);Applications Software(Home);Other Computer Related Svcs;Internet Services &amp; Software;Programming Services;Computer Consulting Services</v>
      </c>
      <c r="X660" s="6" t="str">
        <v>Database Software/Programming;Other Computer Related Svcs;Programming Services</v>
      </c>
      <c r="Y660" s="6" t="str">
        <v>Database Software/Programming;Other Computer Related Svcs;Programming Services</v>
      </c>
      <c r="Z660" s="6" t="str">
        <v>Primary Business not Hi-Tech</v>
      </c>
      <c r="AA660" s="6" t="str">
        <v>Utilities/File Mgmt Software;Other Software (inq. Games);Programming Services;Desktop Publishing;Communication/Network Software;Primary Business not Hi-Tech;Applications Software(Home);Database Software/Programming;Other Computer Related Svcs;Applications Software(Business;Computer Consulting Services;Internet Services &amp; Software;Networking Systems (LAN,WAN)</v>
      </c>
      <c r="AB660" s="6" t="str">
        <v>Utilities/File Mgmt Software;Applications Software(Business;Communication/Network Software;Internet Services &amp; Software;Applications Software(Home);Computer Consulting Services;Programming Services;Primary Business not Hi-Tech;Other Computer Related Svcs;Desktop Publishing;Networking Systems (LAN,WAN);Other Software (inq. Games);Database Software/Programming</v>
      </c>
    </row>
    <row r="661">
      <c r="A661" s="6" t="str">
        <v>67020Y</v>
      </c>
      <c r="B661" s="6" t="str">
        <v>United States</v>
      </c>
      <c r="C661" s="6" t="str">
        <v>Nuance Communications Inc</v>
      </c>
      <c r="D661" s="6" t="str">
        <v>Nuance Communications Inc</v>
      </c>
      <c r="F661" s="6" t="str">
        <v>United States</v>
      </c>
      <c r="G661" s="6" t="str">
        <v>JA Thomas &amp; Associates Inc</v>
      </c>
      <c r="H661" s="6" t="str">
        <v>Business Services</v>
      </c>
      <c r="I661" s="6" t="str">
        <v>49111M</v>
      </c>
      <c r="J661" s="6" t="str">
        <v>JA Thomas &amp; Associates Inc</v>
      </c>
      <c r="K661" s="6" t="str">
        <v>JA Thomas &amp; Associates Inc</v>
      </c>
      <c r="L661" s="7">
        <f>=DATE(2012,10,1)</f>
        <v>41182.99949074074</v>
      </c>
      <c r="M661" s="7">
        <f>=DATE(2012,10,1)</f>
        <v>41182.99949074074</v>
      </c>
      <c r="N661" s="8">
        <v>265</v>
      </c>
      <c r="O661" s="8">
        <v>265</v>
      </c>
      <c r="W661" s="6" t="str">
        <v>Applications Software(Business;Utilities/File Mgmt Software;Programming Services;Computer Consulting Services;Database Software/Programming;Desktop Publishing;Other Software (inq. Games);Networking Systems (LAN,WAN);Applications Software(Home);Internet Services &amp; Software;Communication/Network Software;Other Computer Related Svcs;Primary Business not Hi-Tech</v>
      </c>
      <c r="X661" s="6" t="str">
        <v>Data Processing Services</v>
      </c>
      <c r="Y661" s="6" t="str">
        <v>Data Processing Services</v>
      </c>
      <c r="Z661" s="6" t="str">
        <v>Data Processing Services</v>
      </c>
      <c r="AA661" s="6" t="str">
        <v>Applications Software(Home);Database Software/Programming;Communication/Network Software;Utilities/File Mgmt Software;Other Software (inq. Games);Applications Software(Business;Desktop Publishing;Internet Services &amp; Software;Computer Consulting Services;Other Computer Related Svcs;Programming Services;Networking Systems (LAN,WAN);Primary Business not Hi-Tech</v>
      </c>
      <c r="AB661" s="6" t="str">
        <v>Internet Services &amp; Software;Desktop Publishing;Communication/Network Software;Networking Systems (LAN,WAN);Primary Business not Hi-Tech;Applications Software(Home);Computer Consulting Services;Applications Software(Business;Other Computer Related Svcs;Programming Services;Other Software (inq. Games);Database Software/Programming;Utilities/File Mgmt Software</v>
      </c>
      <c r="AC661" s="8">
        <v>265</v>
      </c>
      <c r="AD661" s="7">
        <f>=DATE(2012,10,5)</f>
        <v>41186.99949074074</v>
      </c>
      <c r="AJ661" s="8" t="str">
        <v>265.00</v>
      </c>
      <c r="AK661" s="6" t="str">
        <v>US Dollar</v>
      </c>
      <c r="AL661" s="8">
        <v>265</v>
      </c>
    </row>
    <row r="662">
      <c r="A662" s="6" t="str">
        <v>594918</v>
      </c>
      <c r="B662" s="6" t="str">
        <v>United States</v>
      </c>
      <c r="C662" s="6" t="str">
        <v>Microsoft Corp</v>
      </c>
      <c r="D662" s="6" t="str">
        <v>Microsoft Corp</v>
      </c>
      <c r="F662" s="6" t="str">
        <v>United States</v>
      </c>
      <c r="G662" s="6" t="str">
        <v>PhoneFactor Inc</v>
      </c>
      <c r="H662" s="6" t="str">
        <v>Telecommunications</v>
      </c>
      <c r="I662" s="6" t="str">
        <v>71874W</v>
      </c>
      <c r="J662" s="6" t="str">
        <v>PhoneFactor Inc</v>
      </c>
      <c r="K662" s="6" t="str">
        <v>PhoneFactor Inc</v>
      </c>
      <c r="L662" s="7">
        <f>=DATE(2012,10,4)</f>
        <v>41185.99949074074</v>
      </c>
      <c r="M662" s="7">
        <f>=DATE(2012,10,4)</f>
        <v>41185.99949074074</v>
      </c>
      <c r="W662" s="6" t="str">
        <v>Monitors/Terminals;Internet Services &amp; Software;Computer Consulting Services;Applications Software(Business;Operating Systems;Other Peripherals</v>
      </c>
      <c r="X662" s="6" t="str">
        <v>Internet Services &amp; Software</v>
      </c>
      <c r="Y662" s="6" t="str">
        <v>Internet Services &amp; Software</v>
      </c>
      <c r="Z662" s="6" t="str">
        <v>Internet Services &amp; Software</v>
      </c>
      <c r="AA662" s="6" t="str">
        <v>Operating Systems;Applications Software(Business;Other Peripherals;Computer Consulting Services;Monitors/Terminals;Internet Services &amp; Software</v>
      </c>
      <c r="AB662" s="6" t="str">
        <v>Computer Consulting Services;Applications Software(Business;Internet Services &amp; Software;Monitors/Terminals;Operating Systems;Other Peripherals</v>
      </c>
    </row>
    <row r="663">
      <c r="A663" s="6" t="str">
        <v>620097</v>
      </c>
      <c r="B663" s="6" t="str">
        <v>United States</v>
      </c>
      <c r="C663" s="6" t="str">
        <v>Motorola Mobility Holdings Inc</v>
      </c>
      <c r="D663" s="6" t="str">
        <v>Alphabet Inc</v>
      </c>
      <c r="F663" s="6" t="str">
        <v>United States</v>
      </c>
      <c r="G663" s="6" t="str">
        <v>Viewdle Inc</v>
      </c>
      <c r="H663" s="6" t="str">
        <v>Prepackaged Software</v>
      </c>
      <c r="I663" s="6" t="str">
        <v>92730M</v>
      </c>
      <c r="J663" s="6" t="str">
        <v>Viewdle Inc</v>
      </c>
      <c r="K663" s="6" t="str">
        <v>Viewdle Inc</v>
      </c>
      <c r="L663" s="7">
        <f>=DATE(2012,10,4)</f>
        <v>41185.99949074074</v>
      </c>
      <c r="M663" s="7">
        <f>=DATE(2012,10,4)</f>
        <v>41185.99949074074</v>
      </c>
      <c r="W663" s="6" t="str">
        <v>Other Electronics;Cellular Communications;Other Telecommunications Equip</v>
      </c>
      <c r="X663" s="6" t="str">
        <v>Applications Software(Business;Other Software (inq. Games)</v>
      </c>
      <c r="Y663" s="6" t="str">
        <v>Other Software (inq. Games);Applications Software(Business</v>
      </c>
      <c r="Z663" s="6" t="str">
        <v>Other Software (inq. Games);Applications Software(Business</v>
      </c>
      <c r="AA663" s="6" t="str">
        <v>Internet Services &amp; Software;Programming Services</v>
      </c>
      <c r="AB663" s="6" t="str">
        <v>Computer Consulting Services;Programming Services;Internet Services &amp; Software;Telecommunications Equipment;Primary Business not Hi-Tech</v>
      </c>
    </row>
    <row r="664">
      <c r="A664" s="6" t="str">
        <v>023135</v>
      </c>
      <c r="B664" s="6" t="str">
        <v>United States</v>
      </c>
      <c r="C664" s="6" t="str">
        <v>Amazon.com Inc</v>
      </c>
      <c r="D664" s="6" t="str">
        <v>Amazon.com Inc</v>
      </c>
      <c r="F664" s="6" t="str">
        <v>United States</v>
      </c>
      <c r="G664" s="6" t="str">
        <v>Texas Instruments Inc-Mobile Chip Business</v>
      </c>
      <c r="H664" s="6" t="str">
        <v>Electronic and Electrical Equipment</v>
      </c>
      <c r="I664" s="6" t="str">
        <v>85694Z</v>
      </c>
      <c r="J664" s="6" t="str">
        <v>Texas Instruments Inc</v>
      </c>
      <c r="K664" s="6" t="str">
        <v>Texas Instruments Inc</v>
      </c>
      <c r="L664" s="7">
        <f>=DATE(2012,10,15)</f>
        <v>41196.99949074074</v>
      </c>
      <c r="W664" s="6" t="str">
        <v>Primary Business not Hi-Tech</v>
      </c>
      <c r="X664" s="6" t="str">
        <v>Other Electronics;Superconductors;Portable Computers;Micro-Computers (PCs);Semiconductors</v>
      </c>
      <c r="Y664" s="6" t="str">
        <v>Process Control Systems;Other Telecommunications Equip;Data Commun(Exclude networking;Superconductors;Printed Circuit Boards;Other Peripherals;Search, Detection, Navigation;Precision/Measuring Test Equip;Semiconductors;Other Electronics;Microwave Communications;Messaging Systems</v>
      </c>
      <c r="Z664" s="6" t="str">
        <v>Process Control Systems;Precision/Measuring Test Equip;Printed Circuit Boards;Search, Detection, Navigation;Data Commun(Exclude networking;Semiconductors;Other Electronics;Other Peripherals;Other Telecommunications Equip;Superconductors;Messaging Systems;Microwave Communications</v>
      </c>
      <c r="AA664" s="6" t="str">
        <v>Primary Business not Hi-Tech</v>
      </c>
      <c r="AB664" s="6" t="str">
        <v>Primary Business not Hi-Tech</v>
      </c>
    </row>
    <row r="665">
      <c r="A665" s="6" t="str">
        <v>594918</v>
      </c>
      <c r="B665" s="6" t="str">
        <v>United States</v>
      </c>
      <c r="C665" s="6" t="str">
        <v>Microsoft Corp</v>
      </c>
      <c r="D665" s="6" t="str">
        <v>Microsoft Corp</v>
      </c>
      <c r="F665" s="6" t="str">
        <v>United States</v>
      </c>
      <c r="G665" s="6" t="str">
        <v>StorSimple Inc</v>
      </c>
      <c r="H665" s="6" t="str">
        <v>Computer and Office Equipment</v>
      </c>
      <c r="I665" s="6" t="str">
        <v>93709E</v>
      </c>
      <c r="J665" s="6" t="str">
        <v>StorSimple Inc</v>
      </c>
      <c r="K665" s="6" t="str">
        <v>StorSimple Inc</v>
      </c>
      <c r="L665" s="7">
        <f>=DATE(2012,10,16)</f>
        <v>41197.99949074074</v>
      </c>
      <c r="M665" s="7">
        <f>=DATE(2012,11,16)</f>
        <v>41228.99949074074</v>
      </c>
      <c r="W665" s="6" t="str">
        <v>Other Peripherals;Applications Software(Business;Operating Systems;Internet Services &amp; Software;Computer Consulting Services;Monitors/Terminals</v>
      </c>
      <c r="X665" s="6" t="str">
        <v>Other Peripherals</v>
      </c>
      <c r="Y665" s="6" t="str">
        <v>Other Peripherals</v>
      </c>
      <c r="Z665" s="6" t="str">
        <v>Other Peripherals</v>
      </c>
      <c r="AA665" s="6" t="str">
        <v>Computer Consulting Services;Monitors/Terminals;Internet Services &amp; Software;Operating Systems;Other Peripherals;Applications Software(Business</v>
      </c>
      <c r="AB665" s="6" t="str">
        <v>Other Peripherals;Internet Services &amp; Software;Applications Software(Business;Computer Consulting Services;Monitors/Terminals;Operating Systems</v>
      </c>
    </row>
    <row r="666">
      <c r="A666" s="6" t="str">
        <v>594918</v>
      </c>
      <c r="B666" s="6" t="str">
        <v>United States</v>
      </c>
      <c r="C666" s="6" t="str">
        <v>Microsoft Corp</v>
      </c>
      <c r="D666" s="6" t="str">
        <v>Microsoft Corp</v>
      </c>
      <c r="F666" s="6" t="str">
        <v>United States</v>
      </c>
      <c r="G666" s="6" t="str">
        <v>MarketingPilot Software LLC</v>
      </c>
      <c r="H666" s="6" t="str">
        <v>Prepackaged Software</v>
      </c>
      <c r="I666" s="6" t="str">
        <v>57100K</v>
      </c>
      <c r="J666" s="6" t="str">
        <v>MarketingPilot Software LLC</v>
      </c>
      <c r="K666" s="6" t="str">
        <v>MarketingPilot Software LLC</v>
      </c>
      <c r="L666" s="7">
        <f>=DATE(2012,10,17)</f>
        <v>41198.99949074074</v>
      </c>
      <c r="M666" s="7">
        <f>=DATE(2012,10,17)</f>
        <v>41198.99949074074</v>
      </c>
      <c r="W666" s="6" t="str">
        <v>Operating Systems;Computer Consulting Services;Other Peripherals;Internet Services &amp; Software;Monitors/Terminals;Applications Software(Business</v>
      </c>
      <c r="X666" s="6" t="str">
        <v>Other Software (inq. Games)</v>
      </c>
      <c r="Y666" s="6" t="str">
        <v>Other Software (inq. Games)</v>
      </c>
      <c r="Z666" s="6" t="str">
        <v>Other Software (inq. Games)</v>
      </c>
      <c r="AA666" s="6" t="str">
        <v>Operating Systems;Other Peripherals;Monitors/Terminals;Computer Consulting Services;Applications Software(Business;Internet Services &amp; Software</v>
      </c>
      <c r="AB666" s="6" t="str">
        <v>Monitors/Terminals;Operating Systems;Computer Consulting Services;Other Peripherals;Internet Services &amp; Software;Applications Software(Business</v>
      </c>
    </row>
    <row r="667">
      <c r="A667" s="6" t="str">
        <v>037833</v>
      </c>
      <c r="B667" s="6" t="str">
        <v>United States</v>
      </c>
      <c r="C667" s="6" t="str">
        <v>Apple Inc</v>
      </c>
      <c r="D667" s="6" t="str">
        <v>Apple Inc</v>
      </c>
      <c r="F667" s="6" t="str">
        <v>United States</v>
      </c>
      <c r="G667" s="6" t="str">
        <v>Particle LLC</v>
      </c>
      <c r="H667" s="6" t="str">
        <v>Business Services</v>
      </c>
      <c r="I667" s="6" t="str">
        <v>70239Q</v>
      </c>
      <c r="J667" s="6" t="str">
        <v>Particle LLC</v>
      </c>
      <c r="K667" s="6" t="str">
        <v>Particle LLC</v>
      </c>
      <c r="L667" s="7">
        <f>=DATE(2012,10,17)</f>
        <v>41198.99949074074</v>
      </c>
      <c r="W667" s="6" t="str">
        <v>Micro-Computers (PCs);Monitors/Terminals;Other Software (inq. Games);Other Peripherals;Printers;Mainframes &amp; Super Computers;Disk Drives;Portable Computers</v>
      </c>
      <c r="X667" s="6" t="str">
        <v>Programming Services;Computer Consulting Services;Other Computer Related Svcs</v>
      </c>
      <c r="Y667" s="6" t="str">
        <v>Programming Services;Computer Consulting Services;Other Computer Related Svcs</v>
      </c>
      <c r="Z667" s="6" t="str">
        <v>Other Computer Related Svcs;Computer Consulting Services;Programming Services</v>
      </c>
      <c r="AA667" s="6" t="str">
        <v>Disk Drives;Printers;Other Peripherals;Mainframes &amp; Super Computers;Portable Computers;Monitors/Terminals;Other Software (inq. Games);Micro-Computers (PCs)</v>
      </c>
      <c r="AB667" s="6" t="str">
        <v>Micro-Computers (PCs);Mainframes &amp; Super Computers;Printers;Disk Drives;Other Software (inq. Games);Other Peripherals;Portable Computers;Monitors/Terminals</v>
      </c>
    </row>
    <row r="668">
      <c r="A668" s="6" t="str">
        <v>037833</v>
      </c>
      <c r="B668" s="6" t="str">
        <v>United States</v>
      </c>
      <c r="C668" s="6" t="str">
        <v>Apple Inc</v>
      </c>
      <c r="D668" s="6" t="str">
        <v>Apple Inc</v>
      </c>
      <c r="F668" s="6" t="str">
        <v>United States</v>
      </c>
      <c r="G668" s="6" t="str">
        <v>Color Labs Inc</v>
      </c>
      <c r="H668" s="6" t="str">
        <v>Prepackaged Software</v>
      </c>
      <c r="I668" s="6" t="str">
        <v>0A5673</v>
      </c>
      <c r="J668" s="6" t="str">
        <v>Color Labs Inc</v>
      </c>
      <c r="K668" s="6" t="str">
        <v>Color Labs Inc</v>
      </c>
      <c r="L668" s="7">
        <f>=DATE(2012,10,18)</f>
        <v>41199.99949074074</v>
      </c>
      <c r="W668" s="6" t="str">
        <v>Portable Computers;Printers;Other Software (inq. Games);Mainframes &amp; Super Computers;Monitors/Terminals;Other Peripherals;Micro-Computers (PCs);Disk Drives</v>
      </c>
      <c r="X668" s="6" t="str">
        <v>Communication/Network Software;Internet Services &amp; Software</v>
      </c>
      <c r="Y668" s="6" t="str">
        <v>Communication/Network Software;Internet Services &amp; Software</v>
      </c>
      <c r="Z668" s="6" t="str">
        <v>Communication/Network Software;Internet Services &amp; Software</v>
      </c>
      <c r="AA668" s="6" t="str">
        <v>Printers;Portable Computers;Monitors/Terminals;Disk Drives;Other Peripherals;Mainframes &amp; Super Computers;Micro-Computers (PCs);Other Software (inq. Games)</v>
      </c>
      <c r="AB668" s="6" t="str">
        <v>Monitors/Terminals;Micro-Computers (PCs);Printers;Other Peripherals;Other Software (inq. Games);Disk Drives;Portable Computers;Mainframes &amp; Super Computers</v>
      </c>
    </row>
    <row r="669">
      <c r="A669" s="6" t="str">
        <v>01864J</v>
      </c>
      <c r="B669" s="6" t="str">
        <v>United States</v>
      </c>
      <c r="C669" s="6" t="str">
        <v>Avanade Inc</v>
      </c>
      <c r="D669" s="6" t="str">
        <v>Accenture PLC</v>
      </c>
      <c r="F669" s="6" t="str">
        <v>United States</v>
      </c>
      <c r="G669" s="6" t="str">
        <v>Azaleos Corp</v>
      </c>
      <c r="H669" s="6" t="str">
        <v>Prepackaged Software</v>
      </c>
      <c r="I669" s="6" t="str">
        <v>06261F</v>
      </c>
      <c r="J669" s="6" t="str">
        <v>Azaleos Corp</v>
      </c>
      <c r="K669" s="6" t="str">
        <v>Azaleos Corp</v>
      </c>
      <c r="L669" s="7">
        <f>=DATE(2012,11,13)</f>
        <v>41225.99949074074</v>
      </c>
      <c r="M669" s="7">
        <f>=DATE(2012,12,18)</f>
        <v>41260.99949074074</v>
      </c>
      <c r="W669" s="6" t="str">
        <v>Other Software (inq. Games);Other Computer Related Svcs;Computer Consulting Services</v>
      </c>
      <c r="X669" s="6" t="str">
        <v>Utilities/File Mgmt Software;Applications Software(Business;Communication/Network Software</v>
      </c>
      <c r="Y669" s="6" t="str">
        <v>Applications Software(Business;Utilities/File Mgmt Software;Communication/Network Software</v>
      </c>
      <c r="Z669" s="6" t="str">
        <v>Utilities/File Mgmt Software;Communication/Network Software;Applications Software(Business</v>
      </c>
      <c r="AA669" s="6" t="str">
        <v>Workstations;Other Computer Related Svcs;Turnkey Systems;Other Software (inq. Games);Communication/Network Software;CAD/CAM/CAE/Graphics Systems;Other Computer Systems;Desktop Publishing;Internet Services &amp; Software;Networking Systems (LAN,WAN);Operating Systems;Applications Software(Home);Utilities/File Mgmt Software;Computer Consulting Services;Data Processing Services;Applications Software(Business;Primary Business not Hi-Tech;Data Commun(Exclude networking</v>
      </c>
      <c r="AB669" s="6" t="str">
        <v>Communication/Network Software;Other Computer Systems;Data Commun(Exclude networking;Data Processing Services;Primary Business not Hi-Tech;CAD/CAM/CAE/Graphics Systems;Networking Systems (LAN,WAN);Internet Services &amp; Software;Computer Consulting Services;Utilities/File Mgmt Software;Turnkey Systems;Workstations;Applications Software(Home);Applications Software(Business;Desktop Publishing;Operating Systems;Other Software (inq. Games);Other Computer Related Svcs</v>
      </c>
    </row>
    <row r="670">
      <c r="A670" s="6" t="str">
        <v>38259P</v>
      </c>
      <c r="B670" s="6" t="str">
        <v>United States</v>
      </c>
      <c r="C670" s="6" t="str">
        <v>Google Inc</v>
      </c>
      <c r="D670" s="6" t="str">
        <v>Alphabet Inc</v>
      </c>
      <c r="F670" s="6" t="str">
        <v>United States</v>
      </c>
      <c r="G670" s="6" t="str">
        <v>ICOA Inc</v>
      </c>
      <c r="H670" s="6" t="str">
        <v>Telecommunications</v>
      </c>
      <c r="I670" s="6" t="str">
        <v>449292</v>
      </c>
      <c r="J670" s="6" t="str">
        <v>ICOA Inc</v>
      </c>
      <c r="K670" s="6" t="str">
        <v>ICOA Inc</v>
      </c>
      <c r="L670" s="7">
        <f>=DATE(2012,11,26)</f>
        <v>41238.99949074074</v>
      </c>
      <c r="W670" s="6" t="str">
        <v>Internet Services &amp; Software;Programming Services</v>
      </c>
      <c r="X670" s="6" t="str">
        <v>Internet Services &amp; Software;Communication/Network Software</v>
      </c>
      <c r="Y670" s="6" t="str">
        <v>Communication/Network Software;Internet Services &amp; Software</v>
      </c>
      <c r="Z670" s="6" t="str">
        <v>Internet Services &amp; Software;Communication/Network Software</v>
      </c>
      <c r="AA670" s="6" t="str">
        <v>Primary Business not Hi-Tech;Computer Consulting Services;Programming Services;Telecommunications Equipment;Internet Services &amp; Software</v>
      </c>
      <c r="AB670" s="6" t="str">
        <v>Computer Consulting Services;Telecommunications Equipment;Primary Business not Hi-Tech;Internet Services &amp; Software;Programming Services</v>
      </c>
    </row>
    <row r="671">
      <c r="A671" s="6" t="str">
        <v>38259P</v>
      </c>
      <c r="B671" s="6" t="str">
        <v>United States</v>
      </c>
      <c r="C671" s="6" t="str">
        <v>Google Inc</v>
      </c>
      <c r="D671" s="6" t="str">
        <v>Alphabet Inc</v>
      </c>
      <c r="F671" s="6" t="str">
        <v>United States</v>
      </c>
      <c r="G671" s="6" t="str">
        <v>Incentive Targeting Inc</v>
      </c>
      <c r="H671" s="6" t="str">
        <v>Business Services</v>
      </c>
      <c r="I671" s="6" t="str">
        <v>0A6175</v>
      </c>
      <c r="J671" s="6" t="str">
        <v>Incentive Targeting Inc</v>
      </c>
      <c r="K671" s="6" t="str">
        <v>Incentive Targeting Inc</v>
      </c>
      <c r="L671" s="7">
        <f>=DATE(2012,11,28)</f>
        <v>41240.99949074074</v>
      </c>
      <c r="M671" s="7">
        <f>=DATE(2012,11,28)</f>
        <v>41240.99949074074</v>
      </c>
      <c r="W671" s="6" t="str">
        <v>Programming Services;Internet Services &amp; Software</v>
      </c>
      <c r="X671" s="6" t="str">
        <v>Internet Services &amp; Software</v>
      </c>
      <c r="Y671" s="6" t="str">
        <v>Internet Services &amp; Software</v>
      </c>
      <c r="Z671" s="6" t="str">
        <v>Internet Services &amp; Software</v>
      </c>
      <c r="AA671" s="6" t="str">
        <v>Primary Business not Hi-Tech;Internet Services &amp; Software;Computer Consulting Services;Telecommunications Equipment;Programming Services</v>
      </c>
      <c r="AB671" s="6" t="str">
        <v>Primary Business not Hi-Tech;Programming Services;Internet Services &amp; Software;Telecommunications Equipment;Computer Consulting Services</v>
      </c>
    </row>
    <row r="672">
      <c r="A672" s="6" t="str">
        <v>38259P</v>
      </c>
      <c r="B672" s="6" t="str">
        <v>United States</v>
      </c>
      <c r="C672" s="6" t="str">
        <v>Google Inc</v>
      </c>
      <c r="D672" s="6" t="str">
        <v>Alphabet Inc</v>
      </c>
      <c r="F672" s="6" t="str">
        <v>Canada</v>
      </c>
      <c r="G672" s="6" t="str">
        <v>BufferBox Inc</v>
      </c>
      <c r="H672" s="6" t="str">
        <v>Business Services</v>
      </c>
      <c r="I672" s="6" t="str">
        <v>0A6729</v>
      </c>
      <c r="J672" s="6" t="str">
        <v>BufferBox Inc</v>
      </c>
      <c r="K672" s="6" t="str">
        <v>BufferBox Inc</v>
      </c>
      <c r="L672" s="7">
        <f>=DATE(2012,11,30)</f>
        <v>41242.99949074074</v>
      </c>
      <c r="M672" s="7">
        <f>=DATE(2012,11,30)</f>
        <v>41242.99949074074</v>
      </c>
      <c r="W672" s="6" t="str">
        <v>Programming Services;Internet Services &amp; Software</v>
      </c>
      <c r="X672" s="6" t="str">
        <v>Internet Services &amp; Software</v>
      </c>
      <c r="Y672" s="6" t="str">
        <v>Internet Services &amp; Software</v>
      </c>
      <c r="Z672" s="6" t="str">
        <v>Internet Services &amp; Software</v>
      </c>
      <c r="AA672" s="6" t="str">
        <v>Primary Business not Hi-Tech;Computer Consulting Services;Internet Services &amp; Software;Programming Services;Telecommunications Equipment</v>
      </c>
      <c r="AB672" s="6" t="str">
        <v>Programming Services;Telecommunications Equipment;Primary Business not Hi-Tech;Computer Consulting Services;Internet Services &amp; Software</v>
      </c>
    </row>
    <row r="673">
      <c r="A673" s="6" t="str">
        <v>30303M</v>
      </c>
      <c r="B673" s="6" t="str">
        <v>United States</v>
      </c>
      <c r="C673" s="6" t="str">
        <v>Facebook Inc</v>
      </c>
      <c r="D673" s="6" t="str">
        <v>Facebook Inc</v>
      </c>
      <c r="F673" s="6" t="str">
        <v>United States</v>
      </c>
      <c r="G673" s="6" t="str">
        <v>WhatsApp Inc</v>
      </c>
      <c r="H673" s="6" t="str">
        <v>Prepackaged Software</v>
      </c>
      <c r="I673" s="6" t="str">
        <v>0A6710</v>
      </c>
      <c r="J673" s="6" t="str">
        <v>WhatsApp Inc</v>
      </c>
      <c r="K673" s="6" t="str">
        <v>WhatsApp Inc</v>
      </c>
      <c r="L673" s="7">
        <f>=DATE(2012,12,3)</f>
        <v>41245.99949074074</v>
      </c>
      <c r="W673" s="6" t="str">
        <v>Internet Services &amp; Software</v>
      </c>
      <c r="X673" s="6" t="str">
        <v>Communication/Network Software;Internet Services &amp; Software</v>
      </c>
      <c r="Y673" s="6" t="str">
        <v>Communication/Network Software;Internet Services &amp; Software</v>
      </c>
      <c r="Z673" s="6" t="str">
        <v>Internet Services &amp; Software;Communication/Network Software</v>
      </c>
      <c r="AA673" s="6" t="str">
        <v>Internet Services &amp; Software</v>
      </c>
      <c r="AB673" s="6" t="str">
        <v>Internet Services &amp; Software</v>
      </c>
    </row>
    <row r="674">
      <c r="A674" s="6" t="str">
        <v>594918</v>
      </c>
      <c r="B674" s="6" t="str">
        <v>United States</v>
      </c>
      <c r="C674" s="6" t="str">
        <v>Microsoft Corp</v>
      </c>
      <c r="D674" s="6" t="str">
        <v>Microsoft Corp</v>
      </c>
      <c r="F674" s="6" t="str">
        <v>United States</v>
      </c>
      <c r="G674" s="6" t="str">
        <v>id8 Group R2 Studios Inc</v>
      </c>
      <c r="H674" s="6" t="str">
        <v>Business Services</v>
      </c>
      <c r="I674" s="6" t="str">
        <v>1A4325</v>
      </c>
      <c r="J674" s="6" t="str">
        <v>id8 Group R2 Studios Inc</v>
      </c>
      <c r="K674" s="6" t="str">
        <v>id8 Group R2 Studios Inc</v>
      </c>
      <c r="L674" s="7">
        <f>=DATE(2013,1,2)</f>
        <v>41275.99949074074</v>
      </c>
      <c r="M674" s="7">
        <f>=DATE(2013,1,10)</f>
        <v>41283.99949074074</v>
      </c>
      <c r="W674" s="6" t="str">
        <v>Applications Software(Business;Computer Consulting Services;Internet Services &amp; Software;Other Peripherals;Operating Systems;Monitors/Terminals</v>
      </c>
      <c r="X674" s="6" t="str">
        <v>Data Processing Services;Other Software (inq. Games);Other Computer Related Svcs;Computer Consulting Services</v>
      </c>
      <c r="Y674" s="6" t="str">
        <v>Computer Consulting Services;Other Software (inq. Games);Data Processing Services;Other Computer Related Svcs</v>
      </c>
      <c r="Z674" s="6" t="str">
        <v>Other Software (inq. Games);Other Computer Related Svcs;Data Processing Services;Computer Consulting Services</v>
      </c>
      <c r="AA674" s="6" t="str">
        <v>Computer Consulting Services;Operating Systems;Monitors/Terminals;Applications Software(Business;Internet Services &amp; Software;Other Peripherals</v>
      </c>
      <c r="AB674" s="6" t="str">
        <v>Other Peripherals;Applications Software(Business;Internet Services &amp; Software;Operating Systems;Monitors/Terminals;Computer Consulting Services</v>
      </c>
    </row>
    <row r="675">
      <c r="A675" s="6" t="str">
        <v>67020Y</v>
      </c>
      <c r="B675" s="6" t="str">
        <v>United States</v>
      </c>
      <c r="C675" s="6" t="str">
        <v>Nuance Communications Inc</v>
      </c>
      <c r="D675" s="6" t="str">
        <v>Nuance Communications Inc</v>
      </c>
      <c r="F675" s="6" t="str">
        <v>United States</v>
      </c>
      <c r="G675" s="6" t="str">
        <v>VirtuOz Inc</v>
      </c>
      <c r="H675" s="6" t="str">
        <v>Business Services</v>
      </c>
      <c r="I675" s="6" t="str">
        <v>92609K</v>
      </c>
      <c r="J675" s="6" t="str">
        <v>VirtuOz SA</v>
      </c>
      <c r="K675" s="6" t="str">
        <v>VirtuOz SA</v>
      </c>
      <c r="L675" s="7">
        <f>=DATE(2013,1,10)</f>
        <v>41283.99949074074</v>
      </c>
      <c r="M675" s="7">
        <f>=DATE(2013,1,10)</f>
        <v>41283.99949074074</v>
      </c>
      <c r="W675" s="6" t="str">
        <v>Utilities/File Mgmt Software;Desktop Publishing;Primary Business not Hi-Tech;Communication/Network Software;Networking Systems (LAN,WAN);Applications Software(Home);Programming Services;Applications Software(Business;Computer Consulting Services;Internet Services &amp; Software;Other Software (inq. Games);Database Software/Programming;Other Computer Related Svcs</v>
      </c>
      <c r="X675" s="6" t="str">
        <v>Programming Services</v>
      </c>
      <c r="Y675" s="6" t="str">
        <v>Other Software (inq. Games)</v>
      </c>
      <c r="Z675" s="6" t="str">
        <v>Other Software (inq. Games)</v>
      </c>
      <c r="AA675" s="6" t="str">
        <v>Other Software (inq. Games);Communication/Network Software;Networking Systems (LAN,WAN);Computer Consulting Services;Applications Software(Business;Other Computer Related Svcs;Internet Services &amp; Software;Utilities/File Mgmt Software;Database Software/Programming;Applications Software(Home);Desktop Publishing;Primary Business not Hi-Tech;Programming Services</v>
      </c>
      <c r="AB675" s="6" t="str">
        <v>Other Computer Related Svcs;Communication/Network Software;Applications Software(Home);Database Software/Programming;Programming Services;Networking Systems (LAN,WAN);Computer Consulting Services;Other Software (inq. Games);Desktop Publishing;Internet Services &amp; Software;Utilities/File Mgmt Software;Applications Software(Business;Primary Business not Hi-Tech</v>
      </c>
    </row>
    <row r="676">
      <c r="A676" s="6" t="str">
        <v>66923W</v>
      </c>
      <c r="B676" s="6" t="str">
        <v>United States</v>
      </c>
      <c r="C676" s="6" t="str">
        <v>Notable Solutions Inc</v>
      </c>
      <c r="D676" s="6" t="str">
        <v>Notable Solutions Inc</v>
      </c>
      <c r="F676" s="6" t="str">
        <v>United States</v>
      </c>
      <c r="G676" s="6" t="str">
        <v>Barr Systems LLC-Enterprise Output Management Business</v>
      </c>
      <c r="H676" s="6" t="str">
        <v>Business Services</v>
      </c>
      <c r="I676" s="6" t="str">
        <v>1A6828</v>
      </c>
      <c r="J676" s="6" t="str">
        <v>Barr Systems LLC</v>
      </c>
      <c r="K676" s="6" t="str">
        <v>Barr Systems LLC</v>
      </c>
      <c r="L676" s="7">
        <f>=DATE(2013,1,14)</f>
        <v>41287.99949074074</v>
      </c>
      <c r="M676" s="7">
        <f>=DATE(2013,1,14)</f>
        <v>41287.99949074074</v>
      </c>
      <c r="W676" s="6" t="str">
        <v>Other Software (inq. Games);Internet Services &amp; Software;Computer Consulting Services;Other Computer Related Svcs;Turnkey Systems;Data Processing Services</v>
      </c>
      <c r="X676" s="6" t="str">
        <v>Programming Services;Computer Consulting Services;Other Computer Related Svcs</v>
      </c>
      <c r="Y676" s="6" t="str">
        <v>Other Computer Related Svcs;Computer Consulting Services;Programming Services</v>
      </c>
      <c r="Z676" s="6" t="str">
        <v>Other Computer Related Svcs;Computer Consulting Services;Programming Services</v>
      </c>
      <c r="AA676" s="6" t="str">
        <v>Other Software (inq. Games);Internet Services &amp; Software;Computer Consulting Services;Other Computer Related Svcs;Turnkey Systems;Data Processing Services</v>
      </c>
      <c r="AB676" s="6" t="str">
        <v>Data Processing Services;Other Software (inq. Games);Turnkey Systems;Other Computer Related Svcs;Computer Consulting Services;Internet Services &amp; Software</v>
      </c>
    </row>
    <row r="677">
      <c r="A677" s="6" t="str">
        <v>023135</v>
      </c>
      <c r="B677" s="6" t="str">
        <v>United States</v>
      </c>
      <c r="C677" s="6" t="str">
        <v>Amazon.com Inc</v>
      </c>
      <c r="D677" s="6" t="str">
        <v>Amazon.com Inc</v>
      </c>
      <c r="F677" s="6" t="str">
        <v>Poland</v>
      </c>
      <c r="G677" s="6" t="str">
        <v>Ivona Software Sp zoo</v>
      </c>
      <c r="H677" s="6" t="str">
        <v>Prepackaged Software</v>
      </c>
      <c r="I677" s="6" t="str">
        <v>1A8685</v>
      </c>
      <c r="J677" s="6" t="str">
        <v>Ivona Software Sp zoo</v>
      </c>
      <c r="K677" s="6" t="str">
        <v>Ivona Software Sp zoo</v>
      </c>
      <c r="L677" s="7">
        <f>=DATE(2013,1,24)</f>
        <v>41297.99949074074</v>
      </c>
      <c r="M677" s="7">
        <f>=DATE(2013,1,24)</f>
        <v>41297.99949074074</v>
      </c>
      <c r="W677" s="6" t="str">
        <v>Primary Business not Hi-Tech</v>
      </c>
      <c r="X677" s="6" t="str">
        <v>Applications Software(Business</v>
      </c>
      <c r="Y677" s="6" t="str">
        <v>Applications Software(Business</v>
      </c>
      <c r="Z677" s="6" t="str">
        <v>Applications Software(Business</v>
      </c>
      <c r="AA677" s="6" t="str">
        <v>Primary Business not Hi-Tech</v>
      </c>
      <c r="AB677" s="6" t="str">
        <v>Primary Business not Hi-Tech</v>
      </c>
    </row>
    <row r="678">
      <c r="A678" s="6" t="str">
        <v>38259P</v>
      </c>
      <c r="B678" s="6" t="str">
        <v>United States</v>
      </c>
      <c r="C678" s="6" t="str">
        <v>Google Inc</v>
      </c>
      <c r="D678" s="6" t="str">
        <v>Alphabet Inc</v>
      </c>
      <c r="F678" s="6" t="str">
        <v>United States</v>
      </c>
      <c r="G678" s="6" t="str">
        <v>Channel Intelligence Inc</v>
      </c>
      <c r="H678" s="6" t="str">
        <v>Prepackaged Software</v>
      </c>
      <c r="I678" s="6" t="str">
        <v>15921P</v>
      </c>
      <c r="J678" s="6" t="str">
        <v>Channel Intelligence Inc</v>
      </c>
      <c r="K678" s="6" t="str">
        <v>Channel Intelligence Inc</v>
      </c>
      <c r="L678" s="7">
        <f>=DATE(2013,2,6)</f>
        <v>41310.99949074074</v>
      </c>
      <c r="M678" s="7">
        <f>=DATE(2013,2,20)</f>
        <v>41324.99949074074</v>
      </c>
      <c r="N678" s="8">
        <v>125</v>
      </c>
      <c r="O678" s="8">
        <v>125</v>
      </c>
      <c r="W678" s="6" t="str">
        <v>Internet Services &amp; Software;Programming Services</v>
      </c>
      <c r="X678" s="6" t="str">
        <v>Applications Software(Business;Applications Software(Home);Other Software (inq. Games)</v>
      </c>
      <c r="Y678" s="6" t="str">
        <v>Other Software (inq. Games);Applications Software(Home);Applications Software(Business</v>
      </c>
      <c r="Z678" s="6" t="str">
        <v>Applications Software(Home);Other Software (inq. Games);Applications Software(Business</v>
      </c>
      <c r="AA678" s="6" t="str">
        <v>Computer Consulting Services;Internet Services &amp; Software;Primary Business not Hi-Tech;Programming Services;Telecommunications Equipment</v>
      </c>
      <c r="AB678" s="6" t="str">
        <v>Internet Services &amp; Software;Computer Consulting Services;Programming Services;Telecommunications Equipment;Primary Business not Hi-Tech</v>
      </c>
      <c r="AC678" s="8">
        <v>125</v>
      </c>
      <c r="AD678" s="7">
        <f>=DATE(2013,2,6)</f>
        <v>41310.99949074074</v>
      </c>
      <c r="AJ678" s="8" t="str">
        <v>125.00</v>
      </c>
      <c r="AK678" s="6" t="str">
        <v>US Dollar</v>
      </c>
      <c r="AL678" s="8">
        <v>125</v>
      </c>
    </row>
    <row r="679">
      <c r="A679" s="6" t="str">
        <v>01864J</v>
      </c>
      <c r="B679" s="6" t="str">
        <v>United States</v>
      </c>
      <c r="C679" s="6" t="str">
        <v>Avanade Inc</v>
      </c>
      <c r="D679" s="6" t="str">
        <v>Accenture PLC</v>
      </c>
      <c r="F679" s="6" t="str">
        <v>United States</v>
      </c>
      <c r="G679" s="6" t="str">
        <v>Opstera Inc</v>
      </c>
      <c r="H679" s="6" t="str">
        <v>Prepackaged Software</v>
      </c>
      <c r="I679" s="6" t="str">
        <v>2A1368</v>
      </c>
      <c r="J679" s="6" t="str">
        <v>Opstera Inc</v>
      </c>
      <c r="K679" s="6" t="str">
        <v>Opstera Inc</v>
      </c>
      <c r="L679" s="7">
        <f>=DATE(2013,2,7)</f>
        <v>41311.99949074074</v>
      </c>
      <c r="M679" s="7">
        <f>=DATE(2013,2,7)</f>
        <v>41311.99949074074</v>
      </c>
      <c r="W679" s="6" t="str">
        <v>Other Computer Related Svcs;Computer Consulting Services;Other Software (inq. Games)</v>
      </c>
      <c r="X679" s="6" t="str">
        <v>Communication/Network Software;Internet Services &amp; Software</v>
      </c>
      <c r="Y679" s="6" t="str">
        <v>Internet Services &amp; Software;Communication/Network Software</v>
      </c>
      <c r="Z679" s="6" t="str">
        <v>Internet Services &amp; Software;Communication/Network Software</v>
      </c>
      <c r="AA679" s="6" t="str">
        <v>Networking Systems (LAN,WAN);Utilities/File Mgmt Software;Other Computer Systems;Data Commun(Exclude networking;Other Software (inq. Games);Internet Services &amp; Software;Desktop Publishing;Communication/Network Software;Data Processing Services;Workstations;Applications Software(Home);Operating Systems;Other Computer Related Svcs;Primary Business not Hi-Tech;Turnkey Systems;Applications Software(Business;CAD/CAM/CAE/Graphics Systems;Computer Consulting Services</v>
      </c>
      <c r="AB679" s="6" t="str">
        <v>Workstations;Applications Software(Business;Applications Software(Home);Other Computer Systems;Data Processing Services;Turnkey Systems;Communication/Network Software;Other Software (inq. Games);Networking Systems (LAN,WAN);Operating Systems;CAD/CAM/CAE/Graphics Systems;Primary Business not Hi-Tech;Other Computer Related Svcs;Internet Services &amp; Software;Data Commun(Exclude networking;Desktop Publishing;Utilities/File Mgmt Software;Computer Consulting Services</v>
      </c>
    </row>
    <row r="680">
      <c r="A680" s="6" t="str">
        <v>55126T</v>
      </c>
      <c r="B680" s="6" t="str">
        <v>United States</v>
      </c>
      <c r="C680" s="6" t="str">
        <v>Lynda.com Inc</v>
      </c>
      <c r="D680" s="6" t="str">
        <v>Lynda.com Inc</v>
      </c>
      <c r="F680" s="6" t="str">
        <v>Austria</v>
      </c>
      <c r="G680" s="6" t="str">
        <v>video2brain GmbH</v>
      </c>
      <c r="H680" s="6" t="str">
        <v>Business Services</v>
      </c>
      <c r="I680" s="6" t="str">
        <v>2A2645</v>
      </c>
      <c r="J680" s="6" t="str">
        <v>video2brain GmbH</v>
      </c>
      <c r="K680" s="6" t="str">
        <v>video2brain GmbH</v>
      </c>
      <c r="L680" s="7">
        <f>=DATE(2013,2,14)</f>
        <v>41318.99949074074</v>
      </c>
      <c r="M680" s="7">
        <f>=DATE(2013,2,14)</f>
        <v>41318.99949074074</v>
      </c>
      <c r="W680" s="6" t="str">
        <v>Internet Services &amp; Software</v>
      </c>
      <c r="X680" s="6" t="str">
        <v>Internet Services &amp; Software</v>
      </c>
      <c r="Y680" s="6" t="str">
        <v>Internet Services &amp; Software</v>
      </c>
      <c r="Z680" s="6" t="str">
        <v>Internet Services &amp; Software</v>
      </c>
      <c r="AA680" s="6" t="str">
        <v>Internet Services &amp; Software</v>
      </c>
      <c r="AB680" s="6" t="str">
        <v>Internet Services &amp; Software</v>
      </c>
    </row>
    <row r="681">
      <c r="A681" s="6" t="str">
        <v>30303M</v>
      </c>
      <c r="B681" s="6" t="str">
        <v>United States</v>
      </c>
      <c r="C681" s="6" t="str">
        <v>Facebook Inc</v>
      </c>
      <c r="D681" s="6" t="str">
        <v>Facebook Inc</v>
      </c>
      <c r="F681" s="6" t="str">
        <v>United States</v>
      </c>
      <c r="G681" s="6" t="str">
        <v>Atlas Advertiser Suite</v>
      </c>
      <c r="H681" s="6" t="str">
        <v>Advertising Services</v>
      </c>
      <c r="I681" s="6" t="str">
        <v>04943Q</v>
      </c>
      <c r="J681" s="6" t="str">
        <v>Microsoft Corp</v>
      </c>
      <c r="K681" s="6" t="str">
        <v>aQuantive Inc</v>
      </c>
      <c r="L681" s="7">
        <f>=DATE(2013,3,1)</f>
        <v>41333.99949074074</v>
      </c>
      <c r="M681" s="7">
        <f>=DATE(2013,4,26)</f>
        <v>41389.99949074074</v>
      </c>
      <c r="W681" s="6" t="str">
        <v>Internet Services &amp; Software</v>
      </c>
      <c r="X681" s="6" t="str">
        <v>Internet Services &amp; Software</v>
      </c>
      <c r="Y681" s="6" t="str">
        <v>Internet Services &amp; Software</v>
      </c>
      <c r="Z681" s="6" t="str">
        <v>Computer Consulting Services;Operating Systems;Other Peripherals;Monitors/Terminals;Applications Software(Business;Internet Services &amp; Software</v>
      </c>
      <c r="AA681" s="6" t="str">
        <v>Internet Services &amp; Software</v>
      </c>
      <c r="AB681" s="6" t="str">
        <v>Internet Services &amp; Software</v>
      </c>
    </row>
    <row r="682">
      <c r="A682" s="6" t="str">
        <v>30303M</v>
      </c>
      <c r="B682" s="6" t="str">
        <v>United States</v>
      </c>
      <c r="C682" s="6" t="str">
        <v>Facebook Inc</v>
      </c>
      <c r="D682" s="6" t="str">
        <v>Facebook Inc</v>
      </c>
      <c r="F682" s="6" t="str">
        <v>United States</v>
      </c>
      <c r="G682" s="6" t="str">
        <v>Mixtent Inc</v>
      </c>
      <c r="H682" s="6" t="str">
        <v>Business Services</v>
      </c>
      <c r="I682" s="6" t="str">
        <v>2A7932</v>
      </c>
      <c r="J682" s="6" t="str">
        <v>Mixtent Inc</v>
      </c>
      <c r="K682" s="6" t="str">
        <v>Mixtent Inc</v>
      </c>
      <c r="L682" s="7">
        <f>=DATE(2013,3,11)</f>
        <v>41343.99949074074</v>
      </c>
      <c r="M682" s="7">
        <f>=DATE(2013,3,11)</f>
        <v>41343.99949074074</v>
      </c>
      <c r="W682" s="6" t="str">
        <v>Internet Services &amp; Software</v>
      </c>
      <c r="X682" s="6" t="str">
        <v>Internet Services &amp; Software</v>
      </c>
      <c r="Y682" s="6" t="str">
        <v>Internet Services &amp; Software</v>
      </c>
      <c r="Z682" s="6" t="str">
        <v>Internet Services &amp; Software</v>
      </c>
      <c r="AA682" s="6" t="str">
        <v>Internet Services &amp; Software</v>
      </c>
      <c r="AB682" s="6" t="str">
        <v>Internet Services &amp; Software</v>
      </c>
    </row>
    <row r="683">
      <c r="A683" s="6" t="str">
        <v>4C7902</v>
      </c>
      <c r="B683" s="6" t="str">
        <v>United States</v>
      </c>
      <c r="C683" s="6" t="str">
        <v>Amazon Web Services Inc</v>
      </c>
      <c r="D683" s="6" t="str">
        <v>Amazon.com Inc</v>
      </c>
      <c r="F683" s="6" t="str">
        <v>Germany</v>
      </c>
      <c r="G683" s="6" t="str">
        <v>Peritor GmbH</v>
      </c>
      <c r="H683" s="6" t="str">
        <v>Business Services</v>
      </c>
      <c r="I683" s="6" t="str">
        <v>4C7895</v>
      </c>
      <c r="J683" s="6" t="str">
        <v>Peritor GmbH</v>
      </c>
      <c r="K683" s="6" t="str">
        <v>Peritor GmbH</v>
      </c>
      <c r="L683" s="7">
        <f>=DATE(2013,3,13)</f>
        <v>41345.99949074074</v>
      </c>
      <c r="M683" s="7">
        <f>=DATE(2013,3,13)</f>
        <v>41345.99949074074</v>
      </c>
      <c r="W683" s="6" t="str">
        <v>Primary Business not Hi-Tech;Other Computer Related Svcs;Data Processing Services;Internet Services &amp; Software;Computer Consulting Services</v>
      </c>
      <c r="X683" s="6" t="str">
        <v>Database Software/Programming</v>
      </c>
      <c r="Y683" s="6" t="str">
        <v>Database Software/Programming</v>
      </c>
      <c r="Z683" s="6" t="str">
        <v>Database Software/Programming</v>
      </c>
      <c r="AA683" s="6" t="str">
        <v>Primary Business not Hi-Tech</v>
      </c>
      <c r="AB683" s="6" t="str">
        <v>Primary Business not Hi-Tech</v>
      </c>
    </row>
    <row r="684">
      <c r="A684" s="6" t="str">
        <v>594918</v>
      </c>
      <c r="B684" s="6" t="str">
        <v>United States</v>
      </c>
      <c r="C684" s="6" t="str">
        <v>Microsoft Corp</v>
      </c>
      <c r="D684" s="6" t="str">
        <v>Microsoft Corp</v>
      </c>
      <c r="F684" s="6" t="str">
        <v>Switzerland</v>
      </c>
      <c r="G684" s="6" t="str">
        <v>Netbreeze GmbH</v>
      </c>
      <c r="H684" s="6" t="str">
        <v>Business Services</v>
      </c>
      <c r="I684" s="6" t="str">
        <v>2A8836</v>
      </c>
      <c r="J684" s="6" t="str">
        <v>Netbreeze GmbH</v>
      </c>
      <c r="K684" s="6" t="str">
        <v>Netbreeze GmbH</v>
      </c>
      <c r="L684" s="7">
        <f>=DATE(2013,3,19)</f>
        <v>41351.99949074074</v>
      </c>
      <c r="M684" s="7">
        <f>=DATE(2013,3,19)</f>
        <v>41351.99949074074</v>
      </c>
      <c r="W684" s="6" t="str">
        <v>Computer Consulting Services;Monitors/Terminals;Applications Software(Business;Operating Systems;Internet Services &amp; Software;Other Peripherals</v>
      </c>
      <c r="X684" s="6" t="str">
        <v>Programming Services</v>
      </c>
      <c r="Y684" s="6" t="str">
        <v>Programming Services</v>
      </c>
      <c r="Z684" s="6" t="str">
        <v>Programming Services</v>
      </c>
      <c r="AA684" s="6" t="str">
        <v>Monitors/Terminals;Other Peripherals;Internet Services &amp; Software;Applications Software(Business;Computer Consulting Services;Operating Systems</v>
      </c>
      <c r="AB684" s="6" t="str">
        <v>Other Peripherals;Applications Software(Business;Monitors/Terminals;Computer Consulting Services;Internet Services &amp; Software;Operating Systems</v>
      </c>
    </row>
    <row r="685">
      <c r="A685" s="6" t="str">
        <v>037833</v>
      </c>
      <c r="B685" s="6" t="str">
        <v>United States</v>
      </c>
      <c r="C685" s="6" t="str">
        <v>Apple Inc</v>
      </c>
      <c r="D685" s="6" t="str">
        <v>Apple Inc</v>
      </c>
      <c r="F685" s="6" t="str">
        <v>United States</v>
      </c>
      <c r="G685" s="6" t="str">
        <v>WifiSLAM</v>
      </c>
      <c r="H685" s="6" t="str">
        <v>Prepackaged Software</v>
      </c>
      <c r="I685" s="6" t="str">
        <v>2A9722</v>
      </c>
      <c r="J685" s="6" t="str">
        <v>WifiSLAM</v>
      </c>
      <c r="K685" s="6" t="str">
        <v>WifiSLAM</v>
      </c>
      <c r="L685" s="7">
        <f>=DATE(2013,3,24)</f>
        <v>41356.99949074074</v>
      </c>
      <c r="M685" s="7">
        <f>=DATE(2013,3,24)</f>
        <v>41356.99949074074</v>
      </c>
      <c r="W685" s="6" t="str">
        <v>Micro-Computers (PCs);Portable Computers;Disk Drives;Monitors/Terminals;Mainframes &amp; Super Computers;Other Peripherals;Other Software (inq. Games);Printers</v>
      </c>
      <c r="X685" s="6" t="str">
        <v>Applications Software(Business;Applications Software(Home)</v>
      </c>
      <c r="Y685" s="6" t="str">
        <v>Applications Software(Business;Applications Software(Home)</v>
      </c>
      <c r="Z685" s="6" t="str">
        <v>Applications Software(Home);Applications Software(Business</v>
      </c>
      <c r="AA685" s="6" t="str">
        <v>Other Software (inq. Games);Printers;Micro-Computers (PCs);Portable Computers;Monitors/Terminals;Mainframes &amp; Super Computers;Disk Drives;Other Peripherals</v>
      </c>
      <c r="AB685" s="6" t="str">
        <v>Printers;Micro-Computers (PCs);Other Peripherals;Disk Drives;Monitors/Terminals;Mainframes &amp; Super Computers;Portable Computers;Other Software (inq. Games)</v>
      </c>
    </row>
    <row r="686">
      <c r="A686" s="6" t="str">
        <v>023135</v>
      </c>
      <c r="B686" s="6" t="str">
        <v>United States</v>
      </c>
      <c r="C686" s="6" t="str">
        <v>Amazon.com Inc</v>
      </c>
      <c r="D686" s="6" t="str">
        <v>Amazon.com Inc</v>
      </c>
      <c r="F686" s="6" t="str">
        <v>United States</v>
      </c>
      <c r="G686" s="6" t="str">
        <v>Goodreads Inc</v>
      </c>
      <c r="H686" s="6" t="str">
        <v>Business Services</v>
      </c>
      <c r="I686" s="6" t="str">
        <v>3A1096</v>
      </c>
      <c r="J686" s="6" t="str">
        <v>Goodreads Inc</v>
      </c>
      <c r="K686" s="6" t="str">
        <v>Goodreads Inc</v>
      </c>
      <c r="L686" s="7">
        <f>=DATE(2013,3,28)</f>
        <v>41360.99949074074</v>
      </c>
      <c r="M686" s="7">
        <f>=DATE(2013,7,23)</f>
        <v>41477.99949074074</v>
      </c>
      <c r="W686" s="6" t="str">
        <v>Primary Business not Hi-Tech</v>
      </c>
      <c r="X686" s="6" t="str">
        <v>Internet Services &amp; Software</v>
      </c>
      <c r="Y686" s="6" t="str">
        <v>Internet Services &amp; Software</v>
      </c>
      <c r="Z686" s="6" t="str">
        <v>Internet Services &amp; Software</v>
      </c>
      <c r="AA686" s="6" t="str">
        <v>Primary Business not Hi-Tech</v>
      </c>
      <c r="AB686" s="6" t="str">
        <v>Primary Business not Hi-Tech</v>
      </c>
    </row>
    <row r="687">
      <c r="A687" s="6" t="str">
        <v>38259P</v>
      </c>
      <c r="B687" s="6" t="str">
        <v>United States</v>
      </c>
      <c r="C687" s="6" t="str">
        <v>Google Inc</v>
      </c>
      <c r="D687" s="6" t="str">
        <v>Alphabet Inc</v>
      </c>
      <c r="F687" s="6" t="str">
        <v>United States</v>
      </c>
      <c r="G687" s="6" t="str">
        <v>WhatsApp Inc</v>
      </c>
      <c r="H687" s="6" t="str">
        <v>Prepackaged Software</v>
      </c>
      <c r="I687" s="6" t="str">
        <v>0A6710</v>
      </c>
      <c r="J687" s="6" t="str">
        <v>WhatsApp Inc</v>
      </c>
      <c r="K687" s="6" t="str">
        <v>WhatsApp Inc</v>
      </c>
      <c r="L687" s="7">
        <f>=DATE(2013,4,8)</f>
        <v>41371.99949074074</v>
      </c>
      <c r="W687" s="6" t="str">
        <v>Programming Services;Internet Services &amp; Software</v>
      </c>
      <c r="X687" s="6" t="str">
        <v>Internet Services &amp; Software;Communication/Network Software</v>
      </c>
      <c r="Y687" s="6" t="str">
        <v>Communication/Network Software;Internet Services &amp; Software</v>
      </c>
      <c r="Z687" s="6" t="str">
        <v>Communication/Network Software;Internet Services &amp; Software</v>
      </c>
      <c r="AA687" s="6" t="str">
        <v>Programming Services;Telecommunications Equipment;Primary Business not Hi-Tech;Computer Consulting Services;Internet Services &amp; Software</v>
      </c>
      <c r="AB687" s="6" t="str">
        <v>Primary Business not Hi-Tech;Programming Services;Telecommunications Equipment;Internet Services &amp; Software;Computer Consulting Services</v>
      </c>
    </row>
    <row r="688">
      <c r="A688" s="6" t="str">
        <v>09362H</v>
      </c>
      <c r="B688" s="6" t="str">
        <v>United States</v>
      </c>
      <c r="C688" s="6" t="str">
        <v>Blizzard Entertainment Inc</v>
      </c>
      <c r="D688" s="6" t="str">
        <v>Vivendi SE</v>
      </c>
      <c r="F688" s="6" t="str">
        <v>United States</v>
      </c>
      <c r="G688" s="6" t="str">
        <v>IGN Entertainment Inc-IGN Pro League Assets &amp; Technology</v>
      </c>
      <c r="H688" s="6" t="str">
        <v>Business Services</v>
      </c>
      <c r="I688" s="6" t="str">
        <v>3A8994</v>
      </c>
      <c r="J688" s="6" t="str">
        <v>J2 Global Inc</v>
      </c>
      <c r="K688" s="6" t="str">
        <v>IGN Entertainment Inc</v>
      </c>
      <c r="L688" s="7">
        <f>=DATE(2013,4,8)</f>
        <v>41371.99949074074</v>
      </c>
      <c r="M688" s="7">
        <f>=DATE(2013,4,8)</f>
        <v>41371.99949074074</v>
      </c>
      <c r="W688" s="6" t="str">
        <v>Other Software (inq. Games)</v>
      </c>
      <c r="X688" s="6" t="str">
        <v>Other Software (inq. Games);Internet Services &amp; Software;Communication/Network Software</v>
      </c>
      <c r="Y688" s="6" t="str">
        <v>Internet Services &amp; Software;Other Software (inq. Games);Communication/Network Software</v>
      </c>
      <c r="Z688" s="6" t="str">
        <v>Internet Services &amp; Software;Communication/Network Software</v>
      </c>
      <c r="AA688" s="6" t="str">
        <v>Other Computer Systems;Operating Systems;Other Software (inq. Games)</v>
      </c>
      <c r="AB688" s="6" t="str">
        <v>Other Software (inq. Games);Primary Business not Hi-Tech;Internet Services &amp; Software</v>
      </c>
    </row>
    <row r="689">
      <c r="A689" s="6" t="str">
        <v>53578A</v>
      </c>
      <c r="B689" s="6" t="str">
        <v>United States</v>
      </c>
      <c r="C689" s="6" t="str">
        <v>LinkedIn Corp</v>
      </c>
      <c r="D689" s="6" t="str">
        <v>LinkedIn Corp</v>
      </c>
      <c r="F689" s="6" t="str">
        <v>United States</v>
      </c>
      <c r="G689" s="6" t="str">
        <v>Pulse</v>
      </c>
      <c r="H689" s="6" t="str">
        <v>Prepackaged Software</v>
      </c>
      <c r="I689" s="6" t="str">
        <v>2A7584</v>
      </c>
      <c r="J689" s="6" t="str">
        <v>Pulse</v>
      </c>
      <c r="K689" s="6" t="str">
        <v>Pulse</v>
      </c>
      <c r="L689" s="7">
        <f>=DATE(2013,4,11)</f>
        <v>41374.99949074074</v>
      </c>
      <c r="M689" s="7">
        <f>=DATE(2013,4,17)</f>
        <v>41380.99949074074</v>
      </c>
      <c r="N689" s="8">
        <v>90</v>
      </c>
      <c r="O689" s="8">
        <v>90</v>
      </c>
      <c r="W689" s="6" t="str">
        <v>Internet Services &amp; Software</v>
      </c>
      <c r="X689" s="6" t="str">
        <v>Other Software (inq. Games)</v>
      </c>
      <c r="Y689" s="6" t="str">
        <v>Other Software (inq. Games)</v>
      </c>
      <c r="Z689" s="6" t="str">
        <v>Other Software (inq. Games)</v>
      </c>
      <c r="AA689" s="6" t="str">
        <v>Internet Services &amp; Software</v>
      </c>
      <c r="AB689" s="6" t="str">
        <v>Internet Services &amp; Software</v>
      </c>
      <c r="AC689" s="8">
        <v>90</v>
      </c>
      <c r="AD689" s="7">
        <f>=DATE(2013,4,11)</f>
        <v>41374.99949074074</v>
      </c>
      <c r="AJ689" s="8" t="str">
        <v>81.00;9.00</v>
      </c>
      <c r="AK689" s="6" t="str">
        <v>US Dollar;US Dollar</v>
      </c>
      <c r="AL689" s="8">
        <v>90</v>
      </c>
    </row>
    <row r="690">
      <c r="A690" s="6" t="str">
        <v>023135</v>
      </c>
      <c r="B690" s="6" t="str">
        <v>United States</v>
      </c>
      <c r="C690" s="6" t="str">
        <v>Amazon.com Inc</v>
      </c>
      <c r="D690" s="6" t="str">
        <v>Amazon.com Inc</v>
      </c>
      <c r="F690" s="6" t="str">
        <v>United Kingdom</v>
      </c>
      <c r="G690" s="6" t="str">
        <v>Evi Technologies Ltd</v>
      </c>
      <c r="H690" s="6" t="str">
        <v>Prepackaged Software</v>
      </c>
      <c r="I690" s="6" t="str">
        <v>3A5765</v>
      </c>
      <c r="J690" s="6" t="str">
        <v>Evi Technologies Ltd</v>
      </c>
      <c r="K690" s="6" t="str">
        <v>Evi Technologies Ltd</v>
      </c>
      <c r="L690" s="7">
        <f>=DATE(2013,4,17)</f>
        <v>41380.99949074074</v>
      </c>
      <c r="W690" s="6" t="str">
        <v>Primary Business not Hi-Tech</v>
      </c>
      <c r="X690" s="6" t="str">
        <v>Communication/Network Software;Other Software (inq. Games);Applications Software(Home)</v>
      </c>
      <c r="Y690" s="6" t="str">
        <v>Communication/Network Software;Applications Software(Home);Other Software (inq. Games)</v>
      </c>
      <c r="Z690" s="6" t="str">
        <v>Applications Software(Home);Communication/Network Software;Other Software (inq. Games)</v>
      </c>
      <c r="AA690" s="6" t="str">
        <v>Primary Business not Hi-Tech</v>
      </c>
      <c r="AB690" s="6" t="str">
        <v>Primary Business not Hi-Tech</v>
      </c>
    </row>
    <row r="691">
      <c r="A691" s="6" t="str">
        <v>30303M</v>
      </c>
      <c r="B691" s="6" t="str">
        <v>United States</v>
      </c>
      <c r="C691" s="6" t="str">
        <v>Facebook Inc</v>
      </c>
      <c r="D691" s="6" t="str">
        <v>Facebook Inc</v>
      </c>
      <c r="F691" s="6" t="str">
        <v>United States</v>
      </c>
      <c r="G691" s="6" t="str">
        <v>Parse Inc</v>
      </c>
      <c r="H691" s="6" t="str">
        <v>Prepackaged Software</v>
      </c>
      <c r="I691" s="6" t="str">
        <v>3A5775</v>
      </c>
      <c r="J691" s="6" t="str">
        <v>Parse Inc</v>
      </c>
      <c r="K691" s="6" t="str">
        <v>Parse Inc</v>
      </c>
      <c r="L691" s="7">
        <f>=DATE(2013,4,25)</f>
        <v>41388.99949074074</v>
      </c>
      <c r="M691" s="7">
        <f>=DATE(2013,5,23)</f>
        <v>41416.99949074074</v>
      </c>
      <c r="W691" s="6" t="str">
        <v>Internet Services &amp; Software</v>
      </c>
      <c r="X691" s="6" t="str">
        <v>Internet Services &amp; Software;Communication/Network Software</v>
      </c>
      <c r="Y691" s="6" t="str">
        <v>Internet Services &amp; Software;Communication/Network Software</v>
      </c>
      <c r="Z691" s="6" t="str">
        <v>Communication/Network Software;Internet Services &amp; Software</v>
      </c>
      <c r="AA691" s="6" t="str">
        <v>Internet Services &amp; Software</v>
      </c>
      <c r="AB691" s="6" t="str">
        <v>Internet Services &amp; Software</v>
      </c>
    </row>
    <row r="692">
      <c r="A692" s="6" t="str">
        <v>38259P</v>
      </c>
      <c r="B692" s="6" t="str">
        <v>United States</v>
      </c>
      <c r="C692" s="6" t="str">
        <v>Google Inc</v>
      </c>
      <c r="D692" s="6" t="str">
        <v>Alphabet Inc</v>
      </c>
      <c r="F692" s="6" t="str">
        <v>United States</v>
      </c>
      <c r="G692" s="6" t="str">
        <v>Wavii Inc</v>
      </c>
      <c r="H692" s="6" t="str">
        <v>Prepackaged Software</v>
      </c>
      <c r="I692" s="6" t="str">
        <v>3A5263</v>
      </c>
      <c r="J692" s="6" t="str">
        <v>Wavii Inc</v>
      </c>
      <c r="K692" s="6" t="str">
        <v>Wavii Inc</v>
      </c>
      <c r="L692" s="7">
        <f>=DATE(2013,4,26)</f>
        <v>41389.99949074074</v>
      </c>
      <c r="M692" s="7">
        <f>=DATE(2013,4,26)</f>
        <v>41389.99949074074</v>
      </c>
      <c r="W692" s="6" t="str">
        <v>Programming Services;Internet Services &amp; Software</v>
      </c>
      <c r="X692" s="6" t="str">
        <v>Applications Software(Business</v>
      </c>
      <c r="Y692" s="6" t="str">
        <v>Applications Software(Business</v>
      </c>
      <c r="Z692" s="6" t="str">
        <v>Applications Software(Business</v>
      </c>
      <c r="AA692" s="6" t="str">
        <v>Programming Services;Internet Services &amp; Software;Primary Business not Hi-Tech;Telecommunications Equipment;Computer Consulting Services</v>
      </c>
      <c r="AB692" s="6" t="str">
        <v>Computer Consulting Services;Internet Services &amp; Software;Primary Business not Hi-Tech;Telecommunications Equipment;Programming Services</v>
      </c>
    </row>
    <row r="693">
      <c r="A693" s="6" t="str">
        <v>037833</v>
      </c>
      <c r="B693" s="6" t="str">
        <v>United States</v>
      </c>
      <c r="C693" s="6" t="str">
        <v>Apple Inc</v>
      </c>
      <c r="D693" s="6" t="str">
        <v>Apple Inc</v>
      </c>
      <c r="F693" s="6" t="str">
        <v>United States</v>
      </c>
      <c r="G693" s="6" t="str">
        <v>Apple Inc</v>
      </c>
      <c r="H693" s="6" t="str">
        <v>Computer and Office Equipment</v>
      </c>
      <c r="I693" s="6" t="str">
        <v>037833</v>
      </c>
      <c r="J693" s="6" t="str">
        <v>Apple Inc</v>
      </c>
      <c r="K693" s="6" t="str">
        <v>Apple Inc</v>
      </c>
      <c r="L693" s="7">
        <f>=DATE(2013,4,30)</f>
        <v>41393.99949074074</v>
      </c>
      <c r="M693" s="7">
        <f>=DATE(2014,3,31)</f>
        <v>41728.99949074074</v>
      </c>
      <c r="N693" s="8">
        <v>12000</v>
      </c>
      <c r="O693" s="8">
        <v>12000</v>
      </c>
      <c r="P693" s="8" t="str">
        <v>395,097.00</v>
      </c>
      <c r="R693" s="8">
        <v>39672</v>
      </c>
      <c r="S693" s="8">
        <v>169104</v>
      </c>
      <c r="T693" s="8">
        <v>-8822</v>
      </c>
      <c r="U693" s="8">
        <v>-44501</v>
      </c>
      <c r="V693" s="8">
        <v>57271</v>
      </c>
      <c r="W693" s="6" t="str">
        <v>Monitors/Terminals;Disk Drives;Portable Computers;Printers;Other Peripherals;Mainframes &amp; Super Computers;Micro-Computers (PCs);Other Software (inq. Games)</v>
      </c>
      <c r="X693" s="6" t="str">
        <v>Other Software (inq. Games);Other Peripherals;Micro-Computers (PCs);Disk Drives;Mainframes &amp; Super Computers;Printers;Monitors/Terminals;Portable Computers</v>
      </c>
      <c r="Y693" s="6" t="str">
        <v>Micro-Computers (PCs);Disk Drives;Monitors/Terminals;Other Software (inq. Games);Printers;Other Peripherals;Portable Computers;Mainframes &amp; Super Computers</v>
      </c>
      <c r="Z693" s="6" t="str">
        <v>Monitors/Terminals;Mainframes &amp; Super Computers;Micro-Computers (PCs);Disk Drives;Portable Computers;Printers;Other Software (inq. Games);Other Peripherals</v>
      </c>
      <c r="AA693" s="6" t="str">
        <v>Monitors/Terminals;Printers;Other Peripherals;Other Software (inq. Games);Portable Computers;Micro-Computers (PCs);Mainframes &amp; Super Computers;Disk Drives</v>
      </c>
      <c r="AB693" s="6" t="str">
        <v>Micro-Computers (PCs);Mainframes &amp; Super Computers;Printers;Portable Computers;Other Software (inq. Games);Monitors/Terminals;Disk Drives;Other Peripherals</v>
      </c>
      <c r="AC693" s="8">
        <v>12000</v>
      </c>
      <c r="AD693" s="7">
        <f>=DATE(2013,4,30)</f>
        <v>41393.99949074074</v>
      </c>
      <c r="AF693" s="8" t="str">
        <v>395,097.00</v>
      </c>
      <c r="AG693" s="8" t="str">
        <v>395,097.00</v>
      </c>
      <c r="AH693" s="8" t="str">
        <v>434,234.00</v>
      </c>
      <c r="AI693" s="8" t="str">
        <v>434,234.00</v>
      </c>
      <c r="AJ693" s="8" t="str">
        <v>12,000.00</v>
      </c>
      <c r="AK693" s="6" t="str">
        <v>US Dollar</v>
      </c>
      <c r="AL693" s="8">
        <v>12000</v>
      </c>
    </row>
    <row r="694">
      <c r="A694" s="6" t="str">
        <v>38259P</v>
      </c>
      <c r="B694" s="6" t="str">
        <v>United States</v>
      </c>
      <c r="C694" s="6" t="str">
        <v>Google Inc</v>
      </c>
      <c r="D694" s="6" t="str">
        <v>Alphabet Inc</v>
      </c>
      <c r="F694" s="6" t="str">
        <v>United States</v>
      </c>
      <c r="G694" s="6" t="str">
        <v>LendingClub Corp</v>
      </c>
      <c r="H694" s="6" t="str">
        <v>Credit Institutions</v>
      </c>
      <c r="I694" s="6" t="str">
        <v>0A9472</v>
      </c>
      <c r="J694" s="6" t="str">
        <v>LendingClub Corp</v>
      </c>
      <c r="K694" s="6" t="str">
        <v>LendingClub Corp</v>
      </c>
      <c r="L694" s="7">
        <f>=DATE(2013,5,2)</f>
        <v>41395.99949074074</v>
      </c>
      <c r="M694" s="7">
        <f>=DATE(2013,5,2)</f>
        <v>41395.99949074074</v>
      </c>
      <c r="W694" s="6" t="str">
        <v>Programming Services;Internet Services &amp; Software</v>
      </c>
      <c r="X694" s="6" t="str">
        <v>Primary Business not Hi-Tech;Internet Services &amp; Software</v>
      </c>
      <c r="Y694" s="6" t="str">
        <v>Primary Business not Hi-Tech;Internet Services &amp; Software</v>
      </c>
      <c r="Z694" s="6" t="str">
        <v>Primary Business not Hi-Tech;Internet Services &amp; Software</v>
      </c>
      <c r="AA694" s="6" t="str">
        <v>Programming Services;Computer Consulting Services;Primary Business not Hi-Tech;Internet Services &amp; Software;Telecommunications Equipment</v>
      </c>
      <c r="AB694" s="6" t="str">
        <v>Primary Business not Hi-Tech;Internet Services &amp; Software;Programming Services;Computer Consulting Services;Telecommunications Equipment</v>
      </c>
    </row>
    <row r="695">
      <c r="A695" s="6" t="str">
        <v>594918</v>
      </c>
      <c r="B695" s="6" t="str">
        <v>United States</v>
      </c>
      <c r="C695" s="6" t="str">
        <v>Microsoft Corp</v>
      </c>
      <c r="D695" s="6" t="str">
        <v>Microsoft Corp</v>
      </c>
      <c r="F695" s="6" t="str">
        <v>United States</v>
      </c>
      <c r="G695" s="6" t="str">
        <v>Nook Media LLC-Digital Assets</v>
      </c>
      <c r="H695" s="6" t="str">
        <v>Miscellaneous Retail Trade</v>
      </c>
      <c r="I695" s="6" t="str">
        <v>3A7916</v>
      </c>
      <c r="J695" s="6" t="str">
        <v>Barnes &amp; Noble Inc</v>
      </c>
      <c r="K695" s="6" t="str">
        <v>Nook Media LLC</v>
      </c>
      <c r="L695" s="7">
        <f>=DATE(2013,5,9)</f>
        <v>41402.99949074074</v>
      </c>
      <c r="W695" s="6" t="str">
        <v>Computer Consulting Services;Monitors/Terminals;Operating Systems;Applications Software(Business;Internet Services &amp; Software;Other Peripherals</v>
      </c>
      <c r="X695" s="6" t="str">
        <v>Internet Services &amp; Software;Primary Business not Hi-Tech</v>
      </c>
      <c r="Y695" s="6" t="str">
        <v>Applications Software(Home);Internet Services &amp; Software</v>
      </c>
      <c r="Z695" s="6" t="str">
        <v>Primary Business not Hi-Tech;Internet Services &amp; Software</v>
      </c>
      <c r="AA695" s="6" t="str">
        <v>Computer Consulting Services;Applications Software(Business;Operating Systems;Internet Services &amp; Software;Other Peripherals;Monitors/Terminals</v>
      </c>
      <c r="AB695" s="6" t="str">
        <v>Operating Systems;Computer Consulting Services;Monitors/Terminals;Applications Software(Business;Internet Services &amp; Software;Other Peripherals</v>
      </c>
    </row>
    <row r="696">
      <c r="A696" s="6" t="str">
        <v>023135</v>
      </c>
      <c r="B696" s="6" t="str">
        <v>United States</v>
      </c>
      <c r="C696" s="6" t="str">
        <v>Amazon.com Inc</v>
      </c>
      <c r="D696" s="6" t="str">
        <v>Amazon.com Inc</v>
      </c>
      <c r="F696" s="6" t="str">
        <v>Netherlands</v>
      </c>
      <c r="G696" s="6" t="str">
        <v>Liquavista BV</v>
      </c>
      <c r="H696" s="6" t="str">
        <v>Electronic and Electrical Equipment</v>
      </c>
      <c r="I696" s="6" t="str">
        <v>53649Q</v>
      </c>
      <c r="J696" s="6" t="str">
        <v>Samsung Electronics Co Ltd</v>
      </c>
      <c r="K696" s="6" t="str">
        <v>Samsung Electronics Europe Holding Cooperatief UA</v>
      </c>
      <c r="L696" s="7">
        <f>=DATE(2013,5,13)</f>
        <v>41406.99949074074</v>
      </c>
      <c r="M696" s="7">
        <f>=DATE(2013,5,13)</f>
        <v>41406.99949074074</v>
      </c>
      <c r="R696" s="8">
        <v>-10.0617479417353</v>
      </c>
      <c r="W696" s="6" t="str">
        <v>Primary Business not Hi-Tech</v>
      </c>
      <c r="X696" s="6" t="str">
        <v>Other Electronics</v>
      </c>
      <c r="Y696" s="6" t="str">
        <v>Primary Business not Hi-Tech</v>
      </c>
      <c r="Z696" s="6" t="str">
        <v>Other Electronics;Mainframes &amp; Super Computers;Primary Business not Hi-Tech;Microwave Communications;Superconductors;Portable Computers;Micro-Computers (PCs);Lasers(Excluding Medical);Other Telecommunications Equip;Robotics;Semiconductors;Data Commun(Exclude networking;Satellite Communications;Cellular Communications</v>
      </c>
      <c r="AA696" s="6" t="str">
        <v>Primary Business not Hi-Tech</v>
      </c>
      <c r="AB696" s="6" t="str">
        <v>Primary Business not Hi-Tech</v>
      </c>
    </row>
    <row r="697">
      <c r="A697" s="6" t="str">
        <v>67020Y</v>
      </c>
      <c r="B697" s="6" t="str">
        <v>United States</v>
      </c>
      <c r="C697" s="6" t="str">
        <v>Nuance Communications Inc</v>
      </c>
      <c r="D697" s="6" t="str">
        <v>Nuance Communications Inc</v>
      </c>
      <c r="F697" s="6" t="str">
        <v>United States</v>
      </c>
      <c r="G697" s="6" t="str">
        <v>Tweddle Group Inc-Tweddle Connect Business</v>
      </c>
      <c r="H697" s="6" t="str">
        <v>Business Services</v>
      </c>
      <c r="I697" s="6" t="str">
        <v>4A1250</v>
      </c>
      <c r="J697" s="6" t="str">
        <v>Tweddle Group Inc</v>
      </c>
      <c r="K697" s="6" t="str">
        <v>Tweddle Group Inc</v>
      </c>
      <c r="L697" s="7">
        <f>=DATE(2013,5,30)</f>
        <v>41423.99949074074</v>
      </c>
      <c r="M697" s="7">
        <f>=DATE(2013,5,31)</f>
        <v>41424.99949074074</v>
      </c>
      <c r="N697" s="8">
        <v>80</v>
      </c>
      <c r="O697" s="8">
        <v>80</v>
      </c>
      <c r="W697" s="6" t="str">
        <v>Computer Consulting Services;Applications Software(Home);Internet Services &amp; Software;Desktop Publishing;Primary Business not Hi-Tech;Applications Software(Business;Other Software (inq. Games);Utilities/File Mgmt Software;Networking Systems (LAN,WAN);Programming Services;Communication/Network Software;Other Computer Related Svcs;Database Software/Programming</v>
      </c>
      <c r="X697" s="6" t="str">
        <v>Other Software (inq. Games);Data Processing Services;Other Computer Related Svcs;Computer Consulting Services</v>
      </c>
      <c r="Y697" s="6" t="str">
        <v>Computer Consulting Services;Data Processing Services;Other Software (inq. Games);Other Computer Related Svcs</v>
      </c>
      <c r="Z697" s="6" t="str">
        <v>Data Processing Services;Other Computer Related Svcs;Computer Consulting Services;Other Software (inq. Games)</v>
      </c>
      <c r="AA697" s="6" t="str">
        <v>Desktop Publishing;Other Computer Related Svcs;Applications Software(Business;Other Software (inq. Games);Communication/Network Software;Utilities/File Mgmt Software;Internet Services &amp; Software;Database Software/Programming;Programming Services;Computer Consulting Services;Primary Business not Hi-Tech;Networking Systems (LAN,WAN);Applications Software(Home)</v>
      </c>
      <c r="AB697" s="6" t="str">
        <v>Desktop Publishing;Communication/Network Software;Applications Software(Business;Applications Software(Home);Internet Services &amp; Software;Computer Consulting Services;Networking Systems (LAN,WAN);Other Software (inq. Games);Primary Business not Hi-Tech;Utilities/File Mgmt Software;Other Computer Related Svcs;Database Software/Programming;Programming Services</v>
      </c>
      <c r="AC697" s="8">
        <v>80</v>
      </c>
      <c r="AD697" s="7">
        <f>=DATE(2013,5,30)</f>
        <v>41423.99949074074</v>
      </c>
      <c r="AJ697" s="8" t="str">
        <v>80.00</v>
      </c>
      <c r="AK697" s="6" t="str">
        <v>US Dollar</v>
      </c>
      <c r="AL697" s="8">
        <v>80</v>
      </c>
    </row>
    <row r="698">
      <c r="A698" s="6" t="str">
        <v>594918</v>
      </c>
      <c r="B698" s="6" t="str">
        <v>United States</v>
      </c>
      <c r="C698" s="6" t="str">
        <v>Microsoft Corp</v>
      </c>
      <c r="D698" s="6" t="str">
        <v>Microsoft Corp</v>
      </c>
      <c r="F698" s="6" t="str">
        <v>Canada</v>
      </c>
      <c r="G698" s="6" t="str">
        <v>InCycle Software Inc-InRelease Business Unit</v>
      </c>
      <c r="H698" s="6" t="str">
        <v>Prepackaged Software</v>
      </c>
      <c r="I698" s="6" t="str">
        <v>4A1915</v>
      </c>
      <c r="J698" s="6" t="str">
        <v>InCycle Software Inc</v>
      </c>
      <c r="K698" s="6" t="str">
        <v>InCycle Software Inc</v>
      </c>
      <c r="L698" s="7">
        <f>=DATE(2013,6,3)</f>
        <v>41427.99949074074</v>
      </c>
      <c r="W698" s="6" t="str">
        <v>Internet Services &amp; Software;Computer Consulting Services;Operating Systems;Monitors/Terminals;Applications Software(Business;Other Peripherals</v>
      </c>
      <c r="X698" s="6" t="str">
        <v>Applications Software(Business</v>
      </c>
      <c r="Y698" s="6" t="str">
        <v>Applications Software(Business;Computer Consulting Services</v>
      </c>
      <c r="Z698" s="6" t="str">
        <v>Applications Software(Business;Computer Consulting Services</v>
      </c>
      <c r="AA698" s="6" t="str">
        <v>Operating Systems;Other Peripherals;Internet Services &amp; Software;Monitors/Terminals;Computer Consulting Services;Applications Software(Business</v>
      </c>
      <c r="AB698" s="6" t="str">
        <v>Computer Consulting Services;Operating Systems;Monitors/Terminals;Applications Software(Business;Other Peripherals;Internet Services &amp; Software</v>
      </c>
    </row>
    <row r="699">
      <c r="A699" s="6" t="str">
        <v>38259P</v>
      </c>
      <c r="B699" s="6" t="str">
        <v>United States</v>
      </c>
      <c r="C699" s="6" t="str">
        <v>Google Inc</v>
      </c>
      <c r="D699" s="6" t="str">
        <v>Alphabet Inc</v>
      </c>
      <c r="F699" s="6" t="str">
        <v>Israel</v>
      </c>
      <c r="G699" s="6" t="str">
        <v>Waze Ltd</v>
      </c>
      <c r="H699" s="6" t="str">
        <v>Business Services</v>
      </c>
      <c r="I699" s="6" t="str">
        <v>94678Y</v>
      </c>
      <c r="J699" s="6" t="str">
        <v>Waze Ltd</v>
      </c>
      <c r="K699" s="6" t="str">
        <v>Waze Ltd</v>
      </c>
      <c r="L699" s="7">
        <f>=DATE(2013,6,11)</f>
        <v>41435.99949074074</v>
      </c>
      <c r="M699" s="7">
        <f>=DATE(2013,6,11)</f>
        <v>41435.99949074074</v>
      </c>
      <c r="N699" s="8">
        <v>966</v>
      </c>
      <c r="O699" s="8">
        <v>966</v>
      </c>
      <c r="W699" s="6" t="str">
        <v>Programming Services;Internet Services &amp; Software</v>
      </c>
      <c r="X699" s="6" t="str">
        <v>Other Software (inq. Games);Communication/Network Software;Applications Software(Business;Database Software/Programming</v>
      </c>
      <c r="Y699" s="6" t="str">
        <v>Communication/Network Software;Other Software (inq. Games);Applications Software(Business;Database Software/Programming</v>
      </c>
      <c r="Z699" s="6" t="str">
        <v>Other Software (inq. Games);Communication/Network Software;Database Software/Programming;Applications Software(Business</v>
      </c>
      <c r="AA699" s="6" t="str">
        <v>Primary Business not Hi-Tech;Telecommunications Equipment;Computer Consulting Services;Internet Services &amp; Software;Programming Services</v>
      </c>
      <c r="AB699" s="6" t="str">
        <v>Primary Business not Hi-Tech;Telecommunications Equipment;Programming Services;Computer Consulting Services;Internet Services &amp; Software</v>
      </c>
      <c r="AC699" s="8">
        <v>966</v>
      </c>
      <c r="AD699" s="7">
        <f>=DATE(2013,6,11)</f>
        <v>41435.99949074074</v>
      </c>
      <c r="AJ699" s="8" t="str">
        <v>966.00</v>
      </c>
      <c r="AK699" s="6" t="str">
        <v>US Dollar</v>
      </c>
      <c r="AL699" s="8">
        <v>966</v>
      </c>
    </row>
    <row r="700">
      <c r="A700" s="6" t="str">
        <v>037833</v>
      </c>
      <c r="B700" s="6" t="str">
        <v>United States</v>
      </c>
      <c r="C700" s="6" t="str">
        <v>Apple Inc</v>
      </c>
      <c r="D700" s="6" t="str">
        <v>Apple Inc</v>
      </c>
      <c r="F700" s="6" t="str">
        <v>United States</v>
      </c>
      <c r="G700" s="6" t="str">
        <v>Catch.Com</v>
      </c>
      <c r="H700" s="6" t="str">
        <v>Prepackaged Software</v>
      </c>
      <c r="I700" s="6" t="str">
        <v>0L2670</v>
      </c>
      <c r="J700" s="6" t="str">
        <v>Catch.Com</v>
      </c>
      <c r="K700" s="6" t="str">
        <v>Catch.Com</v>
      </c>
      <c r="L700" s="7">
        <f>=DATE(2013,7,1)</f>
        <v>41455.99949074074</v>
      </c>
      <c r="M700" s="7">
        <f>=DATE(2013,7,1)</f>
        <v>41455.99949074074</v>
      </c>
      <c r="W700" s="6" t="str">
        <v>Printers;Monitors/Terminals;Micro-Computers (PCs);Portable Computers;Other Software (inq. Games);Disk Drives;Mainframes &amp; Super Computers;Other Peripherals</v>
      </c>
      <c r="X700" s="6" t="str">
        <v>Internet Services &amp; Software;Desktop Publishing;Other Software (inq. Games);Utilities/File Mgmt Software;Communication/Network Software;Applications Software(Business;Applications Software(Home)</v>
      </c>
      <c r="Y700" s="6" t="str">
        <v>Communication/Network Software;Desktop Publishing;Utilities/File Mgmt Software;Applications Software(Business;Applications Software(Home);Internet Services &amp; Software;Other Software (inq. Games)</v>
      </c>
      <c r="Z700" s="6" t="str">
        <v>Other Software (inq. Games);Communication/Network Software;Applications Software(Business;Utilities/File Mgmt Software;Internet Services &amp; Software;Desktop Publishing;Applications Software(Home)</v>
      </c>
      <c r="AA700" s="6" t="str">
        <v>Disk Drives;Mainframes &amp; Super Computers;Monitors/Terminals;Other Peripherals;Printers;Other Software (inq. Games);Micro-Computers (PCs);Portable Computers</v>
      </c>
      <c r="AB700" s="6" t="str">
        <v>Printers;Other Software (inq. Games);Mainframes &amp; Super Computers;Other Peripherals;Micro-Computers (PCs);Disk Drives;Portable Computers;Monitors/Terminals</v>
      </c>
    </row>
    <row r="701">
      <c r="A701" s="6" t="str">
        <v>38259P</v>
      </c>
      <c r="B701" s="6" t="str">
        <v>United States</v>
      </c>
      <c r="C701" s="6" t="str">
        <v>Google Inc</v>
      </c>
      <c r="D701" s="6" t="str">
        <v>Alphabet Inc</v>
      </c>
      <c r="F701" s="6" t="str">
        <v>United States</v>
      </c>
      <c r="G701" s="6" t="str">
        <v>Vevo LLC</v>
      </c>
      <c r="H701" s="6" t="str">
        <v>Business Services</v>
      </c>
      <c r="I701" s="6" t="str">
        <v>93287A</v>
      </c>
      <c r="J701" s="6" t="str">
        <v>Vivendi SE</v>
      </c>
      <c r="K701" s="6" t="str">
        <v>Universal Music Group Inc</v>
      </c>
      <c r="L701" s="7">
        <f>=DATE(2013,7,3)</f>
        <v>41457.99949074074</v>
      </c>
      <c r="M701" s="7">
        <f>=DATE(2013,7,3)</f>
        <v>41457.99949074074</v>
      </c>
      <c r="W701" s="6" t="str">
        <v>Programming Services;Internet Services &amp; Software</v>
      </c>
      <c r="X701" s="6" t="str">
        <v>Internet Services &amp; Software</v>
      </c>
      <c r="Y701" s="6" t="str">
        <v>Primary Business not Hi-Tech</v>
      </c>
      <c r="Z701" s="6" t="str">
        <v>Primary Business not Hi-Tech;Internet Services &amp; Software;Other Software (inq. Games)</v>
      </c>
      <c r="AA701" s="6" t="str">
        <v>Internet Services &amp; Software;Primary Business not Hi-Tech;Programming Services;Computer Consulting Services;Telecommunications Equipment</v>
      </c>
      <c r="AB701" s="6" t="str">
        <v>Internet Services &amp; Software;Primary Business not Hi-Tech;Programming Services;Telecommunications Equipment;Computer Consulting Services</v>
      </c>
    </row>
    <row r="702">
      <c r="A702" s="6" t="str">
        <v>30303M</v>
      </c>
      <c r="B702" s="6" t="str">
        <v>United States</v>
      </c>
      <c r="C702" s="6" t="str">
        <v>Facebook Inc</v>
      </c>
      <c r="D702" s="6" t="str">
        <v>Facebook Inc</v>
      </c>
      <c r="F702" s="6" t="str">
        <v>United Kingdom</v>
      </c>
      <c r="G702" s="6" t="str">
        <v>Monoidics</v>
      </c>
      <c r="H702" s="6" t="str">
        <v>Prepackaged Software</v>
      </c>
      <c r="I702" s="6" t="str">
        <v>5A0891</v>
      </c>
      <c r="J702" s="6" t="str">
        <v>Monoidics</v>
      </c>
      <c r="K702" s="6" t="str">
        <v>Monoidics</v>
      </c>
      <c r="L702" s="7">
        <f>=DATE(2013,7,18)</f>
        <v>41472.99949074074</v>
      </c>
      <c r="W702" s="6" t="str">
        <v>Internet Services &amp; Software</v>
      </c>
      <c r="X702" s="6" t="str">
        <v>Other Software (inq. Games)</v>
      </c>
      <c r="Y702" s="6" t="str">
        <v>Other Software (inq. Games)</v>
      </c>
      <c r="Z702" s="6" t="str">
        <v>Other Software (inq. Games)</v>
      </c>
      <c r="AA702" s="6" t="str">
        <v>Internet Services &amp; Software</v>
      </c>
      <c r="AB702" s="6" t="str">
        <v>Internet Services &amp; Software</v>
      </c>
    </row>
    <row r="703">
      <c r="A703" s="6" t="str">
        <v>037833</v>
      </c>
      <c r="B703" s="6" t="str">
        <v>United States</v>
      </c>
      <c r="C703" s="6" t="str">
        <v>Apple Inc</v>
      </c>
      <c r="D703" s="6" t="str">
        <v>Apple Inc</v>
      </c>
      <c r="F703" s="6" t="str">
        <v>Canada</v>
      </c>
      <c r="G703" s="6" t="str">
        <v>Locationary Inc</v>
      </c>
      <c r="H703" s="6" t="str">
        <v>Prepackaged Software</v>
      </c>
      <c r="I703" s="6" t="str">
        <v>5A0944</v>
      </c>
      <c r="J703" s="6" t="str">
        <v>Locationary Inc</v>
      </c>
      <c r="K703" s="6" t="str">
        <v>Locationary Inc</v>
      </c>
      <c r="L703" s="7">
        <f>=DATE(2013,7,19)</f>
        <v>41473.99949074074</v>
      </c>
      <c r="M703" s="7">
        <f>=DATE(2013,7,19)</f>
        <v>41473.99949074074</v>
      </c>
      <c r="W703" s="6" t="str">
        <v>Disk Drives;Other Software (inq. Games);Other Peripherals;Printers;Micro-Computers (PCs);Mainframes &amp; Super Computers;Monitors/Terminals;Portable Computers</v>
      </c>
      <c r="X703" s="6" t="str">
        <v>Applications Software(Business</v>
      </c>
      <c r="Y703" s="6" t="str">
        <v>Applications Software(Business</v>
      </c>
      <c r="Z703" s="6" t="str">
        <v>Applications Software(Business</v>
      </c>
      <c r="AA703" s="6" t="str">
        <v>Other Peripherals;Printers;Disk Drives;Portable Computers;Mainframes &amp; Super Computers;Monitors/Terminals;Micro-Computers (PCs);Other Software (inq. Games)</v>
      </c>
      <c r="AB703" s="6" t="str">
        <v>Disk Drives;Other Software (inq. Games);Portable Computers;Monitors/Terminals;Mainframes &amp; Super Computers;Printers;Other Peripherals;Micro-Computers (PCs)</v>
      </c>
    </row>
    <row r="704">
      <c r="A704" s="6" t="str">
        <v>037833</v>
      </c>
      <c r="B704" s="6" t="str">
        <v>United States</v>
      </c>
      <c r="C704" s="6" t="str">
        <v>Apple Inc</v>
      </c>
      <c r="D704" s="6" t="str">
        <v>Apple Inc</v>
      </c>
      <c r="F704" s="6" t="str">
        <v>United States</v>
      </c>
      <c r="G704" s="6" t="str">
        <v>Hopstop.com Inc</v>
      </c>
      <c r="H704" s="6" t="str">
        <v>Business Services</v>
      </c>
      <c r="I704" s="6" t="str">
        <v>5A1147</v>
      </c>
      <c r="J704" s="6" t="str">
        <v>Hopstop.com Inc</v>
      </c>
      <c r="K704" s="6" t="str">
        <v>Hopstop.com Inc</v>
      </c>
      <c r="L704" s="7">
        <f>=DATE(2013,7,20)</f>
        <v>41474.99949074074</v>
      </c>
      <c r="M704" s="7">
        <f>=DATE(2013,7,20)</f>
        <v>41474.99949074074</v>
      </c>
      <c r="W704" s="6" t="str">
        <v>Disk Drives;Mainframes &amp; Super Computers;Micro-Computers (PCs);Portable Computers;Monitors/Terminals;Printers;Other Software (inq. Games);Other Peripherals</v>
      </c>
      <c r="X704" s="6" t="str">
        <v>Data Processing Services;Other Computer Related Svcs;Other Software (inq. Games);Computer Consulting Services</v>
      </c>
      <c r="Y704" s="6" t="str">
        <v>Other Software (inq. Games);Data Processing Services;Computer Consulting Services;Other Computer Related Svcs</v>
      </c>
      <c r="Z704" s="6" t="str">
        <v>Computer Consulting Services;Data Processing Services;Other Computer Related Svcs;Other Software (inq. Games)</v>
      </c>
      <c r="AA704" s="6" t="str">
        <v>Mainframes &amp; Super Computers;Disk Drives;Other Peripherals;Micro-Computers (PCs);Other Software (inq. Games);Monitors/Terminals;Printers;Portable Computers</v>
      </c>
      <c r="AB704" s="6" t="str">
        <v>Monitors/Terminals;Portable Computers;Mainframes &amp; Super Computers;Printers;Other Peripherals;Micro-Computers (PCs);Disk Drives;Other Software (inq. Games)</v>
      </c>
    </row>
    <row r="705">
      <c r="A705" s="6" t="str">
        <v>00507V</v>
      </c>
      <c r="B705" s="6" t="str">
        <v>United States</v>
      </c>
      <c r="C705" s="6" t="str">
        <v>Activision Blizzard Inc</v>
      </c>
      <c r="D705" s="6" t="str">
        <v>Vivendi SE</v>
      </c>
      <c r="F705" s="6" t="str">
        <v>United States</v>
      </c>
      <c r="G705" s="6" t="str">
        <v>Activision Blizzard Inc</v>
      </c>
      <c r="H705" s="6" t="str">
        <v>Prepackaged Software</v>
      </c>
      <c r="I705" s="6" t="str">
        <v>00507V</v>
      </c>
      <c r="J705" s="6" t="str">
        <v>Vivendi SE</v>
      </c>
      <c r="K705" s="6" t="str">
        <v>Vivendi SE</v>
      </c>
      <c r="L705" s="7">
        <f>=DATE(2013,7,26)</f>
        <v>41480.99949074074</v>
      </c>
      <c r="M705" s="7">
        <f>=DATE(2013,10,11)</f>
        <v>41557.99949074074</v>
      </c>
      <c r="N705" s="8">
        <v>5834.4</v>
      </c>
      <c r="O705" s="8">
        <v>5834.4</v>
      </c>
      <c r="P705" s="8" t="str">
        <v>10,672.61</v>
      </c>
      <c r="R705" s="8">
        <v>1360</v>
      </c>
      <c r="S705" s="8">
        <v>4984</v>
      </c>
      <c r="T705" s="8">
        <v>-177</v>
      </c>
      <c r="U705" s="8">
        <v>126</v>
      </c>
      <c r="V705" s="8">
        <v>1534</v>
      </c>
      <c r="W705" s="6" t="str">
        <v>Other Computer Systems;Other Software (inq. Games);Operating Systems</v>
      </c>
      <c r="X705" s="6" t="str">
        <v>Operating Systems;Other Software (inq. Games);Other Computer Systems</v>
      </c>
      <c r="Y705" s="6" t="str">
        <v>Primary Business not Hi-Tech;Internet Services &amp; Software;Other Software (inq. Games)</v>
      </c>
      <c r="Z705" s="6" t="str">
        <v>Primary Business not Hi-Tech;Internet Services &amp; Software;Other Software (inq. Games)</v>
      </c>
      <c r="AA705" s="6" t="str">
        <v>Internet Services &amp; Software;Primary Business not Hi-Tech;Other Software (inq. Games)</v>
      </c>
      <c r="AB705" s="6" t="str">
        <v>Internet Services &amp; Software;Primary Business not Hi-Tech;Other Software (inq. Games)</v>
      </c>
      <c r="AC705" s="8">
        <v>5834.4</v>
      </c>
      <c r="AD705" s="7">
        <f>=DATE(2013,7,26)</f>
        <v>41480.99949074074</v>
      </c>
      <c r="AE705" s="8">
        <v>15198.5691464</v>
      </c>
      <c r="AF705" s="8" t="str">
        <v>10,652.57</v>
      </c>
      <c r="AG705" s="8" t="str">
        <v>10,672.61</v>
      </c>
      <c r="AH705" s="8" t="str">
        <v>15,218.61</v>
      </c>
      <c r="AI705" s="8" t="str">
        <v>15,198.57</v>
      </c>
      <c r="AK705" s="6" t="str">
        <v>US Dollar</v>
      </c>
      <c r="AL705" s="8">
        <v>5834.4</v>
      </c>
    </row>
    <row r="706">
      <c r="A706" s="6" t="str">
        <v>037833</v>
      </c>
      <c r="B706" s="6" t="str">
        <v>United States</v>
      </c>
      <c r="C706" s="6" t="str">
        <v>Apple Inc</v>
      </c>
      <c r="D706" s="6" t="str">
        <v>Apple Inc</v>
      </c>
      <c r="F706" s="6" t="str">
        <v>United States</v>
      </c>
      <c r="G706" s="6" t="str">
        <v>Passif Semiconductor Corp</v>
      </c>
      <c r="H706" s="6" t="str">
        <v>Electronic and Electrical Equipment</v>
      </c>
      <c r="I706" s="6" t="str">
        <v>5A3262</v>
      </c>
      <c r="J706" s="6" t="str">
        <v>Passif Semiconductor Corp</v>
      </c>
      <c r="K706" s="6" t="str">
        <v>Passif Semiconductor Corp</v>
      </c>
      <c r="L706" s="7">
        <f>=DATE(2013,8,1)</f>
        <v>41486.99949074074</v>
      </c>
      <c r="M706" s="7">
        <f>=DATE(2013,8,1)</f>
        <v>41486.99949074074</v>
      </c>
      <c r="W706" s="6" t="str">
        <v>Mainframes &amp; Super Computers;Other Software (inq. Games);Micro-Computers (PCs);Printers;Disk Drives;Monitors/Terminals;Other Peripherals;Portable Computers</v>
      </c>
      <c r="X706" s="6" t="str">
        <v>Semiconductors</v>
      </c>
      <c r="Y706" s="6" t="str">
        <v>Semiconductors</v>
      </c>
      <c r="Z706" s="6" t="str">
        <v>Semiconductors</v>
      </c>
      <c r="AA706" s="6" t="str">
        <v>Mainframes &amp; Super Computers;Other Software (inq. Games);Disk Drives;Micro-Computers (PCs);Other Peripherals;Portable Computers;Printers;Monitors/Terminals</v>
      </c>
      <c r="AB706" s="6" t="str">
        <v>Printers;Other Software (inq. Games);Monitors/Terminals;Micro-Computers (PCs);Other Peripherals;Disk Drives;Portable Computers;Mainframes &amp; Super Computers</v>
      </c>
    </row>
    <row r="707">
      <c r="A707" s="6" t="str">
        <v>30303M</v>
      </c>
      <c r="B707" s="6" t="str">
        <v>United States</v>
      </c>
      <c r="C707" s="6" t="str">
        <v>Facebook Inc</v>
      </c>
      <c r="D707" s="6" t="str">
        <v>Facebook Inc</v>
      </c>
      <c r="F707" s="6" t="str">
        <v>United States</v>
      </c>
      <c r="G707" s="6" t="str">
        <v>Mobile Technologies</v>
      </c>
      <c r="H707" s="6" t="str">
        <v>Prepackaged Software</v>
      </c>
      <c r="I707" s="6" t="str">
        <v>5A4753</v>
      </c>
      <c r="J707" s="6" t="str">
        <v>Mobile Technologies</v>
      </c>
      <c r="K707" s="6" t="str">
        <v>Mobile Technologies</v>
      </c>
      <c r="L707" s="7">
        <f>=DATE(2013,8,12)</f>
        <v>41497.99949074074</v>
      </c>
      <c r="M707" s="7">
        <f>=DATE(2013,9,25)</f>
        <v>41541.99949074074</v>
      </c>
      <c r="W707" s="6" t="str">
        <v>Internet Services &amp; Software</v>
      </c>
      <c r="X707" s="6" t="str">
        <v>Communication/Network Software;Internet Services &amp; Software</v>
      </c>
      <c r="Y707" s="6" t="str">
        <v>Communication/Network Software;Internet Services &amp; Software</v>
      </c>
      <c r="Z707" s="6" t="str">
        <v>Internet Services &amp; Software;Communication/Network Software</v>
      </c>
      <c r="AA707" s="6" t="str">
        <v>Internet Services &amp; Software</v>
      </c>
      <c r="AB707" s="6" t="str">
        <v>Internet Services &amp; Software</v>
      </c>
    </row>
    <row r="708">
      <c r="A708" s="6" t="str">
        <v>037833</v>
      </c>
      <c r="B708" s="6" t="str">
        <v>United States</v>
      </c>
      <c r="C708" s="6" t="str">
        <v>Apple Inc</v>
      </c>
      <c r="D708" s="6" t="str">
        <v>Apple Inc</v>
      </c>
      <c r="F708" s="6" t="str">
        <v>United States</v>
      </c>
      <c r="G708" s="6" t="str">
        <v>Matcha Inc</v>
      </c>
      <c r="H708" s="6" t="str">
        <v>Business Services</v>
      </c>
      <c r="I708" s="6" t="str">
        <v>5A5156</v>
      </c>
      <c r="J708" s="6" t="str">
        <v>Matcha Inc</v>
      </c>
      <c r="K708" s="6" t="str">
        <v>Matcha Inc</v>
      </c>
      <c r="L708" s="7">
        <f>=DATE(2013,8,14)</f>
        <v>41499.99949074074</v>
      </c>
      <c r="M708" s="7">
        <f>=DATE(2013,8,14)</f>
        <v>41499.99949074074</v>
      </c>
      <c r="W708" s="6" t="str">
        <v>Micro-Computers (PCs);Disk Drives;Mainframes &amp; Super Computers;Monitors/Terminals;Other Peripherals;Printers;Portable Computers;Other Software (inq. Games)</v>
      </c>
      <c r="X708" s="6" t="str">
        <v>Computer Consulting Services;Other Computer Related Svcs;Programming Services</v>
      </c>
      <c r="Y708" s="6" t="str">
        <v>Other Computer Related Svcs;Programming Services;Computer Consulting Services</v>
      </c>
      <c r="Z708" s="6" t="str">
        <v>Other Computer Related Svcs;Computer Consulting Services;Programming Services</v>
      </c>
      <c r="AA708" s="6" t="str">
        <v>Micro-Computers (PCs);Other Software (inq. Games);Printers;Other Peripherals;Monitors/Terminals;Disk Drives;Mainframes &amp; Super Computers;Portable Computers</v>
      </c>
      <c r="AB708" s="6" t="str">
        <v>Other Peripherals;Monitors/Terminals;Mainframes &amp; Super Computers;Other Software (inq. Games);Printers;Disk Drives;Portable Computers;Micro-Computers (PCs)</v>
      </c>
    </row>
    <row r="709">
      <c r="A709" s="6" t="str">
        <v>037833</v>
      </c>
      <c r="B709" s="6" t="str">
        <v>United States</v>
      </c>
      <c r="C709" s="6" t="str">
        <v>Apple Inc</v>
      </c>
      <c r="D709" s="6" t="str">
        <v>Apple Inc</v>
      </c>
      <c r="F709" s="6" t="str">
        <v>United States</v>
      </c>
      <c r="G709" s="6" t="str">
        <v>Embark Inc</v>
      </c>
      <c r="H709" s="6" t="str">
        <v>Prepackaged Software</v>
      </c>
      <c r="I709" s="6" t="str">
        <v>5A6422</v>
      </c>
      <c r="J709" s="6" t="str">
        <v>Embark Inc</v>
      </c>
      <c r="K709" s="6" t="str">
        <v>Embark Inc</v>
      </c>
      <c r="L709" s="7">
        <f>=DATE(2013,8,22)</f>
        <v>41507.99949074074</v>
      </c>
      <c r="M709" s="7">
        <f>=DATE(2013,8,22)</f>
        <v>41507.99949074074</v>
      </c>
      <c r="W709" s="6" t="str">
        <v>Disk Drives;Other Peripherals;Micro-Computers (PCs);Other Software (inq. Games);Portable Computers;Monitors/Terminals;Printers;Mainframes &amp; Super Computers</v>
      </c>
      <c r="X709" s="6" t="str">
        <v>Internet Services &amp; Software;Communication/Network Software</v>
      </c>
      <c r="Y709" s="6" t="str">
        <v>Communication/Network Software;Internet Services &amp; Software</v>
      </c>
      <c r="Z709" s="6" t="str">
        <v>Internet Services &amp; Software;Communication/Network Software</v>
      </c>
      <c r="AA709" s="6" t="str">
        <v>Disk Drives;Mainframes &amp; Super Computers;Monitors/Terminals;Other Peripherals;Printers;Micro-Computers (PCs);Other Software (inq. Games);Portable Computers</v>
      </c>
      <c r="AB709" s="6" t="str">
        <v>Monitors/Terminals;Other Software (inq. Games);Mainframes &amp; Super Computers;Micro-Computers (PCs);Disk Drives;Portable Computers;Printers;Other Peripherals</v>
      </c>
    </row>
    <row r="710">
      <c r="A710" s="6" t="str">
        <v>49012C</v>
      </c>
      <c r="B710" s="6" t="str">
        <v>United States</v>
      </c>
      <c r="C710" s="6" t="str">
        <v>Instagram Inc</v>
      </c>
      <c r="D710" s="6" t="str">
        <v>Facebook Inc</v>
      </c>
      <c r="F710" s="6" t="str">
        <v>United States</v>
      </c>
      <c r="G710" s="6" t="str">
        <v>Midnox Inc</v>
      </c>
      <c r="H710" s="6" t="str">
        <v>Prepackaged Software</v>
      </c>
      <c r="I710" s="6" t="str">
        <v>5A6876</v>
      </c>
      <c r="J710" s="6" t="str">
        <v>Midnox Inc</v>
      </c>
      <c r="K710" s="6" t="str">
        <v>Midnox Inc</v>
      </c>
      <c r="L710" s="7">
        <f>=DATE(2013,8,23)</f>
        <v>41508.99949074074</v>
      </c>
      <c r="M710" s="7">
        <f>=DATE(2013,8,23)</f>
        <v>41508.99949074074</v>
      </c>
      <c r="W710" s="6" t="str">
        <v>Applications Software(Business;Computer Consulting Services;Internet Services &amp; Software;Networking Systems (LAN,WAN);Desktop Publishing;Other Computer Related Svcs;Applications Software(Home);Primary Business not Hi-Tech;Communication/Network Software;Other Software (inq. Games);Utilities/File Mgmt Software</v>
      </c>
      <c r="X710" s="6" t="str">
        <v>Other Software (inq. Games);Internet Services &amp; Software</v>
      </c>
      <c r="Y710" s="6" t="str">
        <v>Internet Services &amp; Software;Other Software (inq. Games)</v>
      </c>
      <c r="Z710" s="6" t="str">
        <v>Other Software (inq. Games);Internet Services &amp; Software</v>
      </c>
      <c r="AA710" s="6" t="str">
        <v>Internet Services &amp; Software</v>
      </c>
      <c r="AB710" s="6" t="str">
        <v>Internet Services &amp; Software</v>
      </c>
    </row>
    <row r="711">
      <c r="A711" s="6" t="str">
        <v>037833</v>
      </c>
      <c r="B711" s="6" t="str">
        <v>United States</v>
      </c>
      <c r="C711" s="6" t="str">
        <v>Apple Inc</v>
      </c>
      <c r="D711" s="6" t="str">
        <v>Apple Inc</v>
      </c>
      <c r="F711" s="6" t="str">
        <v>Sweden</v>
      </c>
      <c r="G711" s="6" t="str">
        <v>AlgoTrim AB</v>
      </c>
      <c r="H711" s="6" t="str">
        <v>Prepackaged Software</v>
      </c>
      <c r="I711" s="6" t="str">
        <v>5A7569</v>
      </c>
      <c r="J711" s="6" t="str">
        <v>AlgoTrim AB</v>
      </c>
      <c r="K711" s="6" t="str">
        <v>AlgoTrim AB</v>
      </c>
      <c r="L711" s="7">
        <f>=DATE(2013,8,28)</f>
        <v>41513.99949074074</v>
      </c>
      <c r="M711" s="7">
        <f>=DATE(2013,8,28)</f>
        <v>41513.99949074074</v>
      </c>
      <c r="W711" s="6" t="str">
        <v>Disk Drives;Micro-Computers (PCs);Other Software (inq. Games);Printers;Mainframes &amp; Super Computers;Portable Computers;Other Peripherals;Monitors/Terminals</v>
      </c>
      <c r="X711" s="6" t="str">
        <v>Applications Software(Business</v>
      </c>
      <c r="Y711" s="6" t="str">
        <v>Applications Software(Business</v>
      </c>
      <c r="Z711" s="6" t="str">
        <v>Applications Software(Business</v>
      </c>
      <c r="AA711" s="6" t="str">
        <v>Other Software (inq. Games);Other Peripherals;Monitors/Terminals;Micro-Computers (PCs);Printers;Mainframes &amp; Super Computers;Disk Drives;Portable Computers</v>
      </c>
      <c r="AB711" s="6" t="str">
        <v>Portable Computers;Printers;Monitors/Terminals;Disk Drives;Other Software (inq. Games);Mainframes &amp; Super Computers;Micro-Computers (PCs);Other Peripherals</v>
      </c>
    </row>
    <row r="712">
      <c r="A712" s="6" t="str">
        <v>38259P</v>
      </c>
      <c r="B712" s="6" t="str">
        <v>United States</v>
      </c>
      <c r="C712" s="6" t="str">
        <v>Google Inc</v>
      </c>
      <c r="D712" s="6" t="str">
        <v>Alphabet Inc</v>
      </c>
      <c r="F712" s="6" t="str">
        <v>United States</v>
      </c>
      <c r="G712" s="6" t="str">
        <v>WIMM Labs Inc</v>
      </c>
      <c r="H712" s="6" t="str">
        <v>Business Services</v>
      </c>
      <c r="I712" s="6" t="str">
        <v>5A8231</v>
      </c>
      <c r="J712" s="6" t="str">
        <v>WIMM Labs Inc</v>
      </c>
      <c r="K712" s="6" t="str">
        <v>WIMM Labs Inc</v>
      </c>
      <c r="L712" s="7">
        <f>=DATE(2013,8,30)</f>
        <v>41515.99949074074</v>
      </c>
      <c r="M712" s="7">
        <f>=DATE(2013,8,30)</f>
        <v>41515.99949074074</v>
      </c>
      <c r="W712" s="6" t="str">
        <v>Internet Services &amp; Software;Programming Services</v>
      </c>
      <c r="X712" s="6" t="str">
        <v>Programming Services;Other Computer Related Svcs;Computer Consulting Services;Applications Software(Business</v>
      </c>
      <c r="Y712" s="6" t="str">
        <v>Other Computer Related Svcs;Computer Consulting Services;Programming Services;Applications Software(Business</v>
      </c>
      <c r="Z712" s="6" t="str">
        <v>Programming Services;Other Computer Related Svcs;Computer Consulting Services;Applications Software(Business</v>
      </c>
      <c r="AA712" s="6" t="str">
        <v>Telecommunications Equipment;Primary Business not Hi-Tech;Programming Services;Computer Consulting Services;Internet Services &amp; Software</v>
      </c>
      <c r="AB712" s="6" t="str">
        <v>Telecommunications Equipment;Programming Services;Internet Services &amp; Software;Primary Business not Hi-Tech;Computer Consulting Services</v>
      </c>
    </row>
    <row r="713">
      <c r="A713" s="6" t="str">
        <v>594918</v>
      </c>
      <c r="B713" s="6" t="str">
        <v>United States</v>
      </c>
      <c r="C713" s="6" t="str">
        <v>Microsoft Corp</v>
      </c>
      <c r="D713" s="6" t="str">
        <v>Microsoft Corp</v>
      </c>
      <c r="E713" s="6" t="str">
        <v>Nokita</v>
      </c>
      <c r="F713" s="6" t="str">
        <v>Finland</v>
      </c>
      <c r="G713" s="6" t="str">
        <v>Nokia Oyj-Devices &amp; Services Business</v>
      </c>
      <c r="H713" s="6" t="str">
        <v>Communications Equipment</v>
      </c>
      <c r="I713" s="6" t="str">
        <v>5A8218</v>
      </c>
      <c r="J713" s="6" t="str">
        <v>Nokia Oyj</v>
      </c>
      <c r="K713" s="6" t="str">
        <v>Nokia Oyj</v>
      </c>
      <c r="L713" s="7">
        <f>=DATE(2013,9,3)</f>
        <v>41519.99949074074</v>
      </c>
      <c r="M713" s="7">
        <f>=DATE(2014,4,25)</f>
        <v>41753.99949074074</v>
      </c>
      <c r="N713" s="8">
        <v>4991.04509060261</v>
      </c>
      <c r="O713" s="8">
        <v>4991.04509060261</v>
      </c>
      <c r="W713" s="6" t="str">
        <v>Internet Services &amp; Software;Operating Systems;Other Peripherals;Monitors/Terminals;Applications Software(Business;Computer Consulting Services</v>
      </c>
      <c r="X713" s="6" t="str">
        <v>Communication/Network Software;Telephone Interconnect Equip;Internet Services &amp; Software;Satellite Communications;Other Software (inq. Games);Other Telecommunications Equip</v>
      </c>
      <c r="Y713" s="6" t="str">
        <v>Telephone Interconnect Equip;Other Software (inq. Games);Communication/Network Software;Internet Services &amp; Software;Satellite Communications;Other Telecommunications Equip</v>
      </c>
      <c r="Z713" s="6" t="str">
        <v>Other Telecommunications Equip;Internet Services &amp; Software;Telephone Interconnect Equip;Satellite Communications;Communication/Network Software;Other Software (inq. Games)</v>
      </c>
      <c r="AA713" s="6" t="str">
        <v>Internet Services &amp; Software;Computer Consulting Services;Other Peripherals;Applications Software(Business;Operating Systems;Monitors/Terminals</v>
      </c>
      <c r="AB713" s="6" t="str">
        <v>Internet Services &amp; Software;Operating Systems;Applications Software(Business;Monitors/Terminals;Computer Consulting Services;Other Peripherals</v>
      </c>
      <c r="AC713" s="8">
        <v>4991.04509060261</v>
      </c>
      <c r="AD713" s="7">
        <f>=DATE(2013,9,3)</f>
        <v>41519.99949074074</v>
      </c>
      <c r="AJ713" s="8" t="str">
        <v>4,991.05</v>
      </c>
      <c r="AK713" s="6" t="str">
        <v>Euro</v>
      </c>
      <c r="AL713" s="8">
        <v>4991.04509060261</v>
      </c>
    </row>
    <row r="714">
      <c r="A714" s="6" t="str">
        <v>38259P</v>
      </c>
      <c r="B714" s="6" t="str">
        <v>United States</v>
      </c>
      <c r="C714" s="6" t="str">
        <v>Google Inc</v>
      </c>
      <c r="D714" s="6" t="str">
        <v>Alphabet Inc</v>
      </c>
      <c r="F714" s="6" t="str">
        <v>United States</v>
      </c>
      <c r="G714" s="6" t="str">
        <v>Bump Technologies Inc</v>
      </c>
      <c r="H714" s="6" t="str">
        <v>Prepackaged Software</v>
      </c>
      <c r="I714" s="6" t="str">
        <v>6A1283</v>
      </c>
      <c r="J714" s="6" t="str">
        <v>Bump Technologies Inc</v>
      </c>
      <c r="K714" s="6" t="str">
        <v>Bump Technologies Inc</v>
      </c>
      <c r="L714" s="7">
        <f>=DATE(2013,9,16)</f>
        <v>41532.99949074074</v>
      </c>
      <c r="M714" s="7">
        <f>=DATE(2013,9,16)</f>
        <v>41532.99949074074</v>
      </c>
      <c r="W714" s="6" t="str">
        <v>Programming Services;Internet Services &amp; Software</v>
      </c>
      <c r="X714" s="6" t="str">
        <v>Other Software (inq. Games);Applications Software(Home)</v>
      </c>
      <c r="Y714" s="6" t="str">
        <v>Applications Software(Home);Other Software (inq. Games)</v>
      </c>
      <c r="Z714" s="6" t="str">
        <v>Other Software (inq. Games);Applications Software(Home)</v>
      </c>
      <c r="AA714" s="6" t="str">
        <v>Internet Services &amp; Software;Telecommunications Equipment;Computer Consulting Services;Programming Services;Primary Business not Hi-Tech</v>
      </c>
      <c r="AB714" s="6" t="str">
        <v>Computer Consulting Services;Programming Services;Telecommunications Equipment;Internet Services &amp; Software;Primary Business not Hi-Tech</v>
      </c>
    </row>
    <row r="715">
      <c r="A715" s="6" t="str">
        <v>594918</v>
      </c>
      <c r="B715" s="6" t="str">
        <v>United States</v>
      </c>
      <c r="C715" s="6" t="str">
        <v>Microsoft Corp</v>
      </c>
      <c r="D715" s="6" t="str">
        <v>Microsoft Corp</v>
      </c>
      <c r="F715" s="6" t="str">
        <v>United States</v>
      </c>
      <c r="G715" s="6" t="str">
        <v>Microsoft Corp</v>
      </c>
      <c r="H715" s="6" t="str">
        <v>Prepackaged Software</v>
      </c>
      <c r="I715" s="6" t="str">
        <v>594918</v>
      </c>
      <c r="J715" s="6" t="str">
        <v>Microsoft Corp</v>
      </c>
      <c r="K715" s="6" t="str">
        <v>Microsoft Corp</v>
      </c>
      <c r="L715" s="7">
        <f>=DATE(2013,9,17)</f>
        <v>41533.99949074074</v>
      </c>
      <c r="M715" s="7">
        <f>=DATE(2016,12,22)</f>
        <v>42725.99949074074</v>
      </c>
      <c r="N715" s="8">
        <v>40000</v>
      </c>
      <c r="O715" s="8">
        <v>40000</v>
      </c>
      <c r="P715" s="8" t="str">
        <v>314,446.10</v>
      </c>
      <c r="R715" s="8">
        <v>21863</v>
      </c>
      <c r="S715" s="8">
        <v>77849</v>
      </c>
      <c r="T715" s="8">
        <v>-8148</v>
      </c>
      <c r="U715" s="8">
        <v>-23811</v>
      </c>
      <c r="V715" s="8">
        <v>28833</v>
      </c>
      <c r="W715" s="6" t="str">
        <v>Internet Services &amp; Software;Monitors/Terminals;Operating Systems;Applications Software(Business;Other Peripherals;Computer Consulting Services</v>
      </c>
      <c r="X715" s="6" t="str">
        <v>Monitors/Terminals;Applications Software(Business;Computer Consulting Services;Operating Systems;Internet Services &amp; Software;Other Peripherals</v>
      </c>
      <c r="Y715" s="6" t="str">
        <v>Operating Systems;Internet Services &amp; Software;Computer Consulting Services;Other Peripherals;Monitors/Terminals;Applications Software(Business</v>
      </c>
      <c r="Z715" s="6" t="str">
        <v>Other Peripherals;Monitors/Terminals;Computer Consulting Services;Operating Systems;Internet Services &amp; Software;Applications Software(Business</v>
      </c>
      <c r="AA715" s="6" t="str">
        <v>Other Peripherals;Computer Consulting Services;Operating Systems;Applications Software(Business;Monitors/Terminals;Internet Services &amp; Software</v>
      </c>
      <c r="AB715" s="6" t="str">
        <v>Applications Software(Business;Other Peripherals;Monitors/Terminals;Internet Services &amp; Software;Operating Systems;Computer Consulting Services</v>
      </c>
      <c r="AC715" s="8">
        <v>40000</v>
      </c>
      <c r="AD715" s="7">
        <f>=DATE(2013,9,17)</f>
        <v>41533.99949074074</v>
      </c>
      <c r="AF715" s="8" t="str">
        <v>314,446.10</v>
      </c>
      <c r="AG715" s="8" t="str">
        <v>314,446.10</v>
      </c>
      <c r="AH715" s="8" t="str">
        <v>375,621.10</v>
      </c>
      <c r="AI715" s="8" t="str">
        <v>375,621.10</v>
      </c>
      <c r="AJ715" s="8" t="str">
        <v>40,000.00</v>
      </c>
      <c r="AK715" s="6" t="str">
        <v>US Dollar</v>
      </c>
      <c r="AL715" s="8">
        <v>40000</v>
      </c>
    </row>
    <row r="716">
      <c r="A716" s="6" t="str">
        <v>07573T</v>
      </c>
      <c r="B716" s="6" t="str">
        <v>United States</v>
      </c>
      <c r="C716" s="6" t="str">
        <v>Beats Electronics LLC</v>
      </c>
      <c r="D716" s="6" t="str">
        <v>Beats Electronics LLC</v>
      </c>
      <c r="F716" s="6" t="str">
        <v>United States</v>
      </c>
      <c r="G716" s="6" t="str">
        <v>Beats Electronics LLC</v>
      </c>
      <c r="H716" s="6" t="str">
        <v>Electronic and Electrical Equipment</v>
      </c>
      <c r="I716" s="6" t="str">
        <v>07573T</v>
      </c>
      <c r="J716" s="6" t="str">
        <v>Beats Electronics LLC</v>
      </c>
      <c r="K716" s="6" t="str">
        <v>Beats Electronics LLC</v>
      </c>
      <c r="L716" s="7">
        <f>=DATE(2013,9,27)</f>
        <v>41543.99949074074</v>
      </c>
      <c r="N716" s="8">
        <v>265</v>
      </c>
      <c r="O716" s="8">
        <v>265</v>
      </c>
      <c r="W716" s="6" t="str">
        <v>Other Peripherals</v>
      </c>
      <c r="X716" s="6" t="str">
        <v>Other Peripherals</v>
      </c>
      <c r="Y716" s="6" t="str">
        <v>Other Peripherals</v>
      </c>
      <c r="Z716" s="6" t="str">
        <v>Other Peripherals</v>
      </c>
      <c r="AA716" s="6" t="str">
        <v>Other Peripherals</v>
      </c>
      <c r="AB716" s="6" t="str">
        <v>Other Peripherals</v>
      </c>
      <c r="AC716" s="8">
        <v>265</v>
      </c>
      <c r="AD716" s="7">
        <f>=DATE(2013,9,27)</f>
        <v>41543.99949074074</v>
      </c>
      <c r="AJ716" s="8" t="str">
        <v>265.00</v>
      </c>
      <c r="AK716" s="6" t="str">
        <v>US Dollar</v>
      </c>
      <c r="AL716" s="8">
        <v>265</v>
      </c>
    </row>
    <row r="717">
      <c r="A717" s="6" t="str">
        <v>38259P</v>
      </c>
      <c r="B717" s="6" t="str">
        <v>United States</v>
      </c>
      <c r="C717" s="6" t="str">
        <v>Google Inc</v>
      </c>
      <c r="D717" s="6" t="str">
        <v>Alphabet Inc</v>
      </c>
      <c r="F717" s="6" t="str">
        <v>United States</v>
      </c>
      <c r="G717" s="6" t="str">
        <v>Flutter Inc</v>
      </c>
      <c r="H717" s="6" t="str">
        <v>Prepackaged Software</v>
      </c>
      <c r="I717" s="6" t="str">
        <v>6A4815</v>
      </c>
      <c r="J717" s="6" t="str">
        <v>Flutter Inc</v>
      </c>
      <c r="K717" s="6" t="str">
        <v>Flutter Inc</v>
      </c>
      <c r="L717" s="7">
        <f>=DATE(2013,10,2)</f>
        <v>41548.99949074074</v>
      </c>
      <c r="M717" s="7">
        <f>=DATE(2013,10,2)</f>
        <v>41548.99949074074</v>
      </c>
      <c r="W717" s="6" t="str">
        <v>Internet Services &amp; Software;Programming Services</v>
      </c>
      <c r="X717" s="6" t="str">
        <v>Applications Software(Business</v>
      </c>
      <c r="Y717" s="6" t="str">
        <v>Applications Software(Business</v>
      </c>
      <c r="Z717" s="6" t="str">
        <v>Applications Software(Business</v>
      </c>
      <c r="AA717" s="6" t="str">
        <v>Internet Services &amp; Software;Computer Consulting Services;Telecommunications Equipment;Primary Business not Hi-Tech;Programming Services</v>
      </c>
      <c r="AB717" s="6" t="str">
        <v>Telecommunications Equipment;Primary Business not Hi-Tech;Programming Services;Internet Services &amp; Software;Computer Consulting Services</v>
      </c>
    </row>
    <row r="718">
      <c r="A718" s="6" t="str">
        <v>38259P</v>
      </c>
      <c r="B718" s="6" t="str">
        <v>United States</v>
      </c>
      <c r="C718" s="6" t="str">
        <v>Google Inc</v>
      </c>
      <c r="D718" s="6" t="str">
        <v>Alphabet Inc</v>
      </c>
      <c r="F718" s="6" t="str">
        <v>United States</v>
      </c>
      <c r="G718" s="6" t="str">
        <v>Bot Square Inc</v>
      </c>
      <c r="H718" s="6" t="str">
        <v>Prepackaged Software</v>
      </c>
      <c r="I718" s="6" t="str">
        <v>8A0518</v>
      </c>
      <c r="J718" s="6" t="str">
        <v>Bot Square Inc</v>
      </c>
      <c r="K718" s="6" t="str">
        <v>Bot Square Inc</v>
      </c>
      <c r="L718" s="7">
        <f>=DATE(2013,10,2)</f>
        <v>41548.99949074074</v>
      </c>
      <c r="M718" s="7">
        <f>=DATE(2013,10,2)</f>
        <v>41548.99949074074</v>
      </c>
      <c r="W718" s="6" t="str">
        <v>Internet Services &amp; Software;Programming Services</v>
      </c>
      <c r="X718" s="6" t="str">
        <v>Communication/Network Software;Internet Services &amp; Software</v>
      </c>
      <c r="Y718" s="6" t="str">
        <v>Communication/Network Software;Internet Services &amp; Software</v>
      </c>
      <c r="Z718" s="6" t="str">
        <v>Communication/Network Software;Internet Services &amp; Software</v>
      </c>
      <c r="AA718" s="6" t="str">
        <v>Programming Services;Telecommunications Equipment;Computer Consulting Services;Internet Services &amp; Software;Primary Business not Hi-Tech</v>
      </c>
      <c r="AB718" s="6" t="str">
        <v>Computer Consulting Services;Telecommunications Equipment;Internet Services &amp; Software;Programming Services;Primary Business not Hi-Tech</v>
      </c>
    </row>
    <row r="719">
      <c r="A719" s="6" t="str">
        <v>037833</v>
      </c>
      <c r="B719" s="6" t="str">
        <v>United States</v>
      </c>
      <c r="C719" s="6" t="str">
        <v>Apple Inc</v>
      </c>
      <c r="D719" s="6" t="str">
        <v>Apple Inc</v>
      </c>
      <c r="F719" s="6" t="str">
        <v>United States</v>
      </c>
      <c r="G719" s="6" t="str">
        <v>Cue</v>
      </c>
      <c r="H719" s="6" t="str">
        <v>Prepackaged Software</v>
      </c>
      <c r="I719" s="6" t="str">
        <v>6A5017</v>
      </c>
      <c r="J719" s="6" t="str">
        <v>Cue</v>
      </c>
      <c r="K719" s="6" t="str">
        <v>Cue</v>
      </c>
      <c r="L719" s="7">
        <f>=DATE(2013,10,3)</f>
        <v>41549.99949074074</v>
      </c>
      <c r="M719" s="7">
        <f>=DATE(2013,10,3)</f>
        <v>41549.99949074074</v>
      </c>
      <c r="N719" s="8">
        <v>40</v>
      </c>
      <c r="O719" s="8">
        <v>40</v>
      </c>
      <c r="W719" s="6" t="str">
        <v>Mainframes &amp; Super Computers;Disk Drives;Other Peripherals;Printers;Portable Computers;Monitors/Terminals;Other Software (inq. Games);Micro-Computers (PCs)</v>
      </c>
      <c r="X719" s="6" t="str">
        <v>Applications Software(Business</v>
      </c>
      <c r="Y719" s="6" t="str">
        <v>Applications Software(Business</v>
      </c>
      <c r="Z719" s="6" t="str">
        <v>Applications Software(Business</v>
      </c>
      <c r="AA719" s="6" t="str">
        <v>Other Software (inq. Games);Micro-Computers (PCs);Printers;Mainframes &amp; Super Computers;Other Peripherals;Portable Computers;Monitors/Terminals;Disk Drives</v>
      </c>
      <c r="AB719" s="6" t="str">
        <v>Micro-Computers (PCs);Mainframes &amp; Super Computers;Printers;Monitors/Terminals;Other Software (inq. Games);Disk Drives;Other Peripherals;Portable Computers</v>
      </c>
      <c r="AC719" s="8">
        <v>40</v>
      </c>
      <c r="AD719" s="7">
        <f>=DATE(2013,10,3)</f>
        <v>41549.99949074074</v>
      </c>
      <c r="AJ719" s="8" t="str">
        <v>40.00</v>
      </c>
      <c r="AK719" s="6" t="str">
        <v>US Dollar</v>
      </c>
      <c r="AL719" s="8">
        <v>40</v>
      </c>
    </row>
    <row r="720">
      <c r="A720" s="6" t="str">
        <v>67020Y</v>
      </c>
      <c r="B720" s="6" t="str">
        <v>United States</v>
      </c>
      <c r="C720" s="6" t="str">
        <v>Nuance Communications Inc</v>
      </c>
      <c r="D720" s="6" t="str">
        <v>Nuance Communications Inc</v>
      </c>
      <c r="F720" s="6" t="str">
        <v>United States</v>
      </c>
      <c r="G720" s="6" t="str">
        <v>Varolii Corp</v>
      </c>
      <c r="H720" s="6" t="str">
        <v>Prepackaged Software</v>
      </c>
      <c r="I720" s="6" t="str">
        <v>92389V</v>
      </c>
      <c r="J720" s="6" t="str">
        <v>Varolii Corp</v>
      </c>
      <c r="K720" s="6" t="str">
        <v>Varolii Corp</v>
      </c>
      <c r="L720" s="7">
        <f>=DATE(2013,10,10)</f>
        <v>41556.99949074074</v>
      </c>
      <c r="W720" s="6" t="str">
        <v>Internet Services &amp; Software;Communication/Network Software;Other Computer Related Svcs;Programming Services;Networking Systems (LAN,WAN);Desktop Publishing;Applications Software(Business;Database Software/Programming;Computer Consulting Services;Primary Business not Hi-Tech;Other Software (inq. Games);Utilities/File Mgmt Software;Applications Software(Home)</v>
      </c>
      <c r="X720" s="6" t="str">
        <v>Applications Software(Business</v>
      </c>
      <c r="Y720" s="6" t="str">
        <v>Applications Software(Business</v>
      </c>
      <c r="Z720" s="6" t="str">
        <v>Applications Software(Business</v>
      </c>
      <c r="AA720" s="6" t="str">
        <v>Applications Software(Home);Applications Software(Business;Desktop Publishing;Primary Business not Hi-Tech;Utilities/File Mgmt Software;Database Software/Programming;Computer Consulting Services;Communication/Network Software;Programming Services;Internet Services &amp; Software;Other Software (inq. Games);Other Computer Related Svcs;Networking Systems (LAN,WAN)</v>
      </c>
      <c r="AB720" s="6" t="str">
        <v>Database Software/Programming;Applications Software(Business;Internet Services &amp; Software;Networking Systems (LAN,WAN);Computer Consulting Services;Other Computer Related Svcs;Utilities/File Mgmt Software;Desktop Publishing;Communication/Network Software;Applications Software(Home);Programming Services;Primary Business not Hi-Tech;Other Software (inq. Games)</v>
      </c>
    </row>
    <row r="721">
      <c r="A721" s="6" t="str">
        <v>30303M</v>
      </c>
      <c r="B721" s="6" t="str">
        <v>United States</v>
      </c>
      <c r="C721" s="6" t="str">
        <v>Facebook Inc</v>
      </c>
      <c r="D721" s="6" t="str">
        <v>Facebook Inc</v>
      </c>
      <c r="F721" s="6" t="str">
        <v>United States</v>
      </c>
      <c r="G721" s="6" t="str">
        <v>Onavo Inc</v>
      </c>
      <c r="H721" s="6" t="str">
        <v>Prepackaged Software</v>
      </c>
      <c r="I721" s="6" t="str">
        <v>6A6631</v>
      </c>
      <c r="J721" s="6" t="str">
        <v>Onavo Inc</v>
      </c>
      <c r="K721" s="6" t="str">
        <v>Onavo Inc</v>
      </c>
      <c r="L721" s="7">
        <f>=DATE(2013,10,14)</f>
        <v>41560.99949074074</v>
      </c>
      <c r="M721" s="7">
        <f>=DATE(2013,10,14)</f>
        <v>41560.99949074074</v>
      </c>
      <c r="N721" s="8">
        <v>200</v>
      </c>
      <c r="O721" s="8">
        <v>200</v>
      </c>
      <c r="W721" s="6" t="str">
        <v>Internet Services &amp; Software</v>
      </c>
      <c r="X721" s="6" t="str">
        <v>Internet Services &amp; Software;Communication/Network Software</v>
      </c>
      <c r="Y721" s="6" t="str">
        <v>Internet Services &amp; Software;Communication/Network Software</v>
      </c>
      <c r="Z721" s="6" t="str">
        <v>Internet Services &amp; Software;Communication/Network Software</v>
      </c>
      <c r="AA721" s="6" t="str">
        <v>Internet Services &amp; Software</v>
      </c>
      <c r="AB721" s="6" t="str">
        <v>Internet Services &amp; Software</v>
      </c>
      <c r="AC721" s="8">
        <v>200</v>
      </c>
      <c r="AD721" s="7">
        <f>=DATE(2014,1,14)</f>
        <v>41652.99949074074</v>
      </c>
      <c r="AJ721" s="8" t="str">
        <v>200.00</v>
      </c>
      <c r="AK721" s="6" t="str">
        <v>US Dollar</v>
      </c>
      <c r="AL721" s="8">
        <v>200</v>
      </c>
    </row>
    <row r="722">
      <c r="A722" s="6" t="str">
        <v>38259P</v>
      </c>
      <c r="B722" s="6" t="str">
        <v>United States</v>
      </c>
      <c r="C722" s="6" t="str">
        <v>Google Inc</v>
      </c>
      <c r="D722" s="6" t="str">
        <v>Alphabet Inc</v>
      </c>
      <c r="F722" s="6" t="str">
        <v>France</v>
      </c>
      <c r="G722" s="6" t="str">
        <v>FlexyCore</v>
      </c>
      <c r="H722" s="6" t="str">
        <v>Prepackaged Software</v>
      </c>
      <c r="I722" s="6" t="str">
        <v>6A8109</v>
      </c>
      <c r="J722" s="6" t="str">
        <v>FlexyCore</v>
      </c>
      <c r="K722" s="6" t="str">
        <v>FlexyCore</v>
      </c>
      <c r="L722" s="7">
        <f>=DATE(2013,10,22)</f>
        <v>41568.99949074074</v>
      </c>
      <c r="M722" s="7">
        <f>=DATE(2013,10,22)</f>
        <v>41568.99949074074</v>
      </c>
      <c r="W722" s="6" t="str">
        <v>Programming Services;Internet Services &amp; Software</v>
      </c>
      <c r="X722" s="6" t="str">
        <v>Other Software (inq. Games)</v>
      </c>
      <c r="Y722" s="6" t="str">
        <v>Other Software (inq. Games)</v>
      </c>
      <c r="Z722" s="6" t="str">
        <v>Other Software (inq. Games)</v>
      </c>
      <c r="AA722" s="6" t="str">
        <v>Programming Services;Primary Business not Hi-Tech;Internet Services &amp; Software;Telecommunications Equipment;Computer Consulting Services</v>
      </c>
      <c r="AB722" s="6" t="str">
        <v>Primary Business not Hi-Tech;Telecommunications Equipment;Internet Services &amp; Software;Computer Consulting Services;Programming Services</v>
      </c>
    </row>
    <row r="723">
      <c r="A723" s="6" t="str">
        <v>594918</v>
      </c>
      <c r="B723" s="6" t="str">
        <v>United States</v>
      </c>
      <c r="C723" s="6" t="str">
        <v>Microsoft Corp</v>
      </c>
      <c r="D723" s="6" t="str">
        <v>Microsoft Corp</v>
      </c>
      <c r="F723" s="6" t="str">
        <v>United States</v>
      </c>
      <c r="G723" s="6" t="str">
        <v>Apiphany Inc</v>
      </c>
      <c r="H723" s="6" t="str">
        <v>Prepackaged Software</v>
      </c>
      <c r="I723" s="6" t="str">
        <v>6A8345</v>
      </c>
      <c r="J723" s="6" t="str">
        <v>Apiphany Inc</v>
      </c>
      <c r="K723" s="6" t="str">
        <v>Apiphany Inc</v>
      </c>
      <c r="L723" s="7">
        <f>=DATE(2013,10,24)</f>
        <v>41570.99949074074</v>
      </c>
      <c r="M723" s="7">
        <f>=DATE(2013,10,24)</f>
        <v>41570.99949074074</v>
      </c>
      <c r="W723" s="6" t="str">
        <v>Monitors/Terminals;Applications Software(Business;Operating Systems;Internet Services &amp; Software;Other Peripherals;Computer Consulting Services</v>
      </c>
      <c r="X723" s="6" t="str">
        <v>Other Software (inq. Games)</v>
      </c>
      <c r="Y723" s="6" t="str">
        <v>Other Software (inq. Games)</v>
      </c>
      <c r="Z723" s="6" t="str">
        <v>Other Software (inq. Games)</v>
      </c>
      <c r="AA723" s="6" t="str">
        <v>Other Peripherals;Monitors/Terminals;Applications Software(Business;Operating Systems;Internet Services &amp; Software;Computer Consulting Services</v>
      </c>
      <c r="AB723" s="6" t="str">
        <v>Applications Software(Business;Other Peripherals;Internet Services &amp; Software;Operating Systems;Monitors/Terminals;Computer Consulting Services</v>
      </c>
    </row>
    <row r="724">
      <c r="A724" s="6" t="str">
        <v>30303M</v>
      </c>
      <c r="B724" s="6" t="str">
        <v>United States</v>
      </c>
      <c r="C724" s="6" t="str">
        <v>Facebook Inc</v>
      </c>
      <c r="D724" s="6" t="str">
        <v>Facebook Inc</v>
      </c>
      <c r="F724" s="6" t="str">
        <v>United States</v>
      </c>
      <c r="G724" s="6" t="str">
        <v>Snapchat Inc</v>
      </c>
      <c r="H724" s="6" t="str">
        <v>Prepackaged Software</v>
      </c>
      <c r="I724" s="6" t="str">
        <v>7A2488</v>
      </c>
      <c r="J724" s="6" t="str">
        <v>Snapchat Inc</v>
      </c>
      <c r="K724" s="6" t="str">
        <v>Snapchat Inc</v>
      </c>
      <c r="L724" s="7">
        <f>=DATE(2013,11,13)</f>
        <v>41590.99949074074</v>
      </c>
      <c r="W724" s="6" t="str">
        <v>Internet Services &amp; Software</v>
      </c>
      <c r="X724" s="6" t="str">
        <v>Applications Software(Business</v>
      </c>
      <c r="Y724" s="6" t="str">
        <v>Applications Software(Business</v>
      </c>
      <c r="Z724" s="6" t="str">
        <v>Applications Software(Business</v>
      </c>
      <c r="AA724" s="6" t="str">
        <v>Internet Services &amp; Software</v>
      </c>
      <c r="AB724" s="6" t="str">
        <v>Internet Services &amp; Software</v>
      </c>
    </row>
    <row r="725">
      <c r="A725" s="6" t="str">
        <v>037833</v>
      </c>
      <c r="B725" s="6" t="str">
        <v>United States</v>
      </c>
      <c r="C725" s="6" t="str">
        <v>Apple Inc</v>
      </c>
      <c r="D725" s="6" t="str">
        <v>Apple Inc</v>
      </c>
      <c r="F725" s="6" t="str">
        <v>Israel</v>
      </c>
      <c r="G725" s="6" t="str">
        <v>PrimeSense Ltd</v>
      </c>
      <c r="H725" s="6" t="str">
        <v>Business Services</v>
      </c>
      <c r="I725" s="6" t="str">
        <v>76607C</v>
      </c>
      <c r="J725" s="6" t="str">
        <v>PrimeSense Ltd</v>
      </c>
      <c r="K725" s="6" t="str">
        <v>PrimeSense Ltd</v>
      </c>
      <c r="L725" s="7">
        <f>=DATE(2013,11,25)</f>
        <v>41602.99949074074</v>
      </c>
      <c r="M725" s="7">
        <f>=DATE(2013,11,25)</f>
        <v>41602.99949074074</v>
      </c>
      <c r="W725" s="6" t="str">
        <v>Printers;Micro-Computers (PCs);Other Software (inq. Games);Portable Computers;Monitors/Terminals;Other Peripherals;Disk Drives;Mainframes &amp; Super Computers</v>
      </c>
      <c r="X725" s="6" t="str">
        <v>Data Processing Services;Computer Consulting Services;Other Computer Related Svcs;Other Software (inq. Games)</v>
      </c>
      <c r="Y725" s="6" t="str">
        <v>Data Processing Services;Other Computer Related Svcs;Computer Consulting Services;Other Software (inq. Games)</v>
      </c>
      <c r="Z725" s="6" t="str">
        <v>Computer Consulting Services;Other Computer Related Svcs;Data Processing Services;Other Software (inq. Games)</v>
      </c>
      <c r="AA725" s="6" t="str">
        <v>Disk Drives;Mainframes &amp; Super Computers;Other Peripherals;Printers;Other Software (inq. Games);Monitors/Terminals;Portable Computers;Micro-Computers (PCs)</v>
      </c>
      <c r="AB725" s="6" t="str">
        <v>Other Peripherals;Other Software (inq. Games);Printers;Portable Computers;Mainframes &amp; Super Computers;Disk Drives;Monitors/Terminals;Micro-Computers (PCs)</v>
      </c>
    </row>
    <row r="726">
      <c r="A726" s="6" t="str">
        <v>037833</v>
      </c>
      <c r="B726" s="6" t="str">
        <v>United States</v>
      </c>
      <c r="C726" s="6" t="str">
        <v>Apple Inc</v>
      </c>
      <c r="D726" s="6" t="str">
        <v>Apple Inc</v>
      </c>
      <c r="F726" s="6" t="str">
        <v>United States</v>
      </c>
      <c r="G726" s="6" t="str">
        <v>Topsy Labs Inc</v>
      </c>
      <c r="H726" s="6" t="str">
        <v>Business Services</v>
      </c>
      <c r="I726" s="6" t="str">
        <v>7A5601</v>
      </c>
      <c r="J726" s="6" t="str">
        <v>Topsy Labs Inc</v>
      </c>
      <c r="K726" s="6" t="str">
        <v>Topsy Labs Inc</v>
      </c>
      <c r="L726" s="7">
        <f>=DATE(2013,12,2)</f>
        <v>41609.99949074074</v>
      </c>
      <c r="M726" s="7">
        <f>=DATE(2013,12,2)</f>
        <v>41609.99949074074</v>
      </c>
      <c r="W726" s="6" t="str">
        <v>Other Software (inq. Games);Micro-Computers (PCs);Printers;Monitors/Terminals;Disk Drives;Mainframes &amp; Super Computers;Portable Computers;Other Peripherals</v>
      </c>
      <c r="X726" s="6" t="str">
        <v>Data Processing Services</v>
      </c>
      <c r="Y726" s="6" t="str">
        <v>Data Processing Services</v>
      </c>
      <c r="Z726" s="6" t="str">
        <v>Data Processing Services</v>
      </c>
      <c r="AA726" s="6" t="str">
        <v>Monitors/Terminals;Micro-Computers (PCs);Printers;Other Software (inq. Games);Other Peripherals;Disk Drives;Mainframes &amp; Super Computers;Portable Computers</v>
      </c>
      <c r="AB726" s="6" t="str">
        <v>Micro-Computers (PCs);Disk Drives;Other Peripherals;Printers;Other Software (inq. Games);Monitors/Terminals;Mainframes &amp; Super Computers;Portable Computers</v>
      </c>
    </row>
    <row r="727">
      <c r="A727" s="6" t="str">
        <v>38259P</v>
      </c>
      <c r="B727" s="6" t="str">
        <v>United States</v>
      </c>
      <c r="C727" s="6" t="str">
        <v>Google Inc</v>
      </c>
      <c r="D727" s="6" t="str">
        <v>Alphabet Inc</v>
      </c>
      <c r="F727" s="6" t="str">
        <v>United States</v>
      </c>
      <c r="G727" s="6" t="str">
        <v>Meka Robotics LLC</v>
      </c>
      <c r="H727" s="6" t="str">
        <v>Prepackaged Software</v>
      </c>
      <c r="I727" s="6" t="str">
        <v>8C6959</v>
      </c>
      <c r="J727" s="6" t="str">
        <v>Meka Robotics LLC</v>
      </c>
      <c r="K727" s="6" t="str">
        <v>Meka Robotics LLC</v>
      </c>
      <c r="L727" s="7">
        <f>=DATE(2013,12,4)</f>
        <v>41611.99949074074</v>
      </c>
      <c r="M727" s="7">
        <f>=DATE(2013,12,4)</f>
        <v>41611.99949074074</v>
      </c>
      <c r="W727" s="6" t="str">
        <v>Internet Services &amp; Software;Programming Services</v>
      </c>
      <c r="X727" s="6" t="str">
        <v>Applications Software(Business;Communication/Network Software</v>
      </c>
      <c r="Y727" s="6" t="str">
        <v>Communication/Network Software;Applications Software(Business</v>
      </c>
      <c r="Z727" s="6" t="str">
        <v>Applications Software(Business;Communication/Network Software</v>
      </c>
      <c r="AA727" s="6" t="str">
        <v>Internet Services &amp; Software;Computer Consulting Services;Telecommunications Equipment;Primary Business not Hi-Tech;Programming Services</v>
      </c>
      <c r="AB727" s="6" t="str">
        <v>Telecommunications Equipment;Internet Services &amp; Software;Programming Services;Computer Consulting Services;Primary Business not Hi-Tech</v>
      </c>
    </row>
    <row r="728">
      <c r="A728" s="6" t="str">
        <v>30303M</v>
      </c>
      <c r="B728" s="6" t="str">
        <v>United States</v>
      </c>
      <c r="C728" s="6" t="str">
        <v>Facebook Inc</v>
      </c>
      <c r="D728" s="6" t="str">
        <v>Facebook Inc</v>
      </c>
      <c r="F728" s="6" t="str">
        <v>United States</v>
      </c>
      <c r="G728" s="6" t="str">
        <v>SportStream</v>
      </c>
      <c r="H728" s="6" t="str">
        <v>Business Services</v>
      </c>
      <c r="I728" s="6" t="str">
        <v>7A9163</v>
      </c>
      <c r="J728" s="6" t="str">
        <v>SportStream</v>
      </c>
      <c r="K728" s="6" t="str">
        <v>SportStream</v>
      </c>
      <c r="L728" s="7">
        <f>=DATE(2013,12,17)</f>
        <v>41624.99949074074</v>
      </c>
      <c r="M728" s="7">
        <f>=DATE(2013,12,17)</f>
        <v>41624.99949074074</v>
      </c>
      <c r="W728" s="6" t="str">
        <v>Internet Services &amp; Software</v>
      </c>
      <c r="X728" s="6" t="str">
        <v>Internet Services &amp; Software;Networking Systems (LAN,WAN)</v>
      </c>
      <c r="Y728" s="6" t="str">
        <v>Internet Services &amp; Software;Networking Systems (LAN,WAN)</v>
      </c>
      <c r="Z728" s="6" t="str">
        <v>Networking Systems (LAN,WAN);Internet Services &amp; Software</v>
      </c>
      <c r="AA728" s="6" t="str">
        <v>Internet Services &amp; Software</v>
      </c>
      <c r="AB728" s="6" t="str">
        <v>Internet Services &amp; Software</v>
      </c>
    </row>
    <row r="729">
      <c r="A729" s="6" t="str">
        <v>023135</v>
      </c>
      <c r="B729" s="6" t="str">
        <v>United States</v>
      </c>
      <c r="C729" s="6" t="str">
        <v>Amazon.com Inc</v>
      </c>
      <c r="D729" s="6" t="str">
        <v>Amazon.com Inc</v>
      </c>
      <c r="F729" s="6" t="str">
        <v>United States</v>
      </c>
      <c r="G729" s="6" t="str">
        <v>GoPago Inc-Mobile Payment Technology Assets</v>
      </c>
      <c r="H729" s="6" t="str">
        <v>Prepackaged Software</v>
      </c>
      <c r="I729" s="6" t="str">
        <v>8C0362</v>
      </c>
      <c r="J729" s="6" t="str">
        <v>GoPago Inc</v>
      </c>
      <c r="K729" s="6" t="str">
        <v>GoPago Inc</v>
      </c>
      <c r="L729" s="7">
        <f>=DATE(2013,12,21)</f>
        <v>41628.99949074074</v>
      </c>
      <c r="M729" s="7">
        <f>=DATE(2013,12,21)</f>
        <v>41628.99949074074</v>
      </c>
      <c r="W729" s="6" t="str">
        <v>Primary Business not Hi-Tech</v>
      </c>
      <c r="X729" s="6" t="str">
        <v>Applications Software(Business</v>
      </c>
      <c r="Y729" s="6" t="str">
        <v>Applications Software(Business</v>
      </c>
      <c r="Z729" s="6" t="str">
        <v>Applications Software(Business</v>
      </c>
      <c r="AA729" s="6" t="str">
        <v>Primary Business not Hi-Tech</v>
      </c>
      <c r="AB729" s="6" t="str">
        <v>Primary Business not Hi-Tech</v>
      </c>
    </row>
    <row r="730">
      <c r="A730" s="6" t="str">
        <v>037833</v>
      </c>
      <c r="B730" s="6" t="str">
        <v>United States</v>
      </c>
      <c r="C730" s="6" t="str">
        <v>Apple Inc</v>
      </c>
      <c r="D730" s="6" t="str">
        <v>Apple Inc</v>
      </c>
      <c r="F730" s="6" t="str">
        <v>United States</v>
      </c>
      <c r="G730" s="6" t="str">
        <v>Broadmap</v>
      </c>
      <c r="H730" s="6" t="str">
        <v>Prepackaged Software</v>
      </c>
      <c r="I730" s="6" t="str">
        <v>0L2674</v>
      </c>
      <c r="J730" s="6" t="str">
        <v>Broadmap</v>
      </c>
      <c r="K730" s="6" t="str">
        <v>Broadmap</v>
      </c>
      <c r="L730" s="7">
        <f>=DATE(2013,12,23)</f>
        <v>41630.99949074074</v>
      </c>
      <c r="M730" s="7">
        <f>=DATE(2013,12,23)</f>
        <v>41630.99949074074</v>
      </c>
      <c r="W730" s="6" t="str">
        <v>Other Peripherals;Mainframes &amp; Super Computers;Printers;Disk Drives;Micro-Computers (PCs);Other Software (inq. Games);Monitors/Terminals;Portable Computers</v>
      </c>
      <c r="X730" s="6" t="str">
        <v>Applications Software(Home);Internet Services &amp; Software;Desktop Publishing;Other Software (inq. Games);Applications Software(Business;Utilities/File Mgmt Software;Communication/Network Software</v>
      </c>
      <c r="Y730" s="6" t="str">
        <v>Desktop Publishing;Other Software (inq. Games);Utilities/File Mgmt Software;Applications Software(Home);Communication/Network Software;Applications Software(Business;Internet Services &amp; Software</v>
      </c>
      <c r="Z730" s="6" t="str">
        <v>Applications Software(Business;Communication/Network Software;Desktop Publishing;Internet Services &amp; Software;Applications Software(Home);Utilities/File Mgmt Software;Other Software (inq. Games)</v>
      </c>
      <c r="AA730" s="6" t="str">
        <v>Mainframes &amp; Super Computers;Portable Computers;Monitors/Terminals;Other Software (inq. Games);Micro-Computers (PCs);Disk Drives;Other Peripherals;Printers</v>
      </c>
      <c r="AB730" s="6" t="str">
        <v>Mainframes &amp; Super Computers;Micro-Computers (PCs);Portable Computers;Other Software (inq. Games);Disk Drives;Printers;Monitors/Terminals;Other Peripherals</v>
      </c>
    </row>
    <row r="731">
      <c r="A731" s="6" t="str">
        <v>037833</v>
      </c>
      <c r="B731" s="6" t="str">
        <v>United States</v>
      </c>
      <c r="C731" s="6" t="str">
        <v>Apple Inc</v>
      </c>
      <c r="D731" s="6" t="str">
        <v>Apple Inc</v>
      </c>
      <c r="F731" s="6" t="str">
        <v>United States</v>
      </c>
      <c r="G731" s="6" t="str">
        <v>SnappyLabs</v>
      </c>
      <c r="H731" s="6" t="str">
        <v>Prepackaged Software</v>
      </c>
      <c r="I731" s="6" t="str">
        <v>8A2655</v>
      </c>
      <c r="J731" s="6" t="str">
        <v>SnappyLabs</v>
      </c>
      <c r="K731" s="6" t="str">
        <v>SnappyLabs</v>
      </c>
      <c r="L731" s="7">
        <f>=DATE(2014,1,4)</f>
        <v>41642.99949074074</v>
      </c>
      <c r="M731" s="7">
        <f>=DATE(2014,1,4)</f>
        <v>41642.99949074074</v>
      </c>
      <c r="W731" s="6" t="str">
        <v>Other Software (inq. Games);Printers;Portable Computers;Other Peripherals;Monitors/Terminals;Mainframes &amp; Super Computers;Micro-Computers (PCs);Disk Drives</v>
      </c>
      <c r="X731" s="6" t="str">
        <v>Applications Software(Business;Applications Software(Home);Communication/Network Software</v>
      </c>
      <c r="Y731" s="6" t="str">
        <v>Applications Software(Business;Communication/Network Software;Applications Software(Home)</v>
      </c>
      <c r="Z731" s="6" t="str">
        <v>Applications Software(Home);Applications Software(Business;Communication/Network Software</v>
      </c>
      <c r="AA731" s="6" t="str">
        <v>Disk Drives;Printers;Other Peripherals;Monitors/Terminals;Mainframes &amp; Super Computers;Portable Computers;Micro-Computers (PCs);Other Software (inq. Games)</v>
      </c>
      <c r="AB731" s="6" t="str">
        <v>Other Peripherals;Monitors/Terminals;Micro-Computers (PCs);Other Software (inq. Games);Disk Drives;Printers;Mainframes &amp; Super Computers;Portable Computers</v>
      </c>
    </row>
    <row r="732">
      <c r="A732" s="6" t="str">
        <v>594918</v>
      </c>
      <c r="B732" s="6" t="str">
        <v>United States</v>
      </c>
      <c r="C732" s="6" t="str">
        <v>Microsoft Corp</v>
      </c>
      <c r="D732" s="6" t="str">
        <v>Microsoft Corp</v>
      </c>
      <c r="F732" s="6" t="str">
        <v>United States</v>
      </c>
      <c r="G732" s="6" t="str">
        <v>Parature Inc</v>
      </c>
      <c r="H732" s="6" t="str">
        <v>Prepackaged Software</v>
      </c>
      <c r="I732" s="6" t="str">
        <v>69856J</v>
      </c>
      <c r="J732" s="6" t="str">
        <v>Parature Inc</v>
      </c>
      <c r="K732" s="6" t="str">
        <v>Parature Inc</v>
      </c>
      <c r="L732" s="7">
        <f>=DATE(2014,1,7)</f>
        <v>41645.99949074074</v>
      </c>
      <c r="W732" s="6" t="str">
        <v>Monitors/Terminals;Applications Software(Business;Other Peripherals;Operating Systems;Internet Services &amp; Software;Computer Consulting Services</v>
      </c>
      <c r="X732" s="6" t="str">
        <v>Internet Services &amp; Software;Communication/Network Software</v>
      </c>
      <c r="Y732" s="6" t="str">
        <v>Communication/Network Software;Internet Services &amp; Software</v>
      </c>
      <c r="Z732" s="6" t="str">
        <v>Internet Services &amp; Software;Communication/Network Software</v>
      </c>
      <c r="AA732" s="6" t="str">
        <v>Other Peripherals;Internet Services &amp; Software;Computer Consulting Services;Monitors/Terminals;Operating Systems;Applications Software(Business</v>
      </c>
      <c r="AB732" s="6" t="str">
        <v>Other Peripherals;Operating Systems;Applications Software(Business;Internet Services &amp; Software;Monitors/Terminals;Computer Consulting Services</v>
      </c>
    </row>
    <row r="733">
      <c r="A733" s="6" t="str">
        <v>30303M</v>
      </c>
      <c r="B733" s="6" t="str">
        <v>United States</v>
      </c>
      <c r="C733" s="6" t="str">
        <v>Facebook Inc</v>
      </c>
      <c r="D733" s="6" t="str">
        <v>Facebook Inc</v>
      </c>
      <c r="F733" s="6" t="str">
        <v>India</v>
      </c>
      <c r="G733" s="6" t="str">
        <v>Little Eye Software Labs Pvt Ltd</v>
      </c>
      <c r="H733" s="6" t="str">
        <v>Business Services</v>
      </c>
      <c r="I733" s="6" t="str">
        <v>8A0061</v>
      </c>
      <c r="J733" s="6" t="str">
        <v>Little Eye Software Labs Pvt Ltd</v>
      </c>
      <c r="K733" s="6" t="str">
        <v>Little Eye Software Labs Pvt Ltd</v>
      </c>
      <c r="L733" s="7">
        <f>=DATE(2014,1,8)</f>
        <v>41646.99949074074</v>
      </c>
      <c r="M733" s="7">
        <f>=DATE(2014,1,8)</f>
        <v>41646.99949074074</v>
      </c>
      <c r="W733" s="6" t="str">
        <v>Internet Services &amp; Software</v>
      </c>
      <c r="X733" s="6" t="str">
        <v>Other Computer Related Svcs;Data Processing Services;Computer Consulting Services;Other Software (inq. Games)</v>
      </c>
      <c r="Y733" s="6" t="str">
        <v>Data Processing Services;Computer Consulting Services;Other Software (inq. Games);Other Computer Related Svcs</v>
      </c>
      <c r="Z733" s="6" t="str">
        <v>Computer Consulting Services;Other Computer Related Svcs;Other Software (inq. Games);Data Processing Services</v>
      </c>
      <c r="AA733" s="6" t="str">
        <v>Internet Services &amp; Software</v>
      </c>
      <c r="AB733" s="6" t="str">
        <v>Internet Services &amp; Software</v>
      </c>
      <c r="AD733" s="7">
        <f>=DATE(2014,1,8)</f>
        <v>41646.99949074074</v>
      </c>
    </row>
    <row r="734">
      <c r="A734" s="6" t="str">
        <v>37657R</v>
      </c>
      <c r="B734" s="6" t="str">
        <v>United States</v>
      </c>
      <c r="C734" s="6" t="str">
        <v>GitHub Inc</v>
      </c>
      <c r="D734" s="6" t="str">
        <v>GitHub Inc</v>
      </c>
      <c r="F734" s="6" t="str">
        <v>United States</v>
      </c>
      <c r="G734" s="6" t="str">
        <v>Easel Inc</v>
      </c>
      <c r="H734" s="6" t="str">
        <v>Business Services</v>
      </c>
      <c r="I734" s="6" t="str">
        <v>9A2331</v>
      </c>
      <c r="J734" s="6" t="str">
        <v>Easel Inc</v>
      </c>
      <c r="K734" s="6" t="str">
        <v>Easel Inc</v>
      </c>
      <c r="L734" s="7">
        <f>=DATE(2014,1,9)</f>
        <v>41647.99949074074</v>
      </c>
      <c r="M734" s="7">
        <f>=DATE(2014,1,9)</f>
        <v>41647.99949074074</v>
      </c>
      <c r="W734" s="6" t="str">
        <v>Internet Services &amp; Software</v>
      </c>
      <c r="X734" s="6" t="str">
        <v>Internet Services &amp; Software</v>
      </c>
      <c r="Y734" s="6" t="str">
        <v>Internet Services &amp; Software</v>
      </c>
      <c r="Z734" s="6" t="str">
        <v>Internet Services &amp; Software</v>
      </c>
      <c r="AA734" s="6" t="str">
        <v>Internet Services &amp; Software</v>
      </c>
      <c r="AB734" s="6" t="str">
        <v>Internet Services &amp; Software</v>
      </c>
    </row>
    <row r="735">
      <c r="A735" s="6" t="str">
        <v>38259P</v>
      </c>
      <c r="B735" s="6" t="str">
        <v>United States</v>
      </c>
      <c r="C735" s="6" t="str">
        <v>Google Inc</v>
      </c>
      <c r="D735" s="6" t="str">
        <v>Alphabet Inc</v>
      </c>
      <c r="F735" s="6" t="str">
        <v>United States</v>
      </c>
      <c r="G735" s="6" t="str">
        <v>Nest Labs Inc</v>
      </c>
      <c r="H735" s="6" t="str">
        <v>Measuring, Medical, Photo Equipment; Clocks</v>
      </c>
      <c r="I735" s="6" t="str">
        <v>3A7443</v>
      </c>
      <c r="J735" s="6" t="str">
        <v>Nest Labs Inc</v>
      </c>
      <c r="K735" s="6" t="str">
        <v>Nest Labs Inc</v>
      </c>
      <c r="L735" s="7">
        <f>=DATE(2014,1,13)</f>
        <v>41651.99949074074</v>
      </c>
      <c r="M735" s="7">
        <f>=DATE(2014,2,7)</f>
        <v>41676.99949074074</v>
      </c>
      <c r="N735" s="8">
        <v>3200</v>
      </c>
      <c r="O735" s="8">
        <v>3200</v>
      </c>
      <c r="W735" s="6" t="str">
        <v>Programming Services;Internet Services &amp; Software</v>
      </c>
      <c r="X735" s="6" t="str">
        <v>Process Control Systems</v>
      </c>
      <c r="Y735" s="6" t="str">
        <v>Process Control Systems</v>
      </c>
      <c r="Z735" s="6" t="str">
        <v>Process Control Systems</v>
      </c>
      <c r="AA735" s="6" t="str">
        <v>Internet Services &amp; Software;Computer Consulting Services;Primary Business not Hi-Tech;Programming Services;Telecommunications Equipment</v>
      </c>
      <c r="AB735" s="6" t="str">
        <v>Computer Consulting Services;Telecommunications Equipment;Primary Business not Hi-Tech;Programming Services;Internet Services &amp; Software</v>
      </c>
      <c r="AC735" s="8">
        <v>3200</v>
      </c>
      <c r="AD735" s="7">
        <f>=DATE(2014,1,13)</f>
        <v>41651.99949074074</v>
      </c>
      <c r="AF735" s="8" t="str">
        <v>3,636.36</v>
      </c>
      <c r="AG735" s="8" t="str">
        <v>3,636.36</v>
      </c>
      <c r="AH735" s="8" t="str">
        <v>3,636.36</v>
      </c>
      <c r="AI735" s="8" t="str">
        <v>3,636.36</v>
      </c>
      <c r="AJ735" s="8" t="str">
        <v>3,200.00</v>
      </c>
      <c r="AK735" s="6" t="str">
        <v>US Dollar</v>
      </c>
      <c r="AL735" s="8">
        <v>3200</v>
      </c>
    </row>
    <row r="736">
      <c r="A736" s="6" t="str">
        <v>30303M</v>
      </c>
      <c r="B736" s="6" t="str">
        <v>United States</v>
      </c>
      <c r="C736" s="6" t="str">
        <v>Facebook Inc</v>
      </c>
      <c r="D736" s="6" t="str">
        <v>Facebook Inc</v>
      </c>
      <c r="F736" s="6" t="str">
        <v>United States</v>
      </c>
      <c r="G736" s="6" t="str">
        <v>Branch Media Inc</v>
      </c>
      <c r="H736" s="6" t="str">
        <v>Prepackaged Software</v>
      </c>
      <c r="I736" s="6" t="str">
        <v>8A4134</v>
      </c>
      <c r="J736" s="6" t="str">
        <v>Branch Media Inc</v>
      </c>
      <c r="K736" s="6" t="str">
        <v>Branch Media Inc</v>
      </c>
      <c r="L736" s="7">
        <f>=DATE(2014,1,13)</f>
        <v>41651.99949074074</v>
      </c>
      <c r="M736" s="7">
        <f>=DATE(2014,1,13)</f>
        <v>41651.99949074074</v>
      </c>
      <c r="W736" s="6" t="str">
        <v>Internet Services &amp; Software</v>
      </c>
      <c r="X736" s="6" t="str">
        <v>Applications Software(Business</v>
      </c>
      <c r="Y736" s="6" t="str">
        <v>Applications Software(Business</v>
      </c>
      <c r="Z736" s="6" t="str">
        <v>Applications Software(Business</v>
      </c>
      <c r="AA736" s="6" t="str">
        <v>Internet Services &amp; Software</v>
      </c>
      <c r="AB736" s="6" t="str">
        <v>Internet Services &amp; Software</v>
      </c>
    </row>
    <row r="737">
      <c r="A737" s="6" t="str">
        <v>38259P</v>
      </c>
      <c r="B737" s="6" t="str">
        <v>United States</v>
      </c>
      <c r="C737" s="6" t="str">
        <v>Google Inc</v>
      </c>
      <c r="D737" s="6" t="str">
        <v>Alphabet Inc</v>
      </c>
      <c r="F737" s="6" t="str">
        <v>United States</v>
      </c>
      <c r="G737" s="6" t="str">
        <v>Impermium Corp</v>
      </c>
      <c r="H737" s="6" t="str">
        <v>Prepackaged Software</v>
      </c>
      <c r="I737" s="6" t="str">
        <v>8A4823</v>
      </c>
      <c r="J737" s="6" t="str">
        <v>Impermium Corp</v>
      </c>
      <c r="K737" s="6" t="str">
        <v>Impermium Corp</v>
      </c>
      <c r="L737" s="7">
        <f>=DATE(2014,1,15)</f>
        <v>41653.99949074074</v>
      </c>
      <c r="M737" s="7">
        <f>=DATE(2014,1,15)</f>
        <v>41653.99949074074</v>
      </c>
      <c r="W737" s="6" t="str">
        <v>Internet Services &amp; Software;Programming Services</v>
      </c>
      <c r="X737" s="6" t="str">
        <v>Applications Software(Business</v>
      </c>
      <c r="Y737" s="6" t="str">
        <v>Applications Software(Business</v>
      </c>
      <c r="Z737" s="6" t="str">
        <v>Applications Software(Business</v>
      </c>
      <c r="AA737" s="6" t="str">
        <v>Telecommunications Equipment;Internet Services &amp; Software;Primary Business not Hi-Tech;Computer Consulting Services;Programming Services</v>
      </c>
      <c r="AB737" s="6" t="str">
        <v>Computer Consulting Services;Internet Services &amp; Software;Programming Services;Primary Business not Hi-Tech;Telecommunications Equipment</v>
      </c>
    </row>
    <row r="738">
      <c r="A738" s="6" t="str">
        <v>38259P</v>
      </c>
      <c r="B738" s="6" t="str">
        <v>United States</v>
      </c>
      <c r="C738" s="6" t="str">
        <v>Google Inc</v>
      </c>
      <c r="D738" s="6" t="str">
        <v>Alphabet Inc</v>
      </c>
      <c r="F738" s="6" t="str">
        <v>United Kingdom</v>
      </c>
      <c r="G738" s="6" t="str">
        <v>Deepmind Technologies Ltd</v>
      </c>
      <c r="H738" s="6" t="str">
        <v>Business Services</v>
      </c>
      <c r="I738" s="6" t="str">
        <v>8A8706</v>
      </c>
      <c r="J738" s="6" t="str">
        <v>Deepmind Technologies Ltd</v>
      </c>
      <c r="K738" s="6" t="str">
        <v>Deepmind Technologies Ltd</v>
      </c>
      <c r="L738" s="7">
        <f>=DATE(2014,1,27)</f>
        <v>41665.99949074074</v>
      </c>
      <c r="M738" s="7">
        <f>=DATE(2014,12,31)</f>
        <v>42003.99949074074</v>
      </c>
      <c r="N738" s="8">
        <v>560.049782202863</v>
      </c>
      <c r="O738" s="8">
        <v>560.049782202863</v>
      </c>
      <c r="R738" s="8">
        <v>-10.8607473386202</v>
      </c>
      <c r="W738" s="6" t="str">
        <v>Internet Services &amp; Software;Programming Services</v>
      </c>
      <c r="X738" s="6" t="str">
        <v>Computer Consulting Services;Data Processing Services</v>
      </c>
      <c r="Y738" s="6" t="str">
        <v>Computer Consulting Services;Data Processing Services</v>
      </c>
      <c r="Z738" s="6" t="str">
        <v>Data Processing Services;Computer Consulting Services</v>
      </c>
      <c r="AA738" s="6" t="str">
        <v>Programming Services;Internet Services &amp; Software;Telecommunications Equipment;Primary Business not Hi-Tech;Computer Consulting Services</v>
      </c>
      <c r="AB738" s="6" t="str">
        <v>Primary Business not Hi-Tech;Programming Services;Internet Services &amp; Software;Computer Consulting Services;Telecommunications Equipment</v>
      </c>
      <c r="AC738" s="8">
        <v>560.049782202863</v>
      </c>
      <c r="AD738" s="7">
        <f>=DATE(2014,12,31)</f>
        <v>42003.99949074074</v>
      </c>
      <c r="AJ738" s="8" t="str">
        <v>560.05</v>
      </c>
      <c r="AK738" s="6" t="str">
        <v>British Pound Sterling</v>
      </c>
      <c r="AL738" s="8">
        <v>560.049782202863</v>
      </c>
    </row>
    <row r="739">
      <c r="A739" s="6" t="str">
        <v>037833</v>
      </c>
      <c r="B739" s="6" t="str">
        <v>United States</v>
      </c>
      <c r="C739" s="6" t="str">
        <v>Apple Inc</v>
      </c>
      <c r="D739" s="6" t="str">
        <v>Apple Inc</v>
      </c>
      <c r="F739" s="6" t="str">
        <v>United States</v>
      </c>
      <c r="G739" s="6" t="str">
        <v>Apple Inc</v>
      </c>
      <c r="H739" s="6" t="str">
        <v>Computer and Office Equipment</v>
      </c>
      <c r="I739" s="6" t="str">
        <v>037833</v>
      </c>
      <c r="J739" s="6" t="str">
        <v>Apple Inc</v>
      </c>
      <c r="K739" s="6" t="str">
        <v>Apple Inc</v>
      </c>
      <c r="L739" s="7">
        <f>=DATE(2014,1,31)</f>
        <v>41669.99949074074</v>
      </c>
      <c r="M739" s="7">
        <f>=DATE(2014,12,31)</f>
        <v>42003.99949074074</v>
      </c>
      <c r="N739" s="8">
        <v>12000</v>
      </c>
      <c r="O739" s="8">
        <v>12000</v>
      </c>
      <c r="P739" s="8" t="str">
        <v>55,982.64</v>
      </c>
      <c r="R739" s="8">
        <v>37031</v>
      </c>
      <c r="S739" s="8">
        <v>173992</v>
      </c>
      <c r="T739" s="8">
        <v>-19631</v>
      </c>
      <c r="U739" s="8">
        <v>-35356</v>
      </c>
      <c r="V739" s="8">
        <v>55299</v>
      </c>
      <c r="W739" s="6" t="str">
        <v>Printers;Other Software (inq. Games);Micro-Computers (PCs);Other Peripherals;Disk Drives;Mainframes &amp; Super Computers;Portable Computers;Monitors/Terminals</v>
      </c>
      <c r="X739" s="6" t="str">
        <v>Micro-Computers (PCs);Printers;Portable Computers;Other Peripherals;Mainframes &amp; Super Computers;Other Software (inq. Games);Disk Drives;Monitors/Terminals</v>
      </c>
      <c r="Y739" s="6" t="str">
        <v>Other Software (inq. Games);Other Peripherals;Mainframes &amp; Super Computers;Micro-Computers (PCs);Monitors/Terminals;Disk Drives;Printers;Portable Computers</v>
      </c>
      <c r="Z739" s="6" t="str">
        <v>Other Software (inq. Games);Disk Drives;Monitors/Terminals;Portable Computers;Mainframes &amp; Super Computers;Printers;Other Peripherals;Micro-Computers (PCs)</v>
      </c>
      <c r="AA739" s="6" t="str">
        <v>Portable Computers;Mainframes &amp; Super Computers;Printers;Micro-Computers (PCs);Other Peripherals;Disk Drives;Monitors/Terminals;Other Software (inq. Games)</v>
      </c>
      <c r="AB739" s="6" t="str">
        <v>Disk Drives;Mainframes &amp; Super Computers;Micro-Computers (PCs);Other Software (inq. Games);Monitors/Terminals;Other Peripherals;Printers;Portable Computers</v>
      </c>
      <c r="AC739" s="8">
        <v>12000</v>
      </c>
      <c r="AD739" s="7">
        <f>=DATE(2014,1,31)</f>
        <v>41669.99949074074</v>
      </c>
      <c r="AF739" s="8" t="str">
        <v>55,982.64</v>
      </c>
      <c r="AG739" s="8" t="str">
        <v>55,982.64</v>
      </c>
      <c r="AH739" s="8" t="str">
        <v>79,732.64</v>
      </c>
      <c r="AI739" s="8" t="str">
        <v>79,732.64</v>
      </c>
      <c r="AJ739" s="8" t="str">
        <v>12,000.00</v>
      </c>
      <c r="AK739" s="6" t="str">
        <v>US Dollar</v>
      </c>
      <c r="AL739" s="8">
        <v>12000</v>
      </c>
    </row>
    <row r="740">
      <c r="A740" s="6" t="str">
        <v>594918</v>
      </c>
      <c r="B740" s="6" t="str">
        <v>United States</v>
      </c>
      <c r="C740" s="6" t="str">
        <v>Microsoft Corp</v>
      </c>
      <c r="D740" s="6" t="str">
        <v>Microsoft Corp</v>
      </c>
      <c r="F740" s="6" t="str">
        <v>United States</v>
      </c>
      <c r="G740" s="6" t="str">
        <v>Foursquare Labs Inc</v>
      </c>
      <c r="H740" s="6" t="str">
        <v>Prepackaged Software</v>
      </c>
      <c r="I740" s="6" t="str">
        <v>5A7852</v>
      </c>
      <c r="J740" s="6" t="str">
        <v>Foursquare Labs Inc</v>
      </c>
      <c r="K740" s="6" t="str">
        <v>Foursquare Labs Inc</v>
      </c>
      <c r="L740" s="7">
        <f>=DATE(2014,2,4)</f>
        <v>41673.99949074074</v>
      </c>
      <c r="M740" s="7">
        <f>=DATE(2014,2,4)</f>
        <v>41673.99949074074</v>
      </c>
      <c r="N740" s="8">
        <v>15</v>
      </c>
      <c r="O740" s="8">
        <v>15</v>
      </c>
      <c r="W740" s="6" t="str">
        <v>Monitors/Terminals;Computer Consulting Services;Applications Software(Business;Operating Systems;Internet Services &amp; Software;Other Peripherals</v>
      </c>
      <c r="X740" s="6" t="str">
        <v>Other Software (inq. Games)</v>
      </c>
      <c r="Y740" s="6" t="str">
        <v>Other Software (inq. Games)</v>
      </c>
      <c r="Z740" s="6" t="str">
        <v>Other Software (inq. Games)</v>
      </c>
      <c r="AA740" s="6" t="str">
        <v>Operating Systems;Internet Services &amp; Software;Other Peripherals;Applications Software(Business;Computer Consulting Services;Monitors/Terminals</v>
      </c>
      <c r="AB740" s="6" t="str">
        <v>Computer Consulting Services;Internet Services &amp; Software;Operating Systems;Applications Software(Business;Other Peripherals;Monitors/Terminals</v>
      </c>
      <c r="AC740" s="8">
        <v>15</v>
      </c>
      <c r="AD740" s="7">
        <f>=DATE(2014,2,4)</f>
        <v>41673.99949074074</v>
      </c>
      <c r="AJ740" s="8" t="str">
        <v>15.00</v>
      </c>
      <c r="AK740" s="6" t="str">
        <v>US Dollar</v>
      </c>
      <c r="AL740" s="8">
        <v>15</v>
      </c>
    </row>
    <row r="741">
      <c r="A741" s="6" t="str">
        <v>023135</v>
      </c>
      <c r="B741" s="6" t="str">
        <v>United States</v>
      </c>
      <c r="C741" s="6" t="str">
        <v>Amazon.com Inc</v>
      </c>
      <c r="D741" s="6" t="str">
        <v>Amazon.com Inc</v>
      </c>
      <c r="F741" s="6" t="str">
        <v>United States</v>
      </c>
      <c r="G741" s="6" t="str">
        <v>Double Helix Games LLC</v>
      </c>
      <c r="H741" s="6" t="str">
        <v>Prepackaged Software</v>
      </c>
      <c r="I741" s="6" t="str">
        <v>8A8341</v>
      </c>
      <c r="J741" s="6" t="str">
        <v>Double Helix Games LLC</v>
      </c>
      <c r="K741" s="6" t="str">
        <v>Double Helix Games LLC</v>
      </c>
      <c r="L741" s="7">
        <f>=DATE(2014,2,5)</f>
        <v>41674.99949074074</v>
      </c>
      <c r="M741" s="7">
        <f>=DATE(2014,2,5)</f>
        <v>41674.99949074074</v>
      </c>
      <c r="W741" s="6" t="str">
        <v>Primary Business not Hi-Tech</v>
      </c>
      <c r="X741" s="6" t="str">
        <v>Other Software (inq. Games)</v>
      </c>
      <c r="Y741" s="6" t="str">
        <v>Other Software (inq. Games)</v>
      </c>
      <c r="Z741" s="6" t="str">
        <v>Other Software (inq. Games)</v>
      </c>
      <c r="AA741" s="6" t="str">
        <v>Primary Business not Hi-Tech</v>
      </c>
      <c r="AB741" s="6" t="str">
        <v>Primary Business not Hi-Tech</v>
      </c>
    </row>
    <row r="742">
      <c r="A742" s="6" t="str">
        <v>53578A</v>
      </c>
      <c r="B742" s="6" t="str">
        <v>United States</v>
      </c>
      <c r="C742" s="6" t="str">
        <v>LinkedIn Corp</v>
      </c>
      <c r="D742" s="6" t="str">
        <v>LinkedIn Corp</v>
      </c>
      <c r="F742" s="6" t="str">
        <v>United States</v>
      </c>
      <c r="G742" s="6" t="str">
        <v>Bright Media Corp Inc</v>
      </c>
      <c r="H742" s="6" t="str">
        <v>Business Services</v>
      </c>
      <c r="I742" s="6" t="str">
        <v>8A8246</v>
      </c>
      <c r="J742" s="6" t="str">
        <v>Bright Media Corp Inc</v>
      </c>
      <c r="K742" s="6" t="str">
        <v>Bright Media Corp Inc</v>
      </c>
      <c r="L742" s="7">
        <f>=DATE(2014,2,6)</f>
        <v>41675.99949074074</v>
      </c>
      <c r="M742" s="7">
        <f>=DATE(2014,3,5)</f>
        <v>41702.99949074074</v>
      </c>
      <c r="N742" s="8">
        <v>120</v>
      </c>
      <c r="O742" s="8">
        <v>120</v>
      </c>
      <c r="W742" s="6" t="str">
        <v>Internet Services &amp; Software</v>
      </c>
      <c r="X742" s="6" t="str">
        <v>Primary Business not Hi-Tech;Internet Services &amp; Software</v>
      </c>
      <c r="Y742" s="6" t="str">
        <v>Primary Business not Hi-Tech;Internet Services &amp; Software</v>
      </c>
      <c r="Z742" s="6" t="str">
        <v>Primary Business not Hi-Tech;Internet Services &amp; Software</v>
      </c>
      <c r="AA742" s="6" t="str">
        <v>Internet Services &amp; Software</v>
      </c>
      <c r="AB742" s="6" t="str">
        <v>Internet Services &amp; Software</v>
      </c>
      <c r="AC742" s="8">
        <v>120</v>
      </c>
      <c r="AD742" s="7">
        <f>=DATE(2014,2,6)</f>
        <v>41675.99949074074</v>
      </c>
      <c r="AF742" s="8" t="str">
        <v>120.00</v>
      </c>
      <c r="AG742" s="8" t="str">
        <v>120.00</v>
      </c>
      <c r="AH742" s="8" t="str">
        <v>120.00</v>
      </c>
      <c r="AI742" s="8" t="str">
        <v>120.00</v>
      </c>
      <c r="AJ742" s="8" t="str">
        <v>87.60;32.40</v>
      </c>
      <c r="AK742" s="6" t="str">
        <v>US Dollar;US Dollar</v>
      </c>
      <c r="AL742" s="8">
        <v>120</v>
      </c>
    </row>
    <row r="743">
      <c r="A743" s="6" t="str">
        <v>38259P</v>
      </c>
      <c r="B743" s="6" t="str">
        <v>United States</v>
      </c>
      <c r="C743" s="6" t="str">
        <v>Google Inc</v>
      </c>
      <c r="D743" s="6" t="str">
        <v>Alphabet Inc</v>
      </c>
      <c r="F743" s="6" t="str">
        <v>Israel</v>
      </c>
      <c r="G743" s="6" t="str">
        <v>SlickLogin</v>
      </c>
      <c r="H743" s="6" t="str">
        <v>Prepackaged Software</v>
      </c>
      <c r="I743" s="6" t="str">
        <v>9A7672</v>
      </c>
      <c r="J743" s="6" t="str">
        <v>SlickLogin</v>
      </c>
      <c r="K743" s="6" t="str">
        <v>SlickLogin</v>
      </c>
      <c r="L743" s="7">
        <f>=DATE(2014,2,17)</f>
        <v>41686.99949074074</v>
      </c>
      <c r="M743" s="7">
        <f>=DATE(2014,2,17)</f>
        <v>41686.99949074074</v>
      </c>
      <c r="W743" s="6" t="str">
        <v>Internet Services &amp; Software;Programming Services</v>
      </c>
      <c r="X743" s="6" t="str">
        <v>Applications Software(Business</v>
      </c>
      <c r="Y743" s="6" t="str">
        <v>Applications Software(Business</v>
      </c>
      <c r="Z743" s="6" t="str">
        <v>Applications Software(Business</v>
      </c>
      <c r="AA743" s="6" t="str">
        <v>Computer Consulting Services;Programming Services;Internet Services &amp; Software;Primary Business not Hi-Tech;Telecommunications Equipment</v>
      </c>
      <c r="AB743" s="6" t="str">
        <v>Internet Services &amp; Software;Computer Consulting Services;Programming Services;Telecommunications Equipment;Primary Business not Hi-Tech</v>
      </c>
    </row>
    <row r="744">
      <c r="A744" s="6" t="str">
        <v>30303M</v>
      </c>
      <c r="B744" s="6" t="str">
        <v>United States</v>
      </c>
      <c r="C744" s="6" t="str">
        <v>Facebook Inc</v>
      </c>
      <c r="D744" s="6" t="str">
        <v>Facebook Inc</v>
      </c>
      <c r="F744" s="6" t="str">
        <v>United States</v>
      </c>
      <c r="G744" s="6" t="str">
        <v>WhatsApp Inc</v>
      </c>
      <c r="H744" s="6" t="str">
        <v>Prepackaged Software</v>
      </c>
      <c r="I744" s="6" t="str">
        <v>0A6710</v>
      </c>
      <c r="J744" s="6" t="str">
        <v>WhatsApp Inc</v>
      </c>
      <c r="K744" s="6" t="str">
        <v>WhatsApp Inc</v>
      </c>
      <c r="L744" s="7">
        <f>=DATE(2014,2,19)</f>
        <v>41688.99949074074</v>
      </c>
      <c r="M744" s="7">
        <f>=DATE(2014,10,6)</f>
        <v>41917.99949074074</v>
      </c>
      <c r="N744" s="8">
        <v>21332.108</v>
      </c>
      <c r="O744" s="8">
        <v>19467.709</v>
      </c>
      <c r="W744" s="6" t="str">
        <v>Internet Services &amp; Software</v>
      </c>
      <c r="X744" s="6" t="str">
        <v>Internet Services &amp; Software;Communication/Network Software</v>
      </c>
      <c r="Y744" s="6" t="str">
        <v>Internet Services &amp; Software;Communication/Network Software</v>
      </c>
      <c r="Z744" s="6" t="str">
        <v>Internet Services &amp; Software;Communication/Network Software</v>
      </c>
      <c r="AA744" s="6" t="str">
        <v>Internet Services &amp; Software</v>
      </c>
      <c r="AB744" s="6" t="str">
        <v>Internet Services &amp; Software</v>
      </c>
      <c r="AC744" s="8">
        <v>19467.709</v>
      </c>
      <c r="AD744" s="7">
        <f>=DATE(2014,2,19)</f>
        <v>41688.99949074074</v>
      </c>
      <c r="AF744" s="8" t="str">
        <v>19,467.71</v>
      </c>
      <c r="AG744" s="8" t="str">
        <v>21,332.11</v>
      </c>
      <c r="AH744" s="8" t="str">
        <v>19,467.71</v>
      </c>
      <c r="AI744" s="8" t="str">
        <v>19,467.71</v>
      </c>
      <c r="AJ744" s="8" t="str">
        <v>4,000.00;3,093.54;13,765.79</v>
      </c>
      <c r="AK744" s="6" t="str">
        <v>US Dollar;US Dollar;US Dollar</v>
      </c>
      <c r="AL744" s="8">
        <v>19467.709</v>
      </c>
    </row>
    <row r="745">
      <c r="A745" s="6" t="str">
        <v>9A0409</v>
      </c>
      <c r="B745" s="6" t="str">
        <v>United States</v>
      </c>
      <c r="C745" s="6" t="str">
        <v>Google Capital 2016 LP</v>
      </c>
      <c r="D745" s="6" t="str">
        <v>Alphabet Inc</v>
      </c>
      <c r="F745" s="6" t="str">
        <v>United States</v>
      </c>
      <c r="G745" s="6" t="str">
        <v>Renaissance Learning Inc</v>
      </c>
      <c r="H745" s="6" t="str">
        <v>Prepackaged Software</v>
      </c>
      <c r="I745" s="6" t="str">
        <v>75968L</v>
      </c>
      <c r="J745" s="6" t="str">
        <v>Permira Holdings Ltd</v>
      </c>
      <c r="K745" s="6" t="str">
        <v>Raphael Acquisition Corp</v>
      </c>
      <c r="L745" s="7">
        <f>=DATE(2014,2,19)</f>
        <v>41688.99949074074</v>
      </c>
      <c r="M745" s="7">
        <f>=DATE(2014,2,19)</f>
        <v>41688.99949074074</v>
      </c>
      <c r="N745" s="8">
        <v>40</v>
      </c>
      <c r="O745" s="8">
        <v>40</v>
      </c>
      <c r="R745" s="8">
        <v>35.258</v>
      </c>
      <c r="S745" s="8">
        <v>136.071</v>
      </c>
      <c r="T745" s="8">
        <v>-68.034</v>
      </c>
      <c r="U745" s="8">
        <v>0.642</v>
      </c>
      <c r="V745" s="8">
        <v>33.065</v>
      </c>
      <c r="W745" s="6" t="str">
        <v>Primary Business not Hi-Tech</v>
      </c>
      <c r="X745" s="6" t="str">
        <v>Other Software (inq. Games)</v>
      </c>
      <c r="Y745" s="6" t="str">
        <v>Primary Business not Hi-Tech</v>
      </c>
      <c r="Z745" s="6" t="str">
        <v>Primary Business not Hi-Tech</v>
      </c>
      <c r="AA745" s="6" t="str">
        <v>Programming Services;Internet Services &amp; Software</v>
      </c>
      <c r="AB745" s="6" t="str">
        <v>Primary Business not Hi-Tech;Programming Services;Internet Services &amp; Software;Computer Consulting Services;Telecommunications Equipment</v>
      </c>
      <c r="AC745" s="8">
        <v>40</v>
      </c>
      <c r="AD745" s="7">
        <f>=DATE(2014,2,20)</f>
        <v>41689.99949074074</v>
      </c>
      <c r="AJ745" s="8" t="str">
        <v>40.00</v>
      </c>
      <c r="AK745" s="6" t="str">
        <v>US Dollar</v>
      </c>
      <c r="AL745" s="8">
        <v>40</v>
      </c>
    </row>
    <row r="746">
      <c r="A746" s="6" t="str">
        <v>037833</v>
      </c>
      <c r="B746" s="6" t="str">
        <v>United States</v>
      </c>
      <c r="C746" s="6" t="str">
        <v>Apple Inc</v>
      </c>
      <c r="D746" s="6" t="str">
        <v>Apple Inc</v>
      </c>
      <c r="F746" s="6" t="str">
        <v>United States</v>
      </c>
      <c r="G746" s="6" t="str">
        <v>Burstly Inc</v>
      </c>
      <c r="H746" s="6" t="str">
        <v>Business Services</v>
      </c>
      <c r="I746" s="6" t="str">
        <v>12079J</v>
      </c>
      <c r="J746" s="6" t="str">
        <v>Burstly Inc</v>
      </c>
      <c r="K746" s="6" t="str">
        <v>Burstly Inc</v>
      </c>
      <c r="L746" s="7">
        <f>=DATE(2014,2,21)</f>
        <v>41690.99949074074</v>
      </c>
      <c r="M746" s="7">
        <f>=DATE(2014,2,21)</f>
        <v>41690.99949074074</v>
      </c>
      <c r="W746" s="6" t="str">
        <v>Portable Computers;Printers;Other Software (inq. Games);Disk Drives;Other Peripherals;Monitors/Terminals;Mainframes &amp; Super Computers;Micro-Computers (PCs)</v>
      </c>
      <c r="X746" s="6" t="str">
        <v>Other Computer Related Svcs;Internet Services &amp; Software;Data Processing Services</v>
      </c>
      <c r="Y746" s="6" t="str">
        <v>Internet Services &amp; Software;Other Computer Related Svcs;Data Processing Services</v>
      </c>
      <c r="Z746" s="6" t="str">
        <v>Data Processing Services;Other Computer Related Svcs;Internet Services &amp; Software</v>
      </c>
      <c r="AA746" s="6" t="str">
        <v>Disk Drives;Micro-Computers (PCs);Monitors/Terminals;Portable Computers;Other Peripherals;Printers;Mainframes &amp; Super Computers;Other Software (inq. Games)</v>
      </c>
      <c r="AB746" s="6" t="str">
        <v>Disk Drives;Portable Computers;Monitors/Terminals;Micro-Computers (PCs);Printers;Other Peripherals;Other Software (inq. Games);Mainframes &amp; Super Computers</v>
      </c>
    </row>
    <row r="747">
      <c r="A747" s="6" t="str">
        <v>67020Y</v>
      </c>
      <c r="B747" s="6" t="str">
        <v>United States</v>
      </c>
      <c r="C747" s="6" t="str">
        <v>Nuance Communications Inc</v>
      </c>
      <c r="D747" s="6" t="str">
        <v>Nuance Communications Inc</v>
      </c>
      <c r="F747" s="6" t="str">
        <v>United States</v>
      </c>
      <c r="G747" s="6" t="str">
        <v>Conant &amp; Associates Inc</v>
      </c>
      <c r="H747" s="6" t="str">
        <v>Prepackaged Software</v>
      </c>
      <c r="I747" s="6" t="str">
        <v>5C3639</v>
      </c>
      <c r="J747" s="6" t="str">
        <v>Conant &amp; Associates Inc</v>
      </c>
      <c r="K747" s="6" t="str">
        <v>Conant &amp; Associates Inc</v>
      </c>
      <c r="L747" s="7">
        <f>=DATE(2014,2,21)</f>
        <v>41690.99949074074</v>
      </c>
      <c r="M747" s="7">
        <f>=DATE(2014,2,21)</f>
        <v>41690.99949074074</v>
      </c>
      <c r="W747" s="6" t="str">
        <v>Database Software/Programming;Internet Services &amp; Software;Primary Business not Hi-Tech;Computer Consulting Services;Other Computer Related Svcs;Networking Systems (LAN,WAN);Other Software (inq. Games);Applications Software(Home);Utilities/File Mgmt Software;Communication/Network Software;Programming Services;Applications Software(Business;Desktop Publishing</v>
      </c>
      <c r="X747" s="6" t="str">
        <v>Other Software (inq. Games);Computer Consulting Services;Data Processing Services;Other Computer Related Svcs</v>
      </c>
      <c r="Y747" s="6" t="str">
        <v>Other Software (inq. Games);Other Computer Related Svcs;Data Processing Services;Computer Consulting Services</v>
      </c>
      <c r="Z747" s="6" t="str">
        <v>Other Software (inq. Games);Computer Consulting Services;Data Processing Services;Other Computer Related Svcs</v>
      </c>
      <c r="AA747" s="6" t="str">
        <v>Programming Services;Applications Software(Business;Desktop Publishing;Utilities/File Mgmt Software;Applications Software(Home);Other Software (inq. Games);Database Software/Programming;Other Computer Related Svcs;Computer Consulting Services;Networking Systems (LAN,WAN);Primary Business not Hi-Tech;Communication/Network Software;Internet Services &amp; Software</v>
      </c>
      <c r="AB747" s="6" t="str">
        <v>Applications Software(Home);Utilities/File Mgmt Software;Primary Business not Hi-Tech;Other Computer Related Svcs;Communication/Network Software;Computer Consulting Services;Desktop Publishing;Other Software (inq. Games);Programming Services;Internet Services &amp; Software;Database Software/Programming;Networking Systems (LAN,WAN);Applications Software(Business</v>
      </c>
    </row>
    <row r="748">
      <c r="A748" s="6" t="str">
        <v>30303M</v>
      </c>
      <c r="B748" s="6" t="str">
        <v>United States</v>
      </c>
      <c r="C748" s="6" t="str">
        <v>Facebook Inc</v>
      </c>
      <c r="D748" s="6" t="str">
        <v>Facebook Inc</v>
      </c>
      <c r="F748" s="6" t="str">
        <v>United States</v>
      </c>
      <c r="G748" s="6" t="str">
        <v>Titan Aerospace</v>
      </c>
      <c r="H748" s="6" t="str">
        <v>Metal and Metal Products</v>
      </c>
      <c r="I748" s="6" t="str">
        <v>9A2289</v>
      </c>
      <c r="J748" s="6" t="str">
        <v>Titan Aerospace</v>
      </c>
      <c r="K748" s="6" t="str">
        <v>Titan Aerospace</v>
      </c>
      <c r="L748" s="7">
        <f>=DATE(2014,3,3)</f>
        <v>41700.99949074074</v>
      </c>
      <c r="W748" s="6" t="str">
        <v>Internet Services &amp; Software</v>
      </c>
      <c r="X748" s="6" t="str">
        <v>Robotics</v>
      </c>
      <c r="Y748" s="6" t="str">
        <v>Robotics</v>
      </c>
      <c r="Z748" s="6" t="str">
        <v>Robotics</v>
      </c>
      <c r="AA748" s="6" t="str">
        <v>Internet Services &amp; Software</v>
      </c>
      <c r="AB748" s="6" t="str">
        <v>Internet Services &amp; Software</v>
      </c>
    </row>
    <row r="749">
      <c r="A749" s="6" t="str">
        <v>9A2486</v>
      </c>
      <c r="B749" s="6" t="str">
        <v>United States</v>
      </c>
      <c r="C749" s="6" t="str">
        <v>Beats Music LLC</v>
      </c>
      <c r="D749" s="6" t="str">
        <v>Beats Electronics LLC</v>
      </c>
      <c r="F749" s="6" t="str">
        <v>United States</v>
      </c>
      <c r="G749" s="6" t="str">
        <v>TopSpin Media Inc</v>
      </c>
      <c r="H749" s="6" t="str">
        <v>Prepackaged Software</v>
      </c>
      <c r="I749" s="6" t="str">
        <v>9A2476</v>
      </c>
      <c r="J749" s="6" t="str">
        <v>TopSpin Media Inc</v>
      </c>
      <c r="K749" s="6" t="str">
        <v>TopSpin Media Inc</v>
      </c>
      <c r="L749" s="7">
        <f>=DATE(2014,3,4)</f>
        <v>41701.99949074074</v>
      </c>
      <c r="M749" s="7">
        <f>=DATE(2014,3,4)</f>
        <v>41701.99949074074</v>
      </c>
      <c r="W749" s="6" t="str">
        <v>Primary Business not Hi-Tech;Internet Services &amp; Software</v>
      </c>
      <c r="X749" s="6" t="str">
        <v>Applications Software(Business</v>
      </c>
      <c r="Y749" s="6" t="str">
        <v>Applications Software(Business</v>
      </c>
      <c r="Z749" s="6" t="str">
        <v>Applications Software(Business</v>
      </c>
      <c r="AA749" s="6" t="str">
        <v>Other Peripherals</v>
      </c>
      <c r="AB749" s="6" t="str">
        <v>Other Peripherals</v>
      </c>
    </row>
    <row r="750">
      <c r="A750" s="6" t="str">
        <v>38259P</v>
      </c>
      <c r="B750" s="6" t="str">
        <v>United States</v>
      </c>
      <c r="C750" s="6" t="str">
        <v>Google Inc</v>
      </c>
      <c r="D750" s="6" t="str">
        <v>Alphabet Inc</v>
      </c>
      <c r="F750" s="6" t="str">
        <v>United States</v>
      </c>
      <c r="G750" s="6" t="str">
        <v>Green Throttle Games</v>
      </c>
      <c r="H750" s="6" t="str">
        <v>Prepackaged Software</v>
      </c>
      <c r="I750" s="6" t="str">
        <v>9A4113</v>
      </c>
      <c r="J750" s="6" t="str">
        <v>Green Throttle Games</v>
      </c>
      <c r="K750" s="6" t="str">
        <v>Green Throttle Games</v>
      </c>
      <c r="L750" s="7">
        <f>=DATE(2014,3,12)</f>
        <v>41709.99949074074</v>
      </c>
      <c r="M750" s="7">
        <f>=DATE(2014,3,12)</f>
        <v>41709.99949074074</v>
      </c>
      <c r="W750" s="6" t="str">
        <v>Programming Services;Internet Services &amp; Software</v>
      </c>
      <c r="X750" s="6" t="str">
        <v>Other Software (inq. Games);Applications Software(Business</v>
      </c>
      <c r="Y750" s="6" t="str">
        <v>Applications Software(Business;Other Software (inq. Games)</v>
      </c>
      <c r="Z750" s="6" t="str">
        <v>Other Software (inq. Games);Applications Software(Business</v>
      </c>
      <c r="AA750" s="6" t="str">
        <v>Internet Services &amp; Software;Primary Business not Hi-Tech;Telecommunications Equipment;Programming Services;Computer Consulting Services</v>
      </c>
      <c r="AB750" s="6" t="str">
        <v>Programming Services;Primary Business not Hi-Tech;Computer Consulting Services;Internet Services &amp; Software;Telecommunications Equipment</v>
      </c>
    </row>
    <row r="751">
      <c r="A751" s="6" t="str">
        <v>30303M</v>
      </c>
      <c r="B751" s="6" t="str">
        <v>United States</v>
      </c>
      <c r="C751" s="6" t="str">
        <v>Facebook Inc</v>
      </c>
      <c r="D751" s="6" t="str">
        <v>Facebook Inc</v>
      </c>
      <c r="F751" s="6" t="str">
        <v>United States</v>
      </c>
      <c r="G751" s="6" t="str">
        <v>Oculus VR Inc</v>
      </c>
      <c r="H751" s="6" t="str">
        <v>Prepackaged Software</v>
      </c>
      <c r="I751" s="6" t="str">
        <v>9A6770</v>
      </c>
      <c r="J751" s="6" t="str">
        <v>Oculus VR Inc</v>
      </c>
      <c r="K751" s="6" t="str">
        <v>Oculus VR Inc</v>
      </c>
      <c r="L751" s="7">
        <f>=DATE(2014,3,25)</f>
        <v>41722.99949074074</v>
      </c>
      <c r="M751" s="7">
        <f>=DATE(2014,7,21)</f>
        <v>41840.99949074074</v>
      </c>
      <c r="N751" s="8">
        <v>2280.5</v>
      </c>
      <c r="O751" s="8">
        <v>2180.71</v>
      </c>
      <c r="W751" s="6" t="str">
        <v>Internet Services &amp; Software</v>
      </c>
      <c r="X751" s="6" t="str">
        <v>Communication/Network Software;Applications Software(Business;Applications Software(Home)</v>
      </c>
      <c r="Y751" s="6" t="str">
        <v>Communication/Network Software;Applications Software(Business;Applications Software(Home)</v>
      </c>
      <c r="Z751" s="6" t="str">
        <v>Communication/Network Software;Applications Software(Business;Applications Software(Home)</v>
      </c>
      <c r="AA751" s="6" t="str">
        <v>Internet Services &amp; Software</v>
      </c>
      <c r="AB751" s="6" t="str">
        <v>Internet Services &amp; Software</v>
      </c>
      <c r="AC751" s="8">
        <v>2180.71</v>
      </c>
      <c r="AD751" s="7">
        <f>=DATE(2014,3,25)</f>
        <v>41722.99949074074</v>
      </c>
      <c r="AJ751" s="8" t="str">
        <v>1,480.71;400.00;300.00</v>
      </c>
      <c r="AK751" s="6" t="str">
        <v>US Dollar;US Dollar;US Dollar</v>
      </c>
      <c r="AL751" s="8">
        <v>2180.71</v>
      </c>
    </row>
    <row r="752">
      <c r="A752" s="6" t="str">
        <v>037833</v>
      </c>
      <c r="B752" s="6" t="str">
        <v>United States</v>
      </c>
      <c r="C752" s="6" t="str">
        <v>Apple Inc</v>
      </c>
      <c r="D752" s="6" t="str">
        <v>Apple Inc</v>
      </c>
      <c r="F752" s="6" t="str">
        <v>United Kingdom</v>
      </c>
      <c r="G752" s="6" t="str">
        <v>Novauris Technologies Ltd</v>
      </c>
      <c r="H752" s="6" t="str">
        <v>Prepackaged Software</v>
      </c>
      <c r="I752" s="6" t="str">
        <v>8A3524</v>
      </c>
      <c r="J752" s="6" t="str">
        <v>Novauris Technologies Ltd</v>
      </c>
      <c r="K752" s="6" t="str">
        <v>Novauris Technologies Ltd</v>
      </c>
      <c r="L752" s="7">
        <f>=DATE(2014,4,3)</f>
        <v>41731.99949074074</v>
      </c>
      <c r="M752" s="7">
        <f>=DATE(2014,4,3)</f>
        <v>41731.99949074074</v>
      </c>
      <c r="W752" s="6" t="str">
        <v>Mainframes &amp; Super Computers;Other Software (inq. Games);Portable Computers;Printers;Disk Drives;Other Peripherals;Monitors/Terminals;Micro-Computers (PCs)</v>
      </c>
      <c r="X752" s="6" t="str">
        <v>Other Software (inq. Games)</v>
      </c>
      <c r="Y752" s="6" t="str">
        <v>Other Software (inq. Games)</v>
      </c>
      <c r="Z752" s="6" t="str">
        <v>Other Software (inq. Games)</v>
      </c>
      <c r="AA752" s="6" t="str">
        <v>Disk Drives;Mainframes &amp; Super Computers;Other Software (inq. Games);Monitors/Terminals;Portable Computers;Other Peripherals;Micro-Computers (PCs);Printers</v>
      </c>
      <c r="AB752" s="6" t="str">
        <v>Printers;Disk Drives;Micro-Computers (PCs);Portable Computers;Other Software (inq. Games);Monitors/Terminals;Mainframes &amp; Super Computers;Other Peripherals</v>
      </c>
    </row>
    <row r="753">
      <c r="A753" s="6" t="str">
        <v>55126T</v>
      </c>
      <c r="B753" s="6" t="str">
        <v>United States</v>
      </c>
      <c r="C753" s="6" t="str">
        <v>Lynda.com Inc</v>
      </c>
      <c r="D753" s="6" t="str">
        <v>Lynda.com Inc</v>
      </c>
      <c r="F753" s="6" t="str">
        <v>Canada</v>
      </c>
      <c r="G753" s="6" t="str">
        <v>Compilr Inc</v>
      </c>
      <c r="H753" s="6" t="str">
        <v>Prepackaged Software</v>
      </c>
      <c r="I753" s="6" t="str">
        <v>9A9532</v>
      </c>
      <c r="J753" s="6" t="str">
        <v>Compilr Inc</v>
      </c>
      <c r="K753" s="6" t="str">
        <v>Compilr Inc</v>
      </c>
      <c r="L753" s="7">
        <f>=DATE(2014,4,7)</f>
        <v>41735.99949074074</v>
      </c>
      <c r="M753" s="7">
        <f>=DATE(2014,4,7)</f>
        <v>41735.99949074074</v>
      </c>
      <c r="W753" s="6" t="str">
        <v>Internet Services &amp; Software</v>
      </c>
      <c r="X753" s="6" t="str">
        <v>Communication/Network Software;Internet Services &amp; Software</v>
      </c>
      <c r="Y753" s="6" t="str">
        <v>Internet Services &amp; Software;Communication/Network Software</v>
      </c>
      <c r="Z753" s="6" t="str">
        <v>Internet Services &amp; Software;Communication/Network Software</v>
      </c>
      <c r="AA753" s="6" t="str">
        <v>Internet Services &amp; Software</v>
      </c>
      <c r="AB753" s="6" t="str">
        <v>Internet Services &amp; Software</v>
      </c>
    </row>
    <row r="754">
      <c r="A754" s="6" t="str">
        <v>023135</v>
      </c>
      <c r="B754" s="6" t="str">
        <v>United States</v>
      </c>
      <c r="C754" s="6" t="str">
        <v>Amazon.com Inc</v>
      </c>
      <c r="D754" s="6" t="str">
        <v>Amazon.com Inc</v>
      </c>
      <c r="F754" s="6" t="str">
        <v>United States</v>
      </c>
      <c r="G754" s="6" t="str">
        <v>Iconology Inc</v>
      </c>
      <c r="H754" s="6" t="str">
        <v>Business Services</v>
      </c>
      <c r="I754" s="6" t="str">
        <v>0C0325</v>
      </c>
      <c r="J754" s="6" t="str">
        <v>Iconology Inc</v>
      </c>
      <c r="K754" s="6" t="str">
        <v>Iconology Inc</v>
      </c>
      <c r="L754" s="7">
        <f>=DATE(2014,4,10)</f>
        <v>41738.99949074074</v>
      </c>
      <c r="M754" s="7">
        <f>=DATE(2014,5,6)</f>
        <v>41764.99949074074</v>
      </c>
      <c r="W754" s="6" t="str">
        <v>Primary Business not Hi-Tech</v>
      </c>
      <c r="X754" s="6" t="str">
        <v>Internet Services &amp; Software;Other Computer Related Svcs</v>
      </c>
      <c r="Y754" s="6" t="str">
        <v>Other Computer Related Svcs;Internet Services &amp; Software</v>
      </c>
      <c r="Z754" s="6" t="str">
        <v>Other Computer Related Svcs;Internet Services &amp; Software</v>
      </c>
      <c r="AA754" s="6" t="str">
        <v>Primary Business not Hi-Tech</v>
      </c>
      <c r="AB754" s="6" t="str">
        <v>Primary Business not Hi-Tech</v>
      </c>
    </row>
    <row r="755">
      <c r="A755" s="6" t="str">
        <v>38259P</v>
      </c>
      <c r="B755" s="6" t="str">
        <v>United States</v>
      </c>
      <c r="C755" s="6" t="str">
        <v>Google Inc</v>
      </c>
      <c r="D755" s="6" t="str">
        <v>Alphabet Inc</v>
      </c>
      <c r="F755" s="6" t="str">
        <v>United States</v>
      </c>
      <c r="G755" s="6" t="str">
        <v>Titan Aerospace</v>
      </c>
      <c r="H755" s="6" t="str">
        <v>Metal and Metal Products</v>
      </c>
      <c r="I755" s="6" t="str">
        <v>9A2289</v>
      </c>
      <c r="J755" s="6" t="str">
        <v>Titan Aerospace</v>
      </c>
      <c r="K755" s="6" t="str">
        <v>Titan Aerospace</v>
      </c>
      <c r="L755" s="7">
        <f>=DATE(2014,4,14)</f>
        <v>41742.99949074074</v>
      </c>
      <c r="M755" s="7">
        <f>=DATE(2014,4,14)</f>
        <v>41742.99949074074</v>
      </c>
      <c r="W755" s="6" t="str">
        <v>Programming Services;Internet Services &amp; Software</v>
      </c>
      <c r="X755" s="6" t="str">
        <v>Robotics</v>
      </c>
      <c r="Y755" s="6" t="str">
        <v>Robotics</v>
      </c>
      <c r="Z755" s="6" t="str">
        <v>Robotics</v>
      </c>
      <c r="AA755" s="6" t="str">
        <v>Primary Business not Hi-Tech;Computer Consulting Services;Programming Services;Internet Services &amp; Software;Telecommunications Equipment</v>
      </c>
      <c r="AB755" s="6" t="str">
        <v>Telecommunications Equipment;Programming Services;Computer Consulting Services;Primary Business not Hi-Tech;Internet Services &amp; Software</v>
      </c>
    </row>
    <row r="756">
      <c r="A756" s="6" t="str">
        <v>67020Y</v>
      </c>
      <c r="B756" s="6" t="str">
        <v>United States</v>
      </c>
      <c r="C756" s="6" t="str">
        <v>Nuance Communications Inc</v>
      </c>
      <c r="D756" s="6" t="str">
        <v>Nuance Communications Inc</v>
      </c>
      <c r="F756" s="6" t="str">
        <v>United States</v>
      </c>
      <c r="G756" s="6" t="str">
        <v>Neurostar Solutions Inc</v>
      </c>
      <c r="H756" s="6" t="str">
        <v>Prepackaged Software</v>
      </c>
      <c r="I756" s="6" t="str">
        <v>1C1954</v>
      </c>
      <c r="J756" s="6" t="str">
        <v>Neurostar Solutions Inc</v>
      </c>
      <c r="K756" s="6" t="str">
        <v>Neurostar Solutions Inc</v>
      </c>
      <c r="L756" s="7">
        <f>=DATE(2014,4,17)</f>
        <v>41745.99949074074</v>
      </c>
      <c r="M756" s="7">
        <f>=DATE(2014,4,17)</f>
        <v>41745.99949074074</v>
      </c>
      <c r="W756" s="6" t="str">
        <v>Primary Business not Hi-Tech;Networking Systems (LAN,WAN);Database Software/Programming;Other Software (inq. Games);Other Computer Related Svcs;Communication/Network Software;Internet Services &amp; Software;Utilities/File Mgmt Software;Applications Software(Home);Programming Services;Applications Software(Business;Computer Consulting Services;Desktop Publishing</v>
      </c>
      <c r="X756" s="6" t="str">
        <v>Utilities/File Mgmt Software;Applications Software(Business</v>
      </c>
      <c r="Y756" s="6" t="str">
        <v>Applications Software(Business;Utilities/File Mgmt Software</v>
      </c>
      <c r="Z756" s="6" t="str">
        <v>Applications Software(Business;Utilities/File Mgmt Software</v>
      </c>
      <c r="AA756" s="6" t="str">
        <v>Programming Services;Database Software/Programming;Other Software (inq. Games);Networking Systems (LAN,WAN);Primary Business not Hi-Tech;Internet Services &amp; Software;Other Computer Related Svcs;Applications Software(Business;Computer Consulting Services;Communication/Network Software;Utilities/File Mgmt Software;Desktop Publishing;Applications Software(Home)</v>
      </c>
      <c r="AB756" s="6" t="str">
        <v>Computer Consulting Services;Communication/Network Software;Primary Business not Hi-Tech;Utilities/File Mgmt Software;Other Software (inq. Games);Applications Software(Home);Other Computer Related Svcs;Desktop Publishing;Internet Services &amp; Software;Database Software/Programming;Applications Software(Business;Networking Systems (LAN,WAN);Programming Services</v>
      </c>
    </row>
    <row r="757">
      <c r="A757" s="6" t="str">
        <v>30303M</v>
      </c>
      <c r="B757" s="6" t="str">
        <v>United States</v>
      </c>
      <c r="C757" s="6" t="str">
        <v>Facebook Inc</v>
      </c>
      <c r="D757" s="6" t="str">
        <v>Facebook Inc</v>
      </c>
      <c r="F757" s="6" t="str">
        <v>Finland</v>
      </c>
      <c r="G757" s="6" t="str">
        <v>ProtoGeo Oy</v>
      </c>
      <c r="H757" s="6" t="str">
        <v>Prepackaged Software</v>
      </c>
      <c r="I757" s="6" t="str">
        <v>0C2678</v>
      </c>
      <c r="J757" s="6" t="str">
        <v>ProtoGeo Oy</v>
      </c>
      <c r="K757" s="6" t="str">
        <v>ProtoGeo Oy</v>
      </c>
      <c r="L757" s="7">
        <f>=DATE(2014,4,24)</f>
        <v>41752.99949074074</v>
      </c>
      <c r="M757" s="7">
        <f>=DATE(2014,4,24)</f>
        <v>41752.99949074074</v>
      </c>
      <c r="W757" s="6" t="str">
        <v>Internet Services &amp; Software</v>
      </c>
      <c r="X757" s="6" t="str">
        <v>Other Software (inq. Games)</v>
      </c>
      <c r="Y757" s="6" t="str">
        <v>Other Software (inq. Games)</v>
      </c>
      <c r="Z757" s="6" t="str">
        <v>Other Software (inq. Games)</v>
      </c>
      <c r="AA757" s="6" t="str">
        <v>Internet Services &amp; Software</v>
      </c>
      <c r="AB757" s="6" t="str">
        <v>Internet Services &amp; Software</v>
      </c>
    </row>
    <row r="758">
      <c r="A758" s="6" t="str">
        <v>594918</v>
      </c>
      <c r="B758" s="6" t="str">
        <v>United States</v>
      </c>
      <c r="C758" s="6" t="str">
        <v>Microsoft Corp</v>
      </c>
      <c r="D758" s="6" t="str">
        <v>Microsoft Corp</v>
      </c>
      <c r="F758" s="6" t="str">
        <v>New Zealand</v>
      </c>
      <c r="G758" s="6" t="str">
        <v>GreenButton</v>
      </c>
      <c r="H758" s="6" t="str">
        <v>Prepackaged Software</v>
      </c>
      <c r="I758" s="6" t="str">
        <v>0C7844</v>
      </c>
      <c r="J758" s="6" t="str">
        <v>GreenButton</v>
      </c>
      <c r="K758" s="6" t="str">
        <v>GreenButton</v>
      </c>
      <c r="L758" s="7">
        <f>=DATE(2014,5,1)</f>
        <v>41759.99949074074</v>
      </c>
      <c r="M758" s="7">
        <f>=DATE(2014,5,1)</f>
        <v>41759.99949074074</v>
      </c>
      <c r="W758" s="6" t="str">
        <v>Operating Systems;Other Peripherals;Applications Software(Business;Internet Services &amp; Software;Monitors/Terminals;Computer Consulting Services</v>
      </c>
      <c r="X758" s="6" t="str">
        <v>Other Software (inq. Games)</v>
      </c>
      <c r="Y758" s="6" t="str">
        <v>Other Software (inq. Games)</v>
      </c>
      <c r="Z758" s="6" t="str">
        <v>Other Software (inq. Games)</v>
      </c>
      <c r="AA758" s="6" t="str">
        <v>Monitors/Terminals;Computer Consulting Services;Other Peripherals;Internet Services &amp; Software;Operating Systems;Applications Software(Business</v>
      </c>
      <c r="AB758" s="6" t="str">
        <v>Internet Services &amp; Software;Computer Consulting Services;Applications Software(Business;Operating Systems;Monitors/Terminals;Other Peripherals</v>
      </c>
    </row>
    <row r="759">
      <c r="A759" s="6" t="str">
        <v>037833</v>
      </c>
      <c r="B759" s="6" t="str">
        <v>United States</v>
      </c>
      <c r="C759" s="6" t="str">
        <v>Apple Inc</v>
      </c>
      <c r="D759" s="6" t="str">
        <v>Apple Inc</v>
      </c>
      <c r="F759" s="6" t="str">
        <v>United States</v>
      </c>
      <c r="G759" s="6" t="str">
        <v>LuxVue Technology Corp</v>
      </c>
      <c r="H759" s="6" t="str">
        <v>Prepackaged Software</v>
      </c>
      <c r="I759" s="6" t="str">
        <v>0C4046</v>
      </c>
      <c r="J759" s="6" t="str">
        <v>LuxVue Technology Corp</v>
      </c>
      <c r="K759" s="6" t="str">
        <v>LuxVue Technology Corp</v>
      </c>
      <c r="L759" s="7">
        <f>=DATE(2014,5,3)</f>
        <v>41761.99949074074</v>
      </c>
      <c r="W759" s="6" t="str">
        <v>Portable Computers;Monitors/Terminals;Micro-Computers (PCs);Mainframes &amp; Super Computers;Disk Drives;Printers;Other Software (inq. Games);Other Peripherals</v>
      </c>
      <c r="X759" s="6" t="str">
        <v>Other Software (inq. Games)</v>
      </c>
      <c r="Y759" s="6" t="str">
        <v>Other Software (inq. Games)</v>
      </c>
      <c r="Z759" s="6" t="str">
        <v>Other Software (inq. Games)</v>
      </c>
      <c r="AA759" s="6" t="str">
        <v>Micro-Computers (PCs);Mainframes &amp; Super Computers;Monitors/Terminals;Other Software (inq. Games);Printers;Other Peripherals;Portable Computers;Disk Drives</v>
      </c>
      <c r="AB759" s="6" t="str">
        <v>Other Peripherals;Other Software (inq. Games);Mainframes &amp; Super Computers;Disk Drives;Portable Computers;Printers;Monitors/Terminals;Micro-Computers (PCs)</v>
      </c>
    </row>
    <row r="760">
      <c r="A760" s="6" t="str">
        <v>38259P</v>
      </c>
      <c r="B760" s="6" t="str">
        <v>United States</v>
      </c>
      <c r="C760" s="6" t="str">
        <v>Google Inc</v>
      </c>
      <c r="D760" s="6" t="str">
        <v>Alphabet Inc</v>
      </c>
      <c r="F760" s="6" t="str">
        <v>United Kingdom</v>
      </c>
      <c r="G760" s="6" t="str">
        <v>Rangespan</v>
      </c>
      <c r="H760" s="6" t="str">
        <v>Business Services</v>
      </c>
      <c r="I760" s="6" t="str">
        <v>0C4402</v>
      </c>
      <c r="J760" s="6" t="str">
        <v>Rangespan</v>
      </c>
      <c r="K760" s="6" t="str">
        <v>Rangespan</v>
      </c>
      <c r="L760" s="7">
        <f>=DATE(2014,5,5)</f>
        <v>41763.99949074074</v>
      </c>
      <c r="M760" s="7">
        <f>=DATE(2014,5,5)</f>
        <v>41763.99949074074</v>
      </c>
      <c r="W760" s="6" t="str">
        <v>Programming Services;Internet Services &amp; Software</v>
      </c>
      <c r="X760" s="6" t="str">
        <v>Other Computer Related Svcs;Data Processing Services;Computer Consulting Services;Other Software (inq. Games)</v>
      </c>
      <c r="Y760" s="6" t="str">
        <v>Other Software (inq. Games);Data Processing Services;Computer Consulting Services;Other Computer Related Svcs</v>
      </c>
      <c r="Z760" s="6" t="str">
        <v>Other Computer Related Svcs;Other Software (inq. Games);Data Processing Services;Computer Consulting Services</v>
      </c>
      <c r="AA760" s="6" t="str">
        <v>Internet Services &amp; Software;Computer Consulting Services;Programming Services;Telecommunications Equipment;Primary Business not Hi-Tech</v>
      </c>
      <c r="AB760" s="6" t="str">
        <v>Internet Services &amp; Software;Computer Consulting Services;Primary Business not Hi-Tech;Telecommunications Equipment;Programming Services</v>
      </c>
    </row>
    <row r="761">
      <c r="A761" s="6" t="str">
        <v>38259P</v>
      </c>
      <c r="B761" s="6" t="str">
        <v>United States</v>
      </c>
      <c r="C761" s="6" t="str">
        <v>Google Inc</v>
      </c>
      <c r="D761" s="6" t="str">
        <v>Alphabet Inc</v>
      </c>
      <c r="F761" s="6" t="str">
        <v>United States</v>
      </c>
      <c r="G761" s="6" t="str">
        <v>Adometry Inc</v>
      </c>
      <c r="H761" s="6" t="str">
        <v>Business Services</v>
      </c>
      <c r="I761" s="6" t="str">
        <v>01340P</v>
      </c>
      <c r="J761" s="6" t="str">
        <v>Click Forensics Inc</v>
      </c>
      <c r="K761" s="6" t="str">
        <v>Click Forensics Inc</v>
      </c>
      <c r="L761" s="7">
        <f>=DATE(2014,5,6)</f>
        <v>41764.99949074074</v>
      </c>
      <c r="M761" s="7">
        <f>=DATE(2014,5,6)</f>
        <v>41764.99949074074</v>
      </c>
      <c r="W761" s="6" t="str">
        <v>Programming Services;Internet Services &amp; Software</v>
      </c>
      <c r="X761" s="6" t="str">
        <v>Internet Services &amp; Software</v>
      </c>
      <c r="Y761" s="6" t="str">
        <v>Internet Services &amp; Software</v>
      </c>
      <c r="Z761" s="6" t="str">
        <v>Internet Services &amp; Software</v>
      </c>
      <c r="AA761" s="6" t="str">
        <v>Programming Services;Internet Services &amp; Software;Telecommunications Equipment;Computer Consulting Services;Primary Business not Hi-Tech</v>
      </c>
      <c r="AB761" s="6" t="str">
        <v>Programming Services;Internet Services &amp; Software;Telecommunications Equipment;Computer Consulting Services;Primary Business not Hi-Tech</v>
      </c>
    </row>
    <row r="762">
      <c r="A762" s="6" t="str">
        <v>38259P</v>
      </c>
      <c r="B762" s="6" t="str">
        <v>United States</v>
      </c>
      <c r="C762" s="6" t="str">
        <v>Google Inc</v>
      </c>
      <c r="D762" s="6" t="str">
        <v>Alphabet Inc</v>
      </c>
      <c r="F762" s="6" t="str">
        <v>United States</v>
      </c>
      <c r="G762" s="6" t="str">
        <v>Appetas Inc</v>
      </c>
      <c r="H762" s="6" t="str">
        <v>Business Services</v>
      </c>
      <c r="I762" s="6" t="str">
        <v>0C4721</v>
      </c>
      <c r="J762" s="6" t="str">
        <v>Appetas Inc</v>
      </c>
      <c r="K762" s="6" t="str">
        <v>Appetas Inc</v>
      </c>
      <c r="L762" s="7">
        <f>=DATE(2014,5,7)</f>
        <v>41765.99949074074</v>
      </c>
      <c r="M762" s="7">
        <f>=DATE(2014,5,7)</f>
        <v>41765.99949074074</v>
      </c>
      <c r="W762" s="6" t="str">
        <v>Internet Services &amp; Software;Programming Services</v>
      </c>
      <c r="X762" s="6" t="str">
        <v>Programming Services;Database Software/Programming</v>
      </c>
      <c r="Y762" s="6" t="str">
        <v>Programming Services;Database Software/Programming</v>
      </c>
      <c r="Z762" s="6" t="str">
        <v>Database Software/Programming;Programming Services</v>
      </c>
      <c r="AA762" s="6" t="str">
        <v>Computer Consulting Services;Internet Services &amp; Software;Primary Business not Hi-Tech;Programming Services;Telecommunications Equipment</v>
      </c>
      <c r="AB762" s="6" t="str">
        <v>Internet Services &amp; Software;Telecommunications Equipment;Primary Business not Hi-Tech;Computer Consulting Services;Programming Services</v>
      </c>
    </row>
    <row r="763">
      <c r="A763" s="6" t="str">
        <v>38259P</v>
      </c>
      <c r="B763" s="6" t="str">
        <v>United States</v>
      </c>
      <c r="C763" s="6" t="str">
        <v>Google Inc</v>
      </c>
      <c r="D763" s="6" t="str">
        <v>Alphabet Inc</v>
      </c>
      <c r="F763" s="6" t="str">
        <v>United States</v>
      </c>
      <c r="G763" s="6" t="str">
        <v>Stackdriver Inc</v>
      </c>
      <c r="H763" s="6" t="str">
        <v>Prepackaged Software</v>
      </c>
      <c r="I763" s="6" t="str">
        <v>0C5004</v>
      </c>
      <c r="J763" s="6" t="str">
        <v>Stackdriver Inc</v>
      </c>
      <c r="K763" s="6" t="str">
        <v>Stackdriver Inc</v>
      </c>
      <c r="L763" s="7">
        <f>=DATE(2014,5,7)</f>
        <v>41765.99949074074</v>
      </c>
      <c r="M763" s="7">
        <f>=DATE(2014,5,7)</f>
        <v>41765.99949074074</v>
      </c>
      <c r="W763" s="6" t="str">
        <v>Internet Services &amp; Software;Programming Services</v>
      </c>
      <c r="X763" s="6" t="str">
        <v>Applications Software(Business</v>
      </c>
      <c r="Y763" s="6" t="str">
        <v>Applications Software(Business</v>
      </c>
      <c r="Z763" s="6" t="str">
        <v>Applications Software(Business</v>
      </c>
      <c r="AA763" s="6" t="str">
        <v>Internet Services &amp; Software;Computer Consulting Services;Programming Services;Primary Business not Hi-Tech;Telecommunications Equipment</v>
      </c>
      <c r="AB763" s="6" t="str">
        <v>Computer Consulting Services;Programming Services;Internet Services &amp; Software;Telecommunications Equipment;Primary Business not Hi-Tech</v>
      </c>
    </row>
    <row r="764">
      <c r="A764" s="6" t="str">
        <v>38259P</v>
      </c>
      <c r="B764" s="6" t="str">
        <v>United States</v>
      </c>
      <c r="C764" s="6" t="str">
        <v>Google Inc</v>
      </c>
      <c r="D764" s="6" t="str">
        <v>Alphabet Inc</v>
      </c>
      <c r="F764" s="6" t="str">
        <v>United States</v>
      </c>
      <c r="G764" s="6" t="str">
        <v>Quest Visual Inc</v>
      </c>
      <c r="H764" s="6" t="str">
        <v>Prepackaged Software</v>
      </c>
      <c r="I764" s="6" t="str">
        <v>0C6514</v>
      </c>
      <c r="J764" s="6" t="str">
        <v>Quest Visual Inc</v>
      </c>
      <c r="K764" s="6" t="str">
        <v>Quest Visual Inc</v>
      </c>
      <c r="L764" s="7">
        <f>=DATE(2014,5,16)</f>
        <v>41774.99949074074</v>
      </c>
      <c r="M764" s="7">
        <f>=DATE(2014,5,16)</f>
        <v>41774.99949074074</v>
      </c>
      <c r="W764" s="6" t="str">
        <v>Internet Services &amp; Software;Programming Services</v>
      </c>
      <c r="X764" s="6" t="str">
        <v>Applications Software(Business;Communication/Network Software;Applications Software(Home)</v>
      </c>
      <c r="Y764" s="6" t="str">
        <v>Communication/Network Software;Applications Software(Business;Applications Software(Home)</v>
      </c>
      <c r="Z764" s="6" t="str">
        <v>Applications Software(Business;Applications Software(Home);Communication/Network Software</v>
      </c>
      <c r="AA764" s="6" t="str">
        <v>Programming Services;Telecommunications Equipment;Primary Business not Hi-Tech;Computer Consulting Services;Internet Services &amp; Software</v>
      </c>
      <c r="AB764" s="6" t="str">
        <v>Primary Business not Hi-Tech;Internet Services &amp; Software;Computer Consulting Services;Programming Services;Telecommunications Equipment</v>
      </c>
    </row>
    <row r="765">
      <c r="A765" s="6" t="str">
        <v>38259P</v>
      </c>
      <c r="B765" s="6" t="str">
        <v>United States</v>
      </c>
      <c r="C765" s="6" t="str">
        <v>Google Inc</v>
      </c>
      <c r="D765" s="6" t="str">
        <v>Alphabet Inc</v>
      </c>
      <c r="F765" s="6" t="str">
        <v>United States</v>
      </c>
      <c r="G765" s="6" t="str">
        <v>Enterproid Inc</v>
      </c>
      <c r="H765" s="6" t="str">
        <v>Prepackaged Software</v>
      </c>
      <c r="I765" s="6" t="str">
        <v>5A3552</v>
      </c>
      <c r="J765" s="6" t="str">
        <v>Enterproid Inc</v>
      </c>
      <c r="K765" s="6" t="str">
        <v>Enterproid Inc</v>
      </c>
      <c r="L765" s="7">
        <f>=DATE(2014,5,20)</f>
        <v>41778.99949074074</v>
      </c>
      <c r="M765" s="7">
        <f>=DATE(2014,5,20)</f>
        <v>41778.99949074074</v>
      </c>
      <c r="W765" s="6" t="str">
        <v>Programming Services;Internet Services &amp; Software</v>
      </c>
      <c r="X765" s="6" t="str">
        <v>Communication/Network Software;Other Software (inq. Games);Applications Software(Business;Other Computer Related Svcs;Other Computer Systems;Computer Consulting Services;Applications Software(Home);Turnkey Systems;Utilities/File Mgmt Software</v>
      </c>
      <c r="Y765" s="6" t="str">
        <v>Other Computer Systems;Other Software (inq. Games);Applications Software(Home);Utilities/File Mgmt Software;Applications Software(Business;Turnkey Systems;Communication/Network Software;Computer Consulting Services;Other Computer Related Svcs</v>
      </c>
      <c r="Z765" s="6" t="str">
        <v>Computer Consulting Services;Communication/Network Software;Applications Software(Home);Utilities/File Mgmt Software;Applications Software(Business;Turnkey Systems;Other Software (inq. Games);Other Computer Related Svcs;Other Computer Systems</v>
      </c>
      <c r="AA765" s="6" t="str">
        <v>Computer Consulting Services;Telecommunications Equipment;Internet Services &amp; Software;Programming Services;Primary Business not Hi-Tech</v>
      </c>
      <c r="AB765" s="6" t="str">
        <v>Telecommunications Equipment;Primary Business not Hi-Tech;Computer Consulting Services;Programming Services;Internet Services &amp; Software</v>
      </c>
    </row>
    <row r="766">
      <c r="A766" s="6" t="str">
        <v>037833</v>
      </c>
      <c r="B766" s="6" t="str">
        <v>United States</v>
      </c>
      <c r="C766" s="6" t="str">
        <v>Apple Inc</v>
      </c>
      <c r="D766" s="6" t="str">
        <v>Apple Inc</v>
      </c>
      <c r="F766" s="6" t="str">
        <v>United States</v>
      </c>
      <c r="G766" s="6" t="str">
        <v>Beats Electronics LLC</v>
      </c>
      <c r="H766" s="6" t="str">
        <v>Electronic and Electrical Equipment</v>
      </c>
      <c r="I766" s="6" t="str">
        <v>07573T</v>
      </c>
      <c r="J766" s="6" t="str">
        <v>Beats Electronics LLC</v>
      </c>
      <c r="K766" s="6" t="str">
        <v>Beats Electronics LLC</v>
      </c>
      <c r="L766" s="7">
        <f>=DATE(2014,5,28)</f>
        <v>41786.99949074074</v>
      </c>
      <c r="M766" s="7">
        <f>=DATE(2014,8,1)</f>
        <v>41851.99949074074</v>
      </c>
      <c r="N766" s="8">
        <v>3000</v>
      </c>
      <c r="O766" s="8">
        <v>3000</v>
      </c>
      <c r="W766" s="6" t="str">
        <v>Monitors/Terminals;Printers;Disk Drives;Other Peripherals;Other Software (inq. Games);Portable Computers;Mainframes &amp; Super Computers;Micro-Computers (PCs)</v>
      </c>
      <c r="X766" s="6" t="str">
        <v>Other Peripherals</v>
      </c>
      <c r="Y766" s="6" t="str">
        <v>Other Peripherals</v>
      </c>
      <c r="Z766" s="6" t="str">
        <v>Other Peripherals</v>
      </c>
      <c r="AA766" s="6" t="str">
        <v>Micro-Computers (PCs);Portable Computers;Mainframes &amp; Super Computers;Other Software (inq. Games);Monitors/Terminals;Disk Drives;Printers;Other Peripherals</v>
      </c>
      <c r="AB766" s="6" t="str">
        <v>Printers;Mainframes &amp; Super Computers;Portable Computers;Monitors/Terminals;Disk Drives;Micro-Computers (PCs);Other Peripherals;Other Software (inq. Games)</v>
      </c>
      <c r="AC766" s="8">
        <v>3000</v>
      </c>
      <c r="AD766" s="7">
        <f>=DATE(2014,5,28)</f>
        <v>41786.99949074074</v>
      </c>
      <c r="AJ766" s="8" t="str">
        <v>2,600.00;400.00</v>
      </c>
      <c r="AK766" s="6" t="str">
        <v>US Dollar;US Dollar</v>
      </c>
      <c r="AL766" s="8">
        <v>3000</v>
      </c>
    </row>
    <row r="767">
      <c r="A767" s="6" t="str">
        <v>594918</v>
      </c>
      <c r="B767" s="6" t="str">
        <v>United States</v>
      </c>
      <c r="C767" s="6" t="str">
        <v>Microsoft Corp</v>
      </c>
      <c r="D767" s="6" t="str">
        <v>Microsoft Corp</v>
      </c>
      <c r="F767" s="6" t="str">
        <v>France</v>
      </c>
      <c r="G767" s="6" t="str">
        <v>CAPPTAIN SAS</v>
      </c>
      <c r="H767" s="6" t="str">
        <v>Prepackaged Software</v>
      </c>
      <c r="I767" s="6" t="str">
        <v>0C9959</v>
      </c>
      <c r="J767" s="6" t="str">
        <v>CAPPTAIN SAS</v>
      </c>
      <c r="K767" s="6" t="str">
        <v>CAPPTAIN SAS</v>
      </c>
      <c r="L767" s="7">
        <f>=DATE(2014,5,28)</f>
        <v>41786.99949074074</v>
      </c>
      <c r="M767" s="7">
        <f>=DATE(2014,5,28)</f>
        <v>41786.99949074074</v>
      </c>
      <c r="W767" s="6" t="str">
        <v>Internet Services &amp; Software;Applications Software(Business;Monitors/Terminals;Other Peripherals;Computer Consulting Services;Operating Systems</v>
      </c>
      <c r="X767" s="6" t="str">
        <v>Applications Software(Business;Communication/Network Software;Applications Software(Home)</v>
      </c>
      <c r="Y767" s="6" t="str">
        <v>Applications Software(Home);Applications Software(Business;Communication/Network Software</v>
      </c>
      <c r="Z767" s="6" t="str">
        <v>Communication/Network Software;Applications Software(Business;Applications Software(Home)</v>
      </c>
      <c r="AA767" s="6" t="str">
        <v>Monitors/Terminals;Other Peripherals;Internet Services &amp; Software;Computer Consulting Services;Operating Systems;Applications Software(Business</v>
      </c>
      <c r="AB767" s="6" t="str">
        <v>Computer Consulting Services;Applications Software(Business;Monitors/Terminals;Internet Services &amp; Software;Operating Systems;Other Peripherals</v>
      </c>
    </row>
    <row r="768">
      <c r="A768" s="6" t="str">
        <v>037833</v>
      </c>
      <c r="B768" s="6" t="str">
        <v>United States</v>
      </c>
      <c r="C768" s="6" t="str">
        <v>Apple Inc</v>
      </c>
      <c r="D768" s="6" t="str">
        <v>Apple Inc</v>
      </c>
      <c r="F768" s="6" t="str">
        <v>United States</v>
      </c>
      <c r="G768" s="6" t="str">
        <v>Simple Rules Inc</v>
      </c>
      <c r="H768" s="6" t="str">
        <v>Prepackaged Software</v>
      </c>
      <c r="I768" s="6" t="str">
        <v>1C0400</v>
      </c>
      <c r="J768" s="6" t="str">
        <v>Simple Rules Inc</v>
      </c>
      <c r="K768" s="6" t="str">
        <v>Simple Rules Inc</v>
      </c>
      <c r="L768" s="7">
        <f>=DATE(2014,6,6)</f>
        <v>41795.99949074074</v>
      </c>
      <c r="W768" s="6" t="str">
        <v>Other Peripherals;Monitors/Terminals;Printers;Micro-Computers (PCs);Other Software (inq. Games);Disk Drives;Portable Computers;Mainframes &amp; Super Computers</v>
      </c>
      <c r="X768" s="6" t="str">
        <v>Communication/Network Software;Applications Software(Home);Applications Software(Business</v>
      </c>
      <c r="Y768" s="6" t="str">
        <v>Communication/Network Software;Applications Software(Home);Applications Software(Business</v>
      </c>
      <c r="Z768" s="6" t="str">
        <v>Applications Software(Business;Communication/Network Software;Applications Software(Home)</v>
      </c>
      <c r="AA768" s="6" t="str">
        <v>Portable Computers;Printers;Micro-Computers (PCs);Other Peripherals;Monitors/Terminals;Disk Drives;Mainframes &amp; Super Computers;Other Software (inq. Games)</v>
      </c>
      <c r="AB768" s="6" t="str">
        <v>Portable Computers;Other Peripherals;Micro-Computers (PCs);Mainframes &amp; Super Computers;Printers;Monitors/Terminals;Other Software (inq. Games);Disk Drives</v>
      </c>
    </row>
    <row r="769">
      <c r="A769" s="6" t="str">
        <v>38259P</v>
      </c>
      <c r="B769" s="6" t="str">
        <v>United States</v>
      </c>
      <c r="C769" s="6" t="str">
        <v>Google Inc</v>
      </c>
      <c r="D769" s="6" t="str">
        <v>Alphabet Inc</v>
      </c>
      <c r="F769" s="6" t="str">
        <v>United States</v>
      </c>
      <c r="G769" s="6" t="str">
        <v>Skybox Imaging Inc</v>
      </c>
      <c r="H769" s="6" t="str">
        <v>Communications Equipment</v>
      </c>
      <c r="I769" s="6" t="str">
        <v>0C7726</v>
      </c>
      <c r="J769" s="6" t="str">
        <v>Skybox Imaging Inc</v>
      </c>
      <c r="K769" s="6" t="str">
        <v>Skybox Imaging Inc</v>
      </c>
      <c r="L769" s="7">
        <f>=DATE(2014,6,10)</f>
        <v>41799.99949074074</v>
      </c>
      <c r="M769" s="7">
        <f>=DATE(2014,8,1)</f>
        <v>41851.99949074074</v>
      </c>
      <c r="N769" s="8">
        <v>500</v>
      </c>
      <c r="O769" s="8">
        <v>500</v>
      </c>
      <c r="W769" s="6" t="str">
        <v>Internet Services &amp; Software;Programming Services</v>
      </c>
      <c r="X769" s="6" t="str">
        <v>Internet Services &amp; Software;Other Telecommunications Equip;Satellite Communications</v>
      </c>
      <c r="Y769" s="6" t="str">
        <v>Other Telecommunications Equip;Internet Services &amp; Software;Satellite Communications</v>
      </c>
      <c r="Z769" s="6" t="str">
        <v>Other Telecommunications Equip;Satellite Communications;Internet Services &amp; Software</v>
      </c>
      <c r="AA769" s="6" t="str">
        <v>Telecommunications Equipment;Primary Business not Hi-Tech;Computer Consulting Services;Internet Services &amp; Software;Programming Services</v>
      </c>
      <c r="AB769" s="6" t="str">
        <v>Computer Consulting Services;Telecommunications Equipment;Primary Business not Hi-Tech;Internet Services &amp; Software;Programming Services</v>
      </c>
      <c r="AC769" s="8">
        <v>500</v>
      </c>
      <c r="AD769" s="7">
        <f>=DATE(2014,6,10)</f>
        <v>41799.99949074074</v>
      </c>
      <c r="AJ769" s="8" t="str">
        <v>500.00</v>
      </c>
      <c r="AK769" s="6" t="str">
        <v>US Dollar</v>
      </c>
      <c r="AL769" s="8">
        <v>500</v>
      </c>
    </row>
    <row r="770">
      <c r="A770" s="6" t="str">
        <v>38259P</v>
      </c>
      <c r="B770" s="6" t="str">
        <v>United States</v>
      </c>
      <c r="C770" s="6" t="str">
        <v>Google Inc</v>
      </c>
      <c r="D770" s="6" t="str">
        <v>Alphabet Inc</v>
      </c>
      <c r="F770" s="6" t="str">
        <v>Canada</v>
      </c>
      <c r="G770" s="6" t="str">
        <v>mDialog Corp</v>
      </c>
      <c r="H770" s="6" t="str">
        <v>Business Services</v>
      </c>
      <c r="I770" s="6" t="str">
        <v>1C2889</v>
      </c>
      <c r="J770" s="6" t="str">
        <v>mDialog Corp</v>
      </c>
      <c r="K770" s="6" t="str">
        <v>mDialog Corp</v>
      </c>
      <c r="L770" s="7">
        <f>=DATE(2014,6,19)</f>
        <v>41808.99949074074</v>
      </c>
      <c r="M770" s="7">
        <f>=DATE(2014,6,19)</f>
        <v>41808.99949074074</v>
      </c>
      <c r="W770" s="6" t="str">
        <v>Programming Services;Internet Services &amp; Software</v>
      </c>
      <c r="X770" s="6" t="str">
        <v>Internet Services &amp; Software</v>
      </c>
      <c r="Y770" s="6" t="str">
        <v>Internet Services &amp; Software</v>
      </c>
      <c r="Z770" s="6" t="str">
        <v>Internet Services &amp; Software</v>
      </c>
      <c r="AA770" s="6" t="str">
        <v>Computer Consulting Services;Telecommunications Equipment;Programming Services;Primary Business not Hi-Tech;Internet Services &amp; Software</v>
      </c>
      <c r="AB770" s="6" t="str">
        <v>Programming Services;Primary Business not Hi-Tech;Telecommunications Equipment;Internet Services &amp; Software;Computer Consulting Services</v>
      </c>
    </row>
    <row r="771">
      <c r="A771" s="6" t="str">
        <v>3A7443</v>
      </c>
      <c r="B771" s="6" t="str">
        <v>United States</v>
      </c>
      <c r="C771" s="6" t="str">
        <v>Nest Labs Inc</v>
      </c>
      <c r="D771" s="6" t="str">
        <v>Alphabet Inc</v>
      </c>
      <c r="F771" s="6" t="str">
        <v>United States</v>
      </c>
      <c r="G771" s="6" t="str">
        <v>Dropcam Inc</v>
      </c>
      <c r="H771" s="6" t="str">
        <v>Electronic and Electrical Equipment</v>
      </c>
      <c r="I771" s="6" t="str">
        <v>0C8399</v>
      </c>
      <c r="J771" s="6" t="str">
        <v>Dropcam Inc</v>
      </c>
      <c r="K771" s="6" t="str">
        <v>Dropcam Inc</v>
      </c>
      <c r="L771" s="7">
        <f>=DATE(2014,6,20)</f>
        <v>41809.99949074074</v>
      </c>
      <c r="M771" s="7">
        <f>=DATE(2014,7,31)</f>
        <v>41850.99949074074</v>
      </c>
      <c r="N771" s="8">
        <v>555</v>
      </c>
      <c r="O771" s="8">
        <v>555</v>
      </c>
      <c r="W771" s="6" t="str">
        <v>Process Control Systems</v>
      </c>
      <c r="X771" s="6" t="str">
        <v>Internet Services &amp; Software;Primary Business not Hi-Tech;Communication/Network Software;Applications Software(Home)</v>
      </c>
      <c r="Y771" s="6" t="str">
        <v>Internet Services &amp; Software;Communication/Network Software;Primary Business not Hi-Tech;Applications Software(Home)</v>
      </c>
      <c r="Z771" s="6" t="str">
        <v>Applications Software(Home);Internet Services &amp; Software;Communication/Network Software;Primary Business not Hi-Tech</v>
      </c>
      <c r="AA771" s="6" t="str">
        <v>Internet Services &amp; Software;Programming Services</v>
      </c>
      <c r="AB771" s="6" t="str">
        <v>Programming Services;Telecommunications Equipment;Computer Consulting Services;Primary Business not Hi-Tech;Internet Services &amp; Software</v>
      </c>
      <c r="AC771" s="8">
        <v>555</v>
      </c>
      <c r="AD771" s="7">
        <f>=DATE(2014,6,20)</f>
        <v>41809.99949074074</v>
      </c>
      <c r="AJ771" s="8" t="str">
        <v>555.00</v>
      </c>
      <c r="AK771" s="6" t="str">
        <v>US Dollar</v>
      </c>
      <c r="AL771" s="8">
        <v>555</v>
      </c>
    </row>
    <row r="772">
      <c r="A772" s="6" t="str">
        <v>38259P</v>
      </c>
      <c r="B772" s="6" t="str">
        <v>United States</v>
      </c>
      <c r="C772" s="6" t="str">
        <v>Google Inc</v>
      </c>
      <c r="D772" s="6" t="str">
        <v>Alphabet Inc</v>
      </c>
      <c r="F772" s="6" t="str">
        <v>United States</v>
      </c>
      <c r="G772" s="6" t="str">
        <v>Baarzo</v>
      </c>
      <c r="H772" s="6" t="str">
        <v>Business Services</v>
      </c>
      <c r="I772" s="6" t="str">
        <v>1C3434</v>
      </c>
      <c r="J772" s="6" t="str">
        <v>Baarzo</v>
      </c>
      <c r="K772" s="6" t="str">
        <v>Baarzo</v>
      </c>
      <c r="L772" s="7">
        <f>=DATE(2014,6,23)</f>
        <v>41812.99949074074</v>
      </c>
      <c r="W772" s="6" t="str">
        <v>Programming Services;Internet Services &amp; Software</v>
      </c>
      <c r="X772" s="6" t="str">
        <v>Internet Services &amp; Software</v>
      </c>
      <c r="Y772" s="6" t="str">
        <v>Internet Services &amp; Software</v>
      </c>
      <c r="Z772" s="6" t="str">
        <v>Internet Services &amp; Software</v>
      </c>
      <c r="AA772" s="6" t="str">
        <v>Telecommunications Equipment;Programming Services;Internet Services &amp; Software;Primary Business not Hi-Tech;Computer Consulting Services</v>
      </c>
      <c r="AB772" s="6" t="str">
        <v>Primary Business not Hi-Tech;Computer Consulting Services;Programming Services;Telecommunications Equipment;Internet Services &amp; Software</v>
      </c>
    </row>
    <row r="773">
      <c r="A773" s="6" t="str">
        <v>38259P</v>
      </c>
      <c r="B773" s="6" t="str">
        <v>United States</v>
      </c>
      <c r="C773" s="6" t="str">
        <v>Google Inc</v>
      </c>
      <c r="D773" s="6" t="str">
        <v>Alphabet Inc</v>
      </c>
      <c r="F773" s="6" t="str">
        <v>United States</v>
      </c>
      <c r="G773" s="6" t="str">
        <v>Appurify Inc</v>
      </c>
      <c r="H773" s="6" t="str">
        <v>Prepackaged Software</v>
      </c>
      <c r="I773" s="6" t="str">
        <v>5A4884</v>
      </c>
      <c r="J773" s="6" t="str">
        <v>Appurify Inc</v>
      </c>
      <c r="K773" s="6" t="str">
        <v>Appurify Inc</v>
      </c>
      <c r="L773" s="7">
        <f>=DATE(2014,6,25)</f>
        <v>41814.99949074074</v>
      </c>
      <c r="M773" s="7">
        <f>=DATE(2014,6,25)</f>
        <v>41814.99949074074</v>
      </c>
      <c r="W773" s="6" t="str">
        <v>Programming Services;Internet Services &amp; Software</v>
      </c>
      <c r="X773" s="6" t="str">
        <v>Internet Services &amp; Software;Communication/Network Software</v>
      </c>
      <c r="Y773" s="6" t="str">
        <v>Internet Services &amp; Software;Communication/Network Software</v>
      </c>
      <c r="Z773" s="6" t="str">
        <v>Internet Services &amp; Software;Communication/Network Software</v>
      </c>
      <c r="AA773" s="6" t="str">
        <v>Programming Services;Primary Business not Hi-Tech;Computer Consulting Services;Internet Services &amp; Software;Telecommunications Equipment</v>
      </c>
      <c r="AB773" s="6" t="str">
        <v>Telecommunications Equipment;Programming Services;Internet Services &amp; Software;Computer Consulting Services;Primary Business not Hi-Tech</v>
      </c>
    </row>
    <row r="774">
      <c r="A774" s="6" t="str">
        <v>38259P</v>
      </c>
      <c r="B774" s="6" t="str">
        <v>United States</v>
      </c>
      <c r="C774" s="6" t="str">
        <v>Google Inc</v>
      </c>
      <c r="D774" s="6" t="str">
        <v>Alphabet Inc</v>
      </c>
      <c r="F774" s="6" t="str">
        <v>United States</v>
      </c>
      <c r="G774" s="6" t="str">
        <v>Songza Inc</v>
      </c>
      <c r="H774" s="6" t="str">
        <v>Business Services</v>
      </c>
      <c r="I774" s="6" t="str">
        <v>83255Z</v>
      </c>
      <c r="J774" s="6" t="str">
        <v>Amie Street Inc</v>
      </c>
      <c r="K774" s="6" t="str">
        <v>Amie Street Inc</v>
      </c>
      <c r="L774" s="7">
        <f>=DATE(2014,7,1)</f>
        <v>41820.99949074074</v>
      </c>
      <c r="W774" s="6" t="str">
        <v>Programming Services;Internet Services &amp; Software</v>
      </c>
      <c r="X774" s="6" t="str">
        <v>Internet Services &amp; Software</v>
      </c>
      <c r="Y774" s="6" t="str">
        <v>Internet Services &amp; Software</v>
      </c>
      <c r="Z774" s="6" t="str">
        <v>Internet Services &amp; Software</v>
      </c>
      <c r="AA774" s="6" t="str">
        <v>Programming Services;Telecommunications Equipment;Primary Business not Hi-Tech;Computer Consulting Services;Internet Services &amp; Software</v>
      </c>
      <c r="AB774" s="6" t="str">
        <v>Internet Services &amp; Software;Primary Business not Hi-Tech;Programming Services;Computer Consulting Services;Telecommunications Equipment</v>
      </c>
    </row>
    <row r="775">
      <c r="A775" s="6" t="str">
        <v>30303M</v>
      </c>
      <c r="B775" s="6" t="str">
        <v>United States</v>
      </c>
      <c r="C775" s="6" t="str">
        <v>Facebook Inc</v>
      </c>
      <c r="D775" s="6" t="str">
        <v>Facebook Inc</v>
      </c>
      <c r="F775" s="6" t="str">
        <v>United States</v>
      </c>
      <c r="G775" s="6" t="str">
        <v>LiveRail Inc</v>
      </c>
      <c r="H775" s="6" t="str">
        <v>Advertising Services</v>
      </c>
      <c r="I775" s="6" t="str">
        <v>1C5858</v>
      </c>
      <c r="J775" s="6" t="str">
        <v>LiveRail Inc</v>
      </c>
      <c r="K775" s="6" t="str">
        <v>LiveRail Inc</v>
      </c>
      <c r="L775" s="7">
        <f>=DATE(2014,7,2)</f>
        <v>41821.99949074074</v>
      </c>
      <c r="W775" s="6" t="str">
        <v>Internet Services &amp; Software</v>
      </c>
      <c r="X775" s="6" t="str">
        <v>Primary Business not Hi-Tech;Internet Services &amp; Software</v>
      </c>
      <c r="Y775" s="6" t="str">
        <v>Primary Business not Hi-Tech;Internet Services &amp; Software</v>
      </c>
      <c r="Z775" s="6" t="str">
        <v>Internet Services &amp; Software;Primary Business not Hi-Tech</v>
      </c>
      <c r="AA775" s="6" t="str">
        <v>Internet Services &amp; Software</v>
      </c>
      <c r="AB775" s="6" t="str">
        <v>Internet Services &amp; Software</v>
      </c>
      <c r="AD775" s="7">
        <f>=DATE(2014,7,2)</f>
        <v>41821.99949074074</v>
      </c>
    </row>
    <row r="776">
      <c r="A776" s="6" t="str">
        <v>594918</v>
      </c>
      <c r="B776" s="6" t="str">
        <v>United States</v>
      </c>
      <c r="C776" s="6" t="str">
        <v>Microsoft Corp</v>
      </c>
      <c r="D776" s="6" t="str">
        <v>Microsoft Corp</v>
      </c>
      <c r="F776" s="6" t="str">
        <v>France</v>
      </c>
      <c r="G776" s="6" t="str">
        <v>Syntaxtree SARL</v>
      </c>
      <c r="H776" s="6" t="str">
        <v>Business Services</v>
      </c>
      <c r="I776" s="6" t="str">
        <v>1C6021</v>
      </c>
      <c r="J776" s="6" t="str">
        <v>Syntaxtree SARL</v>
      </c>
      <c r="K776" s="6" t="str">
        <v>Syntaxtree SARL</v>
      </c>
      <c r="L776" s="7">
        <f>=DATE(2014,7,2)</f>
        <v>41821.99949074074</v>
      </c>
      <c r="M776" s="7">
        <f>=DATE(2014,7,2)</f>
        <v>41821.99949074074</v>
      </c>
      <c r="R776" s="8">
        <v>0.048194761917876</v>
      </c>
      <c r="S776" s="8">
        <v>0.406212993307813</v>
      </c>
      <c r="W776" s="6" t="str">
        <v>Other Peripherals;Operating Systems;Applications Software(Business;Internet Services &amp; Software;Computer Consulting Services;Monitors/Terminals</v>
      </c>
      <c r="X776" s="6" t="str">
        <v>Other Software (inq. Games);Other Computer Related Svcs;Computer Consulting Services</v>
      </c>
      <c r="Y776" s="6" t="str">
        <v>Other Software (inq. Games);Other Computer Related Svcs;Computer Consulting Services</v>
      </c>
      <c r="Z776" s="6" t="str">
        <v>Computer Consulting Services;Other Software (inq. Games);Other Computer Related Svcs</v>
      </c>
      <c r="AA776" s="6" t="str">
        <v>Monitors/Terminals;Applications Software(Business;Operating Systems;Internet Services &amp; Software;Other Peripherals;Computer Consulting Services</v>
      </c>
      <c r="AB776" s="6" t="str">
        <v>Other Peripherals;Internet Services &amp; Software;Computer Consulting Services;Operating Systems;Monitors/Terminals;Applications Software(Business</v>
      </c>
    </row>
    <row r="777">
      <c r="A777" s="6" t="str">
        <v>594918</v>
      </c>
      <c r="B777" s="6" t="str">
        <v>United States</v>
      </c>
      <c r="C777" s="6" t="str">
        <v>Microsoft Corp</v>
      </c>
      <c r="D777" s="6" t="str">
        <v>Microsoft Corp</v>
      </c>
      <c r="F777" s="6" t="str">
        <v>United States</v>
      </c>
      <c r="G777" s="6" t="str">
        <v>InMage Systems Inc</v>
      </c>
      <c r="H777" s="6" t="str">
        <v>Prepackaged Software</v>
      </c>
      <c r="I777" s="6" t="str">
        <v>1C7562</v>
      </c>
      <c r="J777" s="6" t="str">
        <v>InMage Systems Inc</v>
      </c>
      <c r="K777" s="6" t="str">
        <v>InMage Systems Inc</v>
      </c>
      <c r="L777" s="7">
        <f>=DATE(2014,7,11)</f>
        <v>41830.99949074074</v>
      </c>
      <c r="M777" s="7">
        <f>=DATE(2014,7,11)</f>
        <v>41830.99949074074</v>
      </c>
      <c r="W777" s="6" t="str">
        <v>Monitors/Terminals;Operating Systems;Other Peripherals;Applications Software(Business;Computer Consulting Services;Internet Services &amp; Software</v>
      </c>
      <c r="X777" s="6" t="str">
        <v>Other Software (inq. Games)</v>
      </c>
      <c r="Y777" s="6" t="str">
        <v>Other Software (inq. Games)</v>
      </c>
      <c r="Z777" s="6" t="str">
        <v>Other Software (inq. Games)</v>
      </c>
      <c r="AA777" s="6" t="str">
        <v>Monitors/Terminals;Applications Software(Business;Operating Systems;Internet Services &amp; Software;Other Peripherals;Computer Consulting Services</v>
      </c>
      <c r="AB777" s="6" t="str">
        <v>Computer Consulting Services;Monitors/Terminals;Operating Systems;Applications Software(Business;Other Peripherals;Internet Services &amp; Software</v>
      </c>
    </row>
    <row r="778">
      <c r="A778" s="6" t="str">
        <v>53578A</v>
      </c>
      <c r="B778" s="6" t="str">
        <v>United States</v>
      </c>
      <c r="C778" s="6" t="str">
        <v>LinkedIn Corp</v>
      </c>
      <c r="D778" s="6" t="str">
        <v>LinkedIn Corp</v>
      </c>
      <c r="F778" s="6" t="str">
        <v>United States</v>
      </c>
      <c r="G778" s="6" t="str">
        <v>Newsle Inc</v>
      </c>
      <c r="H778" s="6" t="str">
        <v>Business Services</v>
      </c>
      <c r="I778" s="6" t="str">
        <v>1C7883</v>
      </c>
      <c r="J778" s="6" t="str">
        <v>Newsle Inc</v>
      </c>
      <c r="K778" s="6" t="str">
        <v>Newsle Inc</v>
      </c>
      <c r="L778" s="7">
        <f>=DATE(2014,7,14)</f>
        <v>41833.99949074074</v>
      </c>
      <c r="M778" s="7">
        <f>=DATE(2014,7,14)</f>
        <v>41833.99949074074</v>
      </c>
      <c r="W778" s="6" t="str">
        <v>Internet Services &amp; Software</v>
      </c>
      <c r="X778" s="6" t="str">
        <v>Internet Services &amp; Software</v>
      </c>
      <c r="Y778" s="6" t="str">
        <v>Internet Services &amp; Software</v>
      </c>
      <c r="Z778" s="6" t="str">
        <v>Internet Services &amp; Software</v>
      </c>
      <c r="AA778" s="6" t="str">
        <v>Internet Services &amp; Software</v>
      </c>
      <c r="AB778" s="6" t="str">
        <v>Internet Services &amp; Software</v>
      </c>
    </row>
    <row r="779">
      <c r="A779" s="6" t="str">
        <v>594918</v>
      </c>
      <c r="B779" s="6" t="str">
        <v>United States</v>
      </c>
      <c r="C779" s="6" t="str">
        <v>Microsoft Corp</v>
      </c>
      <c r="D779" s="6" t="str">
        <v>Microsoft Corp</v>
      </c>
      <c r="F779" s="6" t="str">
        <v>Israel</v>
      </c>
      <c r="G779" s="6" t="str">
        <v>Aorato Ltd</v>
      </c>
      <c r="H779" s="6" t="str">
        <v>Prepackaged Software</v>
      </c>
      <c r="I779" s="6" t="str">
        <v>1C8516</v>
      </c>
      <c r="J779" s="6" t="str">
        <v>Aorato Ltd</v>
      </c>
      <c r="K779" s="6" t="str">
        <v>Aorato Ltd</v>
      </c>
      <c r="L779" s="7">
        <f>=DATE(2014,7,15)</f>
        <v>41834.99949074074</v>
      </c>
      <c r="M779" s="7">
        <f>=DATE(2014,12,13)</f>
        <v>41985.99949074074</v>
      </c>
      <c r="W779" s="6" t="str">
        <v>Other Peripherals;Computer Consulting Services;Internet Services &amp; Software;Applications Software(Business;Monitors/Terminals;Operating Systems</v>
      </c>
      <c r="X779" s="6" t="str">
        <v>Communication/Network Software;Internet Services &amp; Software</v>
      </c>
      <c r="Y779" s="6" t="str">
        <v>Communication/Network Software;Internet Services &amp; Software</v>
      </c>
      <c r="Z779" s="6" t="str">
        <v>Internet Services &amp; Software;Communication/Network Software</v>
      </c>
      <c r="AA779" s="6" t="str">
        <v>Monitors/Terminals;Internet Services &amp; Software;Computer Consulting Services;Other Peripherals;Operating Systems;Applications Software(Business</v>
      </c>
      <c r="AB779" s="6" t="str">
        <v>Computer Consulting Services;Applications Software(Business;Monitors/Terminals;Internet Services &amp; Software;Operating Systems;Other Peripherals</v>
      </c>
    </row>
    <row r="780">
      <c r="A780" s="6" t="str">
        <v>53578A</v>
      </c>
      <c r="B780" s="6" t="str">
        <v>United States</v>
      </c>
      <c r="C780" s="6" t="str">
        <v>LinkedIn Corp</v>
      </c>
      <c r="D780" s="6" t="str">
        <v>LinkedIn Corp</v>
      </c>
      <c r="F780" s="6" t="str">
        <v>United States</v>
      </c>
      <c r="G780" s="6" t="str">
        <v>Bizo Inc</v>
      </c>
      <c r="H780" s="6" t="str">
        <v>Prepackaged Software</v>
      </c>
      <c r="I780" s="6" t="str">
        <v>1C9108</v>
      </c>
      <c r="J780" s="6" t="str">
        <v>Bizo Inc</v>
      </c>
      <c r="K780" s="6" t="str">
        <v>Bizo Inc</v>
      </c>
      <c r="L780" s="7">
        <f>=DATE(2014,7,22)</f>
        <v>41841.99949074074</v>
      </c>
      <c r="M780" s="7">
        <f>=DATE(2014,8,13)</f>
        <v>41863.99949074074</v>
      </c>
      <c r="N780" s="8">
        <v>175</v>
      </c>
      <c r="O780" s="8">
        <v>175</v>
      </c>
      <c r="W780" s="6" t="str">
        <v>Internet Services &amp; Software</v>
      </c>
      <c r="X780" s="6" t="str">
        <v>Applications Software(Business</v>
      </c>
      <c r="Y780" s="6" t="str">
        <v>Applications Software(Business</v>
      </c>
      <c r="Z780" s="6" t="str">
        <v>Applications Software(Business</v>
      </c>
      <c r="AA780" s="6" t="str">
        <v>Internet Services &amp; Software</v>
      </c>
      <c r="AB780" s="6" t="str">
        <v>Internet Services &amp; Software</v>
      </c>
      <c r="AC780" s="8">
        <v>175</v>
      </c>
      <c r="AD780" s="7">
        <f>=DATE(2014,7,22)</f>
        <v>41841.99949074074</v>
      </c>
      <c r="AF780" s="8" t="str">
        <v>175.00</v>
      </c>
      <c r="AG780" s="8" t="str">
        <v>175.00</v>
      </c>
      <c r="AH780" s="8" t="str">
        <v>175.00</v>
      </c>
      <c r="AI780" s="8" t="str">
        <v>175.00</v>
      </c>
      <c r="AJ780" s="8" t="str">
        <v>162.75;12.25</v>
      </c>
      <c r="AK780" s="6" t="str">
        <v>US Dollar;US Dollar</v>
      </c>
      <c r="AL780" s="8">
        <v>175</v>
      </c>
    </row>
    <row r="781">
      <c r="A781" s="6" t="str">
        <v>67020Y</v>
      </c>
      <c r="B781" s="6" t="str">
        <v>United States</v>
      </c>
      <c r="C781" s="6" t="str">
        <v>Nuance Communications Inc</v>
      </c>
      <c r="D781" s="6" t="str">
        <v>Nuance Communications Inc</v>
      </c>
      <c r="F781" s="6" t="str">
        <v>United States</v>
      </c>
      <c r="G781" s="6" t="str">
        <v>Notable Solutions Inc</v>
      </c>
      <c r="H781" s="6" t="str">
        <v>Prepackaged Software</v>
      </c>
      <c r="I781" s="6" t="str">
        <v>66923W</v>
      </c>
      <c r="J781" s="6" t="str">
        <v>Notable Solutions Inc</v>
      </c>
      <c r="K781" s="6" t="str">
        <v>Notable Solutions Inc</v>
      </c>
      <c r="L781" s="7">
        <f>=DATE(2014,7,22)</f>
        <v>41841.99949074074</v>
      </c>
      <c r="M781" s="7">
        <f>=DATE(2014,7,22)</f>
        <v>41841.99949074074</v>
      </c>
      <c r="W781" s="6" t="str">
        <v>Database Software/Programming;Desktop Publishing;Applications Software(Business;Programming Services;Applications Software(Home);Utilities/File Mgmt Software;Other Software (inq. Games);Primary Business not Hi-Tech;Computer Consulting Services;Networking Systems (LAN,WAN);Other Computer Related Svcs;Internet Services &amp; Software;Communication/Network Software</v>
      </c>
      <c r="X781" s="6" t="str">
        <v>Other Computer Related Svcs;Data Processing Services;Computer Consulting Services;Turnkey Systems;Internet Services &amp; Software;Other Software (inq. Games)</v>
      </c>
      <c r="Y781" s="6" t="str">
        <v>Computer Consulting Services;Other Software (inq. Games);Internet Services &amp; Software;Turnkey Systems;Other Computer Related Svcs;Data Processing Services</v>
      </c>
      <c r="Z781" s="6" t="str">
        <v>Data Processing Services;Computer Consulting Services;Other Software (inq. Games);Other Computer Related Svcs;Turnkey Systems;Internet Services &amp; Software</v>
      </c>
      <c r="AA781" s="6" t="str">
        <v>Programming Services;Communication/Network Software;Other Software (inq. Games);Computer Consulting Services;Database Software/Programming;Other Computer Related Svcs;Applications Software(Home);Applications Software(Business;Internet Services &amp; Software;Desktop Publishing;Utilities/File Mgmt Software;Primary Business not Hi-Tech;Networking Systems (LAN,WAN)</v>
      </c>
      <c r="AB781" s="6" t="str">
        <v>Primary Business not Hi-Tech;Utilities/File Mgmt Software;Other Computer Related Svcs;Applications Software(Home);Communication/Network Software;Computer Consulting Services;Internet Services &amp; Software;Database Software/Programming;Other Software (inq. Games);Networking Systems (LAN,WAN);Desktop Publishing;Applications Software(Business;Programming Services</v>
      </c>
    </row>
    <row r="782">
      <c r="A782" s="6" t="str">
        <v>38259P</v>
      </c>
      <c r="B782" s="6" t="str">
        <v>United States</v>
      </c>
      <c r="C782" s="6" t="str">
        <v>Google Inc</v>
      </c>
      <c r="D782" s="6" t="str">
        <v>Alphabet Inc</v>
      </c>
      <c r="F782" s="6" t="str">
        <v>Finland</v>
      </c>
      <c r="G782" s="6" t="str">
        <v>drawElements Oy</v>
      </c>
      <c r="H782" s="6" t="str">
        <v>Prepackaged Software</v>
      </c>
      <c r="I782" s="6" t="str">
        <v>1C9339</v>
      </c>
      <c r="J782" s="6" t="str">
        <v>drawElements Oy</v>
      </c>
      <c r="K782" s="6" t="str">
        <v>drawElements Oy</v>
      </c>
      <c r="L782" s="7">
        <f>=DATE(2014,7,23)</f>
        <v>41842.99949074074</v>
      </c>
      <c r="M782" s="7">
        <f>=DATE(2014,7,23)</f>
        <v>41842.99949074074</v>
      </c>
      <c r="W782" s="6" t="str">
        <v>Programming Services;Internet Services &amp; Software</v>
      </c>
      <c r="X782" s="6" t="str">
        <v>Applications Software(Business</v>
      </c>
      <c r="Y782" s="6" t="str">
        <v>Applications Software(Business</v>
      </c>
      <c r="Z782" s="6" t="str">
        <v>Applications Software(Business</v>
      </c>
      <c r="AA782" s="6" t="str">
        <v>Internet Services &amp; Software;Telecommunications Equipment;Programming Services;Computer Consulting Services;Primary Business not Hi-Tech</v>
      </c>
      <c r="AB782" s="6" t="str">
        <v>Internet Services &amp; Software;Primary Business not Hi-Tech;Computer Consulting Services;Programming Services;Telecommunications Equipment</v>
      </c>
    </row>
    <row r="783">
      <c r="A783" s="6" t="str">
        <v>037833</v>
      </c>
      <c r="B783" s="6" t="str">
        <v>United States</v>
      </c>
      <c r="C783" s="6" t="str">
        <v>Apple Inc</v>
      </c>
      <c r="D783" s="6" t="str">
        <v>Apple Inc</v>
      </c>
      <c r="F783" s="6" t="str">
        <v>United States</v>
      </c>
      <c r="G783" s="6" t="str">
        <v>Concept.io Inc</v>
      </c>
      <c r="H783" s="6" t="str">
        <v>Prepackaged Software</v>
      </c>
      <c r="I783" s="6" t="str">
        <v>1C9884</v>
      </c>
      <c r="J783" s="6" t="str">
        <v>Concept.io Inc</v>
      </c>
      <c r="K783" s="6" t="str">
        <v>Concept.io Inc</v>
      </c>
      <c r="L783" s="7">
        <f>=DATE(2014,7,27)</f>
        <v>41846.99949074074</v>
      </c>
      <c r="W783" s="6" t="str">
        <v>Micro-Computers (PCs);Printers;Other Software (inq. Games);Mainframes &amp; Super Computers;Monitors/Terminals;Other Peripherals;Portable Computers;Disk Drives</v>
      </c>
      <c r="X783" s="6" t="str">
        <v>Applications Software(Business;Internet Services &amp; Software;Other Software (inq. Games);Applications Software(Home);Utilities/File Mgmt Software;Communication/Network Software;Desktop Publishing</v>
      </c>
      <c r="Y783" s="6" t="str">
        <v>Communication/Network Software;Applications Software(Home);Desktop Publishing;Applications Software(Business;Internet Services &amp; Software;Other Software (inq. Games);Utilities/File Mgmt Software</v>
      </c>
      <c r="Z783" s="6" t="str">
        <v>Other Software (inq. Games);Applications Software(Business;Communication/Network Software;Applications Software(Home);Utilities/File Mgmt Software;Desktop Publishing;Internet Services &amp; Software</v>
      </c>
      <c r="AA783" s="6" t="str">
        <v>Mainframes &amp; Super Computers;Other Peripherals;Disk Drives;Portable Computers;Other Software (inq. Games);Monitors/Terminals;Printers;Micro-Computers (PCs)</v>
      </c>
      <c r="AB783" s="6" t="str">
        <v>Printers;Micro-Computers (PCs);Other Software (inq. Games);Monitors/Terminals;Portable Computers;Other Peripherals;Mainframes &amp; Super Computers;Disk Drives</v>
      </c>
    </row>
    <row r="784">
      <c r="A784" s="6" t="str">
        <v>38259P</v>
      </c>
      <c r="B784" s="6" t="str">
        <v>United States</v>
      </c>
      <c r="C784" s="6" t="str">
        <v>Google Inc</v>
      </c>
      <c r="D784" s="6" t="str">
        <v>Alphabet Inc</v>
      </c>
      <c r="F784" s="6" t="str">
        <v>United States</v>
      </c>
      <c r="G784" s="6" t="str">
        <v>Tinker Square Inc</v>
      </c>
      <c r="H784" s="6" t="str">
        <v>Prepackaged Software</v>
      </c>
      <c r="I784" s="6" t="str">
        <v>2C1642</v>
      </c>
      <c r="J784" s="6" t="str">
        <v>Tinker Square Inc</v>
      </c>
      <c r="K784" s="6" t="str">
        <v>Tinker Square Inc</v>
      </c>
      <c r="L784" s="7">
        <f>=DATE(2014,8,6)</f>
        <v>41856.99949074074</v>
      </c>
      <c r="M784" s="7">
        <f>=DATE(2014,8,6)</f>
        <v>41856.99949074074</v>
      </c>
      <c r="W784" s="6" t="str">
        <v>Internet Services &amp; Software;Programming Services</v>
      </c>
      <c r="X784" s="6" t="str">
        <v>Communication/Network Software;Applications Software(Home);Applications Software(Business</v>
      </c>
      <c r="Y784" s="6" t="str">
        <v>Applications Software(Business;Applications Software(Home);Communication/Network Software</v>
      </c>
      <c r="Z784" s="6" t="str">
        <v>Applications Software(Home);Communication/Network Software;Applications Software(Business</v>
      </c>
      <c r="AA784" s="6" t="str">
        <v>Primary Business not Hi-Tech;Internet Services &amp; Software;Programming Services;Telecommunications Equipment;Computer Consulting Services</v>
      </c>
      <c r="AB784" s="6" t="str">
        <v>Programming Services;Internet Services &amp; Software;Computer Consulting Services;Primary Business not Hi-Tech;Telecommunications Equipment</v>
      </c>
    </row>
    <row r="785">
      <c r="A785" s="6" t="str">
        <v>98787H</v>
      </c>
      <c r="B785" s="6" t="str">
        <v>United States</v>
      </c>
      <c r="C785" s="6" t="str">
        <v>YouTube Inc</v>
      </c>
      <c r="D785" s="6" t="str">
        <v>Alphabet Inc</v>
      </c>
      <c r="F785" s="6" t="str">
        <v>United States</v>
      </c>
      <c r="G785" s="6" t="str">
        <v>Directr Inc</v>
      </c>
      <c r="H785" s="6" t="str">
        <v>Prepackaged Software</v>
      </c>
      <c r="I785" s="6" t="str">
        <v>2C1722</v>
      </c>
      <c r="J785" s="6" t="str">
        <v>Directr Inc</v>
      </c>
      <c r="K785" s="6" t="str">
        <v>Directr Inc</v>
      </c>
      <c r="L785" s="7">
        <f>=DATE(2014,8,6)</f>
        <v>41856.99949074074</v>
      </c>
      <c r="M785" s="7">
        <f>=DATE(2014,8,6)</f>
        <v>41856.99949074074</v>
      </c>
      <c r="W785" s="6" t="str">
        <v>Internet Services &amp; Software</v>
      </c>
      <c r="X785" s="6" t="str">
        <v>Applications Software(Home);Applications Software(Business;Communication/Network Software</v>
      </c>
      <c r="Y785" s="6" t="str">
        <v>Applications Software(Home);Applications Software(Business;Communication/Network Software</v>
      </c>
      <c r="Z785" s="6" t="str">
        <v>Applications Software(Business;Applications Software(Home);Communication/Network Software</v>
      </c>
      <c r="AA785" s="6" t="str">
        <v>Programming Services;Internet Services &amp; Software</v>
      </c>
      <c r="AB785" s="6" t="str">
        <v>Primary Business not Hi-Tech;Telecommunications Equipment;Programming Services;Computer Consulting Services;Internet Services &amp; Software</v>
      </c>
    </row>
    <row r="786">
      <c r="A786" s="6" t="str">
        <v>30303M</v>
      </c>
      <c r="B786" s="6" t="str">
        <v>United States</v>
      </c>
      <c r="C786" s="6" t="str">
        <v>Facebook Inc</v>
      </c>
      <c r="D786" s="6" t="str">
        <v>Facebook Inc</v>
      </c>
      <c r="F786" s="6" t="str">
        <v>United States</v>
      </c>
      <c r="G786" s="6" t="str">
        <v>PrivateCore Inc</v>
      </c>
      <c r="H786" s="6" t="str">
        <v>Business Services</v>
      </c>
      <c r="I786" s="6" t="str">
        <v>2C1841</v>
      </c>
      <c r="J786" s="6" t="str">
        <v>PrivateCore Inc</v>
      </c>
      <c r="K786" s="6" t="str">
        <v>PrivateCore Inc</v>
      </c>
      <c r="L786" s="7">
        <f>=DATE(2014,8,8)</f>
        <v>41858.99949074074</v>
      </c>
      <c r="W786" s="6" t="str">
        <v>Internet Services &amp; Software</v>
      </c>
      <c r="X786" s="6" t="str">
        <v>Programming Services;Database Software/Programming</v>
      </c>
      <c r="Y786" s="6" t="str">
        <v>Database Software/Programming;Programming Services</v>
      </c>
      <c r="Z786" s="6" t="str">
        <v>Database Software/Programming;Programming Services</v>
      </c>
      <c r="AA786" s="6" t="str">
        <v>Internet Services &amp; Software</v>
      </c>
      <c r="AB786" s="6" t="str">
        <v>Internet Services &amp; Software</v>
      </c>
    </row>
    <row r="787">
      <c r="A787" s="6" t="str">
        <v>38259P</v>
      </c>
      <c r="B787" s="6" t="str">
        <v>United States</v>
      </c>
      <c r="C787" s="6" t="str">
        <v>Google Inc</v>
      </c>
      <c r="D787" s="6" t="str">
        <v>Alphabet Inc</v>
      </c>
      <c r="F787" s="6" t="str">
        <v>United States</v>
      </c>
      <c r="G787" s="6" t="str">
        <v>Jetpac Inc</v>
      </c>
      <c r="H787" s="6" t="str">
        <v>Prepackaged Software</v>
      </c>
      <c r="I787" s="6" t="str">
        <v>2C3501</v>
      </c>
      <c r="J787" s="6" t="str">
        <v>Jetpac Inc</v>
      </c>
      <c r="K787" s="6" t="str">
        <v>Jetpac Inc</v>
      </c>
      <c r="L787" s="7">
        <f>=DATE(2014,8,15)</f>
        <v>41865.99949074074</v>
      </c>
      <c r="M787" s="7">
        <f>=DATE(2014,8,17)</f>
        <v>41867.99949074074</v>
      </c>
      <c r="W787" s="6" t="str">
        <v>Internet Services &amp; Software;Programming Services</v>
      </c>
      <c r="X787" s="6" t="str">
        <v>Internet Services &amp; Software</v>
      </c>
      <c r="Y787" s="6" t="str">
        <v>Internet Services &amp; Software</v>
      </c>
      <c r="Z787" s="6" t="str">
        <v>Internet Services &amp; Software</v>
      </c>
      <c r="AA787" s="6" t="str">
        <v>Primary Business not Hi-Tech;Telecommunications Equipment;Computer Consulting Services;Programming Services;Internet Services &amp; Software</v>
      </c>
      <c r="AB787" s="6" t="str">
        <v>Computer Consulting Services;Telecommunications Equipment;Primary Business not Hi-Tech;Internet Services &amp; Software;Programming Services</v>
      </c>
    </row>
    <row r="788">
      <c r="A788" s="6" t="str">
        <v>023135</v>
      </c>
      <c r="B788" s="6" t="str">
        <v>United States</v>
      </c>
      <c r="C788" s="6" t="str">
        <v>Amazon.com Inc</v>
      </c>
      <c r="D788" s="6" t="str">
        <v>Amazon.com Inc</v>
      </c>
      <c r="F788" s="6" t="str">
        <v>United States</v>
      </c>
      <c r="G788" s="6" t="str">
        <v>Twitch Interactive Inc</v>
      </c>
      <c r="H788" s="6" t="str">
        <v>Business Services</v>
      </c>
      <c r="I788" s="6" t="str">
        <v>0C6551</v>
      </c>
      <c r="J788" s="6" t="str">
        <v>Twitch Interactive Inc</v>
      </c>
      <c r="K788" s="6" t="str">
        <v>Twitch Interactive Inc</v>
      </c>
      <c r="L788" s="7">
        <f>=DATE(2014,8,25)</f>
        <v>41875.99949074074</v>
      </c>
      <c r="M788" s="7">
        <f>=DATE(2014,9,25)</f>
        <v>41906.99949074074</v>
      </c>
      <c r="N788" s="8">
        <v>970</v>
      </c>
      <c r="O788" s="8">
        <v>970</v>
      </c>
      <c r="W788" s="6" t="str">
        <v>Primary Business not Hi-Tech</v>
      </c>
      <c r="X788" s="6" t="str">
        <v>Internet Services &amp; Software</v>
      </c>
      <c r="Y788" s="6" t="str">
        <v>Internet Services &amp; Software</v>
      </c>
      <c r="Z788" s="6" t="str">
        <v>Internet Services &amp; Software</v>
      </c>
      <c r="AA788" s="6" t="str">
        <v>Primary Business not Hi-Tech</v>
      </c>
      <c r="AB788" s="6" t="str">
        <v>Primary Business not Hi-Tech</v>
      </c>
      <c r="AC788" s="8">
        <v>970</v>
      </c>
      <c r="AD788" s="7">
        <f>=DATE(2014,8,25)</f>
        <v>41875.99949074074</v>
      </c>
      <c r="AJ788" s="8" t="str">
        <v>970.00</v>
      </c>
      <c r="AK788" s="6" t="str">
        <v>US Dollar</v>
      </c>
      <c r="AL788" s="8">
        <v>970</v>
      </c>
    </row>
    <row r="789">
      <c r="A789" s="6" t="str">
        <v>38259P</v>
      </c>
      <c r="B789" s="6" t="str">
        <v>United States</v>
      </c>
      <c r="C789" s="6" t="str">
        <v>Google Inc</v>
      </c>
      <c r="D789" s="6" t="str">
        <v>Alphabet Inc</v>
      </c>
      <c r="F789" s="6" t="str">
        <v>United States</v>
      </c>
      <c r="G789" s="6" t="str">
        <v>Zync Inc</v>
      </c>
      <c r="H789" s="6" t="str">
        <v>Prepackaged Software</v>
      </c>
      <c r="I789" s="6" t="str">
        <v>2C5207</v>
      </c>
      <c r="J789" s="6" t="str">
        <v>Zync Inc</v>
      </c>
      <c r="K789" s="6" t="str">
        <v>Zync Inc</v>
      </c>
      <c r="L789" s="7">
        <f>=DATE(2014,8,26)</f>
        <v>41876.99949074074</v>
      </c>
      <c r="M789" s="7">
        <f>=DATE(2014,8,26)</f>
        <v>41876.99949074074</v>
      </c>
      <c r="W789" s="6" t="str">
        <v>Programming Services;Internet Services &amp; Software</v>
      </c>
      <c r="X789" s="6" t="str">
        <v>Applications Software(Business;Other Software (inq. Games)</v>
      </c>
      <c r="Y789" s="6" t="str">
        <v>Applications Software(Business;Other Software (inq. Games)</v>
      </c>
      <c r="Z789" s="6" t="str">
        <v>Applications Software(Business;Other Software (inq. Games)</v>
      </c>
      <c r="AA789" s="6" t="str">
        <v>Primary Business not Hi-Tech;Internet Services &amp; Software;Computer Consulting Services;Programming Services;Telecommunications Equipment</v>
      </c>
      <c r="AB789" s="6" t="str">
        <v>Internet Services &amp; Software;Programming Services;Computer Consulting Services;Primary Business not Hi-Tech;Telecommunications Equipment</v>
      </c>
    </row>
    <row r="790">
      <c r="A790" s="6" t="str">
        <v>037833</v>
      </c>
      <c r="B790" s="6" t="str">
        <v>United States</v>
      </c>
      <c r="C790" s="6" t="str">
        <v>Apple Inc</v>
      </c>
      <c r="D790" s="6" t="str">
        <v>Apple Inc</v>
      </c>
      <c r="F790" s="6" t="str">
        <v>United States</v>
      </c>
      <c r="G790" s="6" t="str">
        <v>Apple Inc</v>
      </c>
      <c r="H790" s="6" t="str">
        <v>Computer and Office Equipment</v>
      </c>
      <c r="I790" s="6" t="str">
        <v>037833</v>
      </c>
      <c r="J790" s="6" t="str">
        <v>Apple Inc</v>
      </c>
      <c r="K790" s="6" t="str">
        <v>Apple Inc</v>
      </c>
      <c r="L790" s="7">
        <f>=DATE(2014,8,31)</f>
        <v>41881.99949074074</v>
      </c>
      <c r="M790" s="7">
        <f>=DATE(2015,2,28)</f>
        <v>42062.99949074074</v>
      </c>
      <c r="N790" s="8">
        <v>9000</v>
      </c>
      <c r="O790" s="8">
        <v>9000</v>
      </c>
      <c r="P790" s="8" t="str">
        <v>654,269.08</v>
      </c>
      <c r="R790" s="8">
        <v>38555</v>
      </c>
      <c r="S790" s="8">
        <v>178144</v>
      </c>
      <c r="T790" s="8">
        <v>-29677</v>
      </c>
      <c r="U790" s="8">
        <v>-24965</v>
      </c>
      <c r="V790" s="8">
        <v>59027</v>
      </c>
      <c r="W790" s="6" t="str">
        <v>Other Software (inq. Games);Micro-Computers (PCs);Printers;Disk Drives;Monitors/Terminals;Portable Computers;Other Peripherals;Mainframes &amp; Super Computers</v>
      </c>
      <c r="X790" s="6" t="str">
        <v>Other Software (inq. Games);Printers;Disk Drives;Other Peripherals;Mainframes &amp; Super Computers;Micro-Computers (PCs);Portable Computers;Monitors/Terminals</v>
      </c>
      <c r="Y790" s="6" t="str">
        <v>Portable Computers;Other Peripherals;Printers;Disk Drives;Other Software (inq. Games);Monitors/Terminals;Mainframes &amp; Super Computers;Micro-Computers (PCs)</v>
      </c>
      <c r="Z790" s="6" t="str">
        <v>Portable Computers;Micro-Computers (PCs);Other Software (inq. Games);Disk Drives;Mainframes &amp; Super Computers;Printers;Monitors/Terminals;Other Peripherals</v>
      </c>
      <c r="AA790" s="6" t="str">
        <v>Disk Drives;Other Software (inq. Games);Other Peripherals;Monitors/Terminals;Micro-Computers (PCs);Printers;Mainframes &amp; Super Computers;Portable Computers</v>
      </c>
      <c r="AB790" s="6" t="str">
        <v>Portable Computers;Disk Drives;Printers;Other Software (inq. Games);Other Peripherals;Mainframes &amp; Super Computers;Micro-Computers (PCs);Monitors/Terminals</v>
      </c>
      <c r="AC790" s="8">
        <v>9000</v>
      </c>
      <c r="AD790" s="7">
        <f>=DATE(2014,8,31)</f>
        <v>41881.99949074074</v>
      </c>
      <c r="AF790" s="8" t="str">
        <v>654,269.08</v>
      </c>
      <c r="AG790" s="8" t="str">
        <v>654,269.08</v>
      </c>
      <c r="AH790" s="8" t="str">
        <v>661,034.08</v>
      </c>
      <c r="AI790" s="8" t="str">
        <v>661,034.08</v>
      </c>
      <c r="AJ790" s="8" t="str">
        <v>9,000.00</v>
      </c>
      <c r="AK790" s="6" t="str">
        <v>US Dollar</v>
      </c>
      <c r="AL790" s="8">
        <v>9000</v>
      </c>
    </row>
    <row r="791">
      <c r="A791" s="6" t="str">
        <v>30303M</v>
      </c>
      <c r="B791" s="6" t="str">
        <v>United States</v>
      </c>
      <c r="C791" s="6" t="str">
        <v>Facebook Inc</v>
      </c>
      <c r="D791" s="6" t="str">
        <v>Facebook Inc</v>
      </c>
      <c r="F791" s="6" t="str">
        <v>United States</v>
      </c>
      <c r="G791" s="6" t="str">
        <v>Nonstop Games Inc</v>
      </c>
      <c r="H791" s="6" t="str">
        <v>Prepackaged Software</v>
      </c>
      <c r="I791" s="6" t="str">
        <v>5C3368</v>
      </c>
      <c r="J791" s="6" t="str">
        <v>Nonstop Games Inc</v>
      </c>
      <c r="K791" s="6" t="str">
        <v>Nonstop Games Inc</v>
      </c>
      <c r="L791" s="7">
        <f>=DATE(2014,9,8)</f>
        <v>41889.99949074074</v>
      </c>
      <c r="M791" s="7">
        <f>=DATE(2014,9,8)</f>
        <v>41889.99949074074</v>
      </c>
      <c r="W791" s="6" t="str">
        <v>Internet Services &amp; Software</v>
      </c>
      <c r="X791" s="6" t="str">
        <v>Other Software (inq. Games)</v>
      </c>
      <c r="Y791" s="6" t="str">
        <v>Other Software (inq. Games)</v>
      </c>
      <c r="Z791" s="6" t="str">
        <v>Other Software (inq. Games)</v>
      </c>
      <c r="AA791" s="6" t="str">
        <v>Internet Services &amp; Software</v>
      </c>
      <c r="AB791" s="6" t="str">
        <v>Internet Services &amp; Software</v>
      </c>
    </row>
    <row r="792">
      <c r="A792" s="6" t="str">
        <v>037833</v>
      </c>
      <c r="B792" s="6" t="str">
        <v>United States</v>
      </c>
      <c r="C792" s="6" t="str">
        <v>Apple Inc</v>
      </c>
      <c r="D792" s="6" t="str">
        <v>Apple Inc</v>
      </c>
      <c r="F792" s="6" t="str">
        <v>United States</v>
      </c>
      <c r="G792" s="6" t="str">
        <v>Path Inc</v>
      </c>
      <c r="H792" s="6" t="str">
        <v>Prepackaged Software</v>
      </c>
      <c r="I792" s="6" t="str">
        <v>1C3535</v>
      </c>
      <c r="J792" s="6" t="str">
        <v>Path Inc</v>
      </c>
      <c r="K792" s="6" t="str">
        <v>Path Inc</v>
      </c>
      <c r="L792" s="7">
        <f>=DATE(2014,9,10)</f>
        <v>41891.99949074074</v>
      </c>
      <c r="W792" s="6" t="str">
        <v>Other Software (inq. Games);Mainframes &amp; Super Computers;Printers;Portable Computers;Monitors/Terminals;Micro-Computers (PCs);Other Peripherals;Disk Drives</v>
      </c>
      <c r="X792" s="6" t="str">
        <v>Applications Software(Business;Applications Software(Home);Communication/Network Software</v>
      </c>
      <c r="Y792" s="6" t="str">
        <v>Communication/Network Software;Applications Software(Home);Applications Software(Business</v>
      </c>
      <c r="Z792" s="6" t="str">
        <v>Applications Software(Business;Communication/Network Software;Applications Software(Home)</v>
      </c>
      <c r="AA792" s="6" t="str">
        <v>Other Software (inq. Games);Mainframes &amp; Super Computers;Portable Computers;Monitors/Terminals;Other Peripherals;Disk Drives;Micro-Computers (PCs);Printers</v>
      </c>
      <c r="AB792" s="6" t="str">
        <v>Mainframes &amp; Super Computers;Printers;Disk Drives;Portable Computers;Other Software (inq. Games);Other Peripherals;Monitors/Terminals;Micro-Computers (PCs)</v>
      </c>
    </row>
    <row r="793">
      <c r="A793" s="6" t="str">
        <v>38259P</v>
      </c>
      <c r="B793" s="6" t="str">
        <v>United States</v>
      </c>
      <c r="C793" s="6" t="str">
        <v>Google Inc</v>
      </c>
      <c r="D793" s="6" t="str">
        <v>Alphabet Inc</v>
      </c>
      <c r="F793" s="6" t="str">
        <v>United States</v>
      </c>
      <c r="G793" s="6" t="str">
        <v>Lynx Design Inc</v>
      </c>
      <c r="H793" s="6" t="str">
        <v>Measuring, Medical, Photo Equipment; Clocks</v>
      </c>
      <c r="I793" s="6" t="str">
        <v>2C8075</v>
      </c>
      <c r="J793" s="6" t="str">
        <v>Lynx Design Inc</v>
      </c>
      <c r="K793" s="6" t="str">
        <v>Lynx Design Inc</v>
      </c>
      <c r="L793" s="7">
        <f>=DATE(2014,9,10)</f>
        <v>41891.99949074074</v>
      </c>
      <c r="M793" s="7">
        <f>=DATE(2014,9,10)</f>
        <v>41891.99949074074</v>
      </c>
      <c r="W793" s="6" t="str">
        <v>Internet Services &amp; Software;Programming Services</v>
      </c>
      <c r="X793" s="6" t="str">
        <v>General Med. Instruments/Supp.</v>
      </c>
      <c r="Y793" s="6" t="str">
        <v>General Med. Instruments/Supp.</v>
      </c>
      <c r="Z793" s="6" t="str">
        <v>General Med. Instruments/Supp.</v>
      </c>
      <c r="AA793" s="6" t="str">
        <v>Telecommunications Equipment;Computer Consulting Services;Programming Services;Internet Services &amp; Software;Primary Business not Hi-Tech</v>
      </c>
      <c r="AB793" s="6" t="str">
        <v>Internet Services &amp; Software;Computer Consulting Services;Telecommunications Equipment;Primary Business not Hi-Tech;Programming Services</v>
      </c>
    </row>
    <row r="794">
      <c r="A794" s="6" t="str">
        <v>38259P</v>
      </c>
      <c r="B794" s="6" t="str">
        <v>United States</v>
      </c>
      <c r="C794" s="6" t="str">
        <v>Google Inc</v>
      </c>
      <c r="D794" s="6" t="str">
        <v>Alphabet Inc</v>
      </c>
      <c r="F794" s="6" t="str">
        <v>United States</v>
      </c>
      <c r="G794" s="6" t="str">
        <v>Input Factory Inc</v>
      </c>
      <c r="H794" s="6" t="str">
        <v>Prepackaged Software</v>
      </c>
      <c r="I794" s="6" t="str">
        <v>2C8344</v>
      </c>
      <c r="J794" s="6" t="str">
        <v>Input Factory Inc</v>
      </c>
      <c r="K794" s="6" t="str">
        <v>Input Factory Inc</v>
      </c>
      <c r="L794" s="7">
        <f>=DATE(2014,9,11)</f>
        <v>41892.99949074074</v>
      </c>
      <c r="M794" s="7">
        <f>=DATE(2014,9,11)</f>
        <v>41892.99949074074</v>
      </c>
      <c r="W794" s="6" t="str">
        <v>Internet Services &amp; Software;Programming Services</v>
      </c>
      <c r="X794" s="6" t="str">
        <v>Applications Software(Business;Applications Software(Home);Communication/Network Software</v>
      </c>
      <c r="Y794" s="6" t="str">
        <v>Applications Software(Home);Communication/Network Software;Applications Software(Business</v>
      </c>
      <c r="Z794" s="6" t="str">
        <v>Applications Software(Home);Applications Software(Business;Communication/Network Software</v>
      </c>
      <c r="AA794" s="6" t="str">
        <v>Telecommunications Equipment;Computer Consulting Services;Primary Business not Hi-Tech;Internet Services &amp; Software;Programming Services</v>
      </c>
      <c r="AB794" s="6" t="str">
        <v>Computer Consulting Services;Primary Business not Hi-Tech;Internet Services &amp; Software;Programming Services;Telecommunications Equipment</v>
      </c>
    </row>
    <row r="795">
      <c r="A795" s="6" t="str">
        <v>594918</v>
      </c>
      <c r="B795" s="6" t="str">
        <v>United States</v>
      </c>
      <c r="C795" s="6" t="str">
        <v>Microsoft Corp</v>
      </c>
      <c r="D795" s="6" t="str">
        <v>Microsoft Corp</v>
      </c>
      <c r="F795" s="6" t="str">
        <v>Sweden</v>
      </c>
      <c r="G795" s="6" t="str">
        <v>Mojang AB</v>
      </c>
      <c r="H795" s="6" t="str">
        <v>Prepackaged Software</v>
      </c>
      <c r="I795" s="6" t="str">
        <v>2C7831</v>
      </c>
      <c r="J795" s="6" t="str">
        <v>Mojang AB</v>
      </c>
      <c r="K795" s="6" t="str">
        <v>Mojang AB</v>
      </c>
      <c r="L795" s="7">
        <f>=DATE(2014,9,15)</f>
        <v>41896.99949074074</v>
      </c>
      <c r="M795" s="7">
        <f>=DATE(2014,11,6)</f>
        <v>41948.99949074074</v>
      </c>
      <c r="N795" s="8">
        <v>2500.14084705022</v>
      </c>
      <c r="O795" s="8">
        <v>2500.14084705022</v>
      </c>
      <c r="R795" s="8">
        <v>126.780648468936</v>
      </c>
      <c r="S795" s="8">
        <v>321.547221402271</v>
      </c>
      <c r="W795" s="6" t="str">
        <v>Monitors/Terminals;Operating Systems;Computer Consulting Services;Other Peripherals;Applications Software(Business;Internet Services &amp; Software</v>
      </c>
      <c r="X795" s="6" t="str">
        <v>Other Software (inq. Games)</v>
      </c>
      <c r="Y795" s="6" t="str">
        <v>Other Software (inq. Games)</v>
      </c>
      <c r="Z795" s="6" t="str">
        <v>Other Software (inq. Games)</v>
      </c>
      <c r="AA795" s="6" t="str">
        <v>Other Peripherals;Monitors/Terminals;Applications Software(Business;Operating Systems;Computer Consulting Services;Internet Services &amp; Software</v>
      </c>
      <c r="AB795" s="6" t="str">
        <v>Applications Software(Business;Operating Systems;Computer Consulting Services;Internet Services &amp; Software;Other Peripherals;Monitors/Terminals</v>
      </c>
      <c r="AC795" s="8">
        <v>2500.14084705022</v>
      </c>
      <c r="AD795" s="7">
        <f>=DATE(2014,9,15)</f>
        <v>41896.99949074074</v>
      </c>
      <c r="AJ795" s="8" t="str">
        <v>2,500.00</v>
      </c>
      <c r="AK795" s="6" t="str">
        <v>US Dollar</v>
      </c>
      <c r="AL795" s="8">
        <v>2500.14084705022</v>
      </c>
    </row>
    <row r="796">
      <c r="A796" s="6" t="str">
        <v>037833</v>
      </c>
      <c r="B796" s="6" t="str">
        <v>United States</v>
      </c>
      <c r="C796" s="6" t="str">
        <v>Apple Inc</v>
      </c>
      <c r="D796" s="6" t="str">
        <v>Apple Inc</v>
      </c>
      <c r="F796" s="6" t="str">
        <v>Netherlands</v>
      </c>
      <c r="G796" s="6" t="str">
        <v>Prss</v>
      </c>
      <c r="H796" s="6" t="str">
        <v>Prepackaged Software</v>
      </c>
      <c r="I796" s="6" t="str">
        <v>3C0976</v>
      </c>
      <c r="J796" s="6" t="str">
        <v>Prss</v>
      </c>
      <c r="K796" s="6" t="str">
        <v>Prss</v>
      </c>
      <c r="L796" s="7">
        <f>=DATE(2014,9,23)</f>
        <v>41904.99949074074</v>
      </c>
      <c r="W796" s="6" t="str">
        <v>Monitors/Terminals;Disk Drives;Mainframes &amp; Super Computers;Other Peripherals;Other Software (inq. Games);Micro-Computers (PCs);Printers;Portable Computers</v>
      </c>
      <c r="X796" s="6" t="str">
        <v>Communication/Network Software;Internet Services &amp; Software</v>
      </c>
      <c r="Y796" s="6" t="str">
        <v>Internet Services &amp; Software;Communication/Network Software</v>
      </c>
      <c r="Z796" s="6" t="str">
        <v>Internet Services &amp; Software;Communication/Network Software</v>
      </c>
      <c r="AA796" s="6" t="str">
        <v>Printers;Disk Drives;Other Software (inq. Games);Monitors/Terminals;Micro-Computers (PCs);Other Peripherals;Portable Computers;Mainframes &amp; Super Computers</v>
      </c>
      <c r="AB796" s="6" t="str">
        <v>Other Peripherals;Portable Computers;Mainframes &amp; Super Computers;Printers;Other Software (inq. Games);Disk Drives;Monitors/Terminals;Micro-Computers (PCs)</v>
      </c>
    </row>
    <row r="797">
      <c r="A797" s="6" t="str">
        <v>023135</v>
      </c>
      <c r="B797" s="6" t="str">
        <v>United States</v>
      </c>
      <c r="C797" s="6" t="str">
        <v>Amazon.com Inc</v>
      </c>
      <c r="D797" s="6" t="str">
        <v>Amazon.com Inc</v>
      </c>
      <c r="F797" s="6" t="str">
        <v>India</v>
      </c>
      <c r="G797" s="6" t="str">
        <v>Xerion Retail Pvt Ltd</v>
      </c>
      <c r="H797" s="6" t="str">
        <v>Business Services</v>
      </c>
      <c r="I797" s="6" t="str">
        <v>3C4814</v>
      </c>
      <c r="J797" s="6" t="str">
        <v>Global Fashion Group SA</v>
      </c>
      <c r="K797" s="6" t="str">
        <v>Global Fashion Group SA</v>
      </c>
      <c r="L797" s="7">
        <f>=DATE(2014,10,10)</f>
        <v>41921.99949074074</v>
      </c>
      <c r="R797" s="8">
        <v>-2.77171902341472</v>
      </c>
      <c r="S797" s="8">
        <v>87.8362803099742</v>
      </c>
      <c r="T797" s="8">
        <v>-0.009115755</v>
      </c>
      <c r="U797" s="8">
        <v>-1.487667885</v>
      </c>
      <c r="V797" s="8">
        <v>0.088341165</v>
      </c>
      <c r="W797" s="6" t="str">
        <v>Primary Business not Hi-Tech</v>
      </c>
      <c r="X797" s="6" t="str">
        <v>Internet Services &amp; Software</v>
      </c>
      <c r="Y797" s="6" t="str">
        <v>Primary Business not Hi-Tech</v>
      </c>
      <c r="Z797" s="6" t="str">
        <v>Primary Business not Hi-Tech</v>
      </c>
      <c r="AA797" s="6" t="str">
        <v>Primary Business not Hi-Tech</v>
      </c>
      <c r="AB797" s="6" t="str">
        <v>Primary Business not Hi-Tech</v>
      </c>
    </row>
    <row r="798">
      <c r="A798" s="6" t="str">
        <v>38259P</v>
      </c>
      <c r="B798" s="6" t="str">
        <v>United States</v>
      </c>
      <c r="C798" s="6" t="str">
        <v>Google Inc</v>
      </c>
      <c r="D798" s="6" t="str">
        <v>Alphabet Inc</v>
      </c>
      <c r="F798" s="6" t="str">
        <v>United States</v>
      </c>
      <c r="G798" s="6" t="str">
        <v>Firebase Inc</v>
      </c>
      <c r="H798" s="6" t="str">
        <v>Prepackaged Software</v>
      </c>
      <c r="I798" s="6" t="str">
        <v>3C6584</v>
      </c>
      <c r="J798" s="6" t="str">
        <v>Firebase Inc</v>
      </c>
      <c r="K798" s="6" t="str">
        <v>Firebase Inc</v>
      </c>
      <c r="L798" s="7">
        <f>=DATE(2014,10,21)</f>
        <v>41932.99949074074</v>
      </c>
      <c r="M798" s="7">
        <f>=DATE(2014,10,21)</f>
        <v>41932.99949074074</v>
      </c>
      <c r="W798" s="6" t="str">
        <v>Internet Services &amp; Software;Programming Services</v>
      </c>
      <c r="X798" s="6" t="str">
        <v>Communication/Network Software;Applications Software(Business;Applications Software(Home)</v>
      </c>
      <c r="Y798" s="6" t="str">
        <v>Applications Software(Home);Communication/Network Software;Applications Software(Business</v>
      </c>
      <c r="Z798" s="6" t="str">
        <v>Applications Software(Home);Communication/Network Software;Applications Software(Business</v>
      </c>
      <c r="AA798" s="6" t="str">
        <v>Internet Services &amp; Software;Telecommunications Equipment;Computer Consulting Services;Primary Business not Hi-Tech;Programming Services</v>
      </c>
      <c r="AB798" s="6" t="str">
        <v>Computer Consulting Services;Programming Services;Primary Business not Hi-Tech;Telecommunications Equipment;Internet Services &amp; Software</v>
      </c>
    </row>
    <row r="799">
      <c r="A799" s="6" t="str">
        <v>3A7443</v>
      </c>
      <c r="B799" s="6" t="str">
        <v>United States</v>
      </c>
      <c r="C799" s="6" t="str">
        <v>Nest Labs Inc</v>
      </c>
      <c r="D799" s="6" t="str">
        <v>Alphabet Inc</v>
      </c>
      <c r="F799" s="6" t="str">
        <v>United States</v>
      </c>
      <c r="G799" s="6" t="str">
        <v>Revolv Inc</v>
      </c>
      <c r="H799" s="6" t="str">
        <v>Prepackaged Software</v>
      </c>
      <c r="I799" s="6" t="str">
        <v>3C4359</v>
      </c>
      <c r="J799" s="6" t="str">
        <v>Revolv Inc</v>
      </c>
      <c r="K799" s="6" t="str">
        <v>Revolv Inc</v>
      </c>
      <c r="L799" s="7">
        <f>=DATE(2014,10,24)</f>
        <v>41935.99949074074</v>
      </c>
      <c r="M799" s="7">
        <f>=DATE(2014,10,24)</f>
        <v>41935.99949074074</v>
      </c>
      <c r="W799" s="6" t="str">
        <v>Process Control Systems</v>
      </c>
      <c r="X799" s="6" t="str">
        <v>Applications Software(Business;Applications Software(Home);Communication/Network Software</v>
      </c>
      <c r="Y799" s="6" t="str">
        <v>Communication/Network Software;Applications Software(Business;Applications Software(Home)</v>
      </c>
      <c r="Z799" s="6" t="str">
        <v>Communication/Network Software;Applications Software(Business;Applications Software(Home)</v>
      </c>
      <c r="AA799" s="6" t="str">
        <v>Internet Services &amp; Software;Programming Services</v>
      </c>
      <c r="AB799" s="6" t="str">
        <v>Programming Services;Telecommunications Equipment;Primary Business not Hi-Tech;Computer Consulting Services;Internet Services &amp; Software</v>
      </c>
    </row>
    <row r="800">
      <c r="A800" s="6" t="str">
        <v>037833</v>
      </c>
      <c r="B800" s="6" t="str">
        <v>United States</v>
      </c>
      <c r="C800" s="6" t="str">
        <v>Apple Inc</v>
      </c>
      <c r="D800" s="6" t="str">
        <v>Apple Inc</v>
      </c>
      <c r="F800" s="6" t="str">
        <v>United States</v>
      </c>
      <c r="G800" s="6" t="str">
        <v>Union Bay Networks</v>
      </c>
      <c r="H800" s="6" t="str">
        <v>Prepackaged Software</v>
      </c>
      <c r="I800" s="6" t="str">
        <v>0L2662</v>
      </c>
      <c r="J800" s="6" t="str">
        <v>Union Bay Networks</v>
      </c>
      <c r="K800" s="6" t="str">
        <v>Union Bay Networks</v>
      </c>
      <c r="L800" s="7">
        <f>=DATE(2014,11,3)</f>
        <v>41945.99949074074</v>
      </c>
      <c r="M800" s="7">
        <f>=DATE(2014,11,3)</f>
        <v>41945.99949074074</v>
      </c>
      <c r="W800" s="6" t="str">
        <v>Portable Computers;Printers;Micro-Computers (PCs);Mainframes &amp; Super Computers;Disk Drives;Monitors/Terminals;Other Peripherals;Other Software (inq. Games)</v>
      </c>
      <c r="X800" s="6" t="str">
        <v>Communication/Network Software;Applications Software(Home);Applications Software(Business;Desktop Publishing;Internet Services &amp; Software;Utilities/File Mgmt Software;Other Software (inq. Games)</v>
      </c>
      <c r="Y800" s="6" t="str">
        <v>Internet Services &amp; Software;Applications Software(Business;Desktop Publishing;Communication/Network Software;Utilities/File Mgmt Software;Applications Software(Home);Other Software (inq. Games)</v>
      </c>
      <c r="Z800" s="6" t="str">
        <v>Applications Software(Home);Applications Software(Business;Communication/Network Software;Utilities/File Mgmt Software;Internet Services &amp; Software;Other Software (inq. Games);Desktop Publishing</v>
      </c>
      <c r="AA800" s="6" t="str">
        <v>Printers;Other Peripherals;Portable Computers;Mainframes &amp; Super Computers;Micro-Computers (PCs);Monitors/Terminals;Disk Drives;Other Software (inq. Games)</v>
      </c>
      <c r="AB800" s="6" t="str">
        <v>Monitors/Terminals;Micro-Computers (PCs);Other Software (inq. Games);Disk Drives;Printers;Other Peripherals;Mainframes &amp; Super Computers;Portable Computers</v>
      </c>
    </row>
    <row r="801">
      <c r="A801" s="6" t="str">
        <v>38259P</v>
      </c>
      <c r="B801" s="6" t="str">
        <v>United States</v>
      </c>
      <c r="C801" s="6" t="str">
        <v>Google Inc</v>
      </c>
      <c r="D801" s="6" t="str">
        <v>Alphabet Inc</v>
      </c>
      <c r="F801" s="6" t="str">
        <v>United States</v>
      </c>
      <c r="G801" s="6" t="str">
        <v>Relative Wave LLC</v>
      </c>
      <c r="H801" s="6" t="str">
        <v>Prepackaged Software</v>
      </c>
      <c r="I801" s="6" t="str">
        <v>4C2684</v>
      </c>
      <c r="J801" s="6" t="str">
        <v>Relative Wave LLC</v>
      </c>
      <c r="K801" s="6" t="str">
        <v>Relative Wave LLC</v>
      </c>
      <c r="L801" s="7">
        <f>=DATE(2014,11,19)</f>
        <v>41961.99949074074</v>
      </c>
      <c r="M801" s="7">
        <f>=DATE(2014,11,19)</f>
        <v>41961.99949074074</v>
      </c>
      <c r="W801" s="6" t="str">
        <v>Programming Services;Internet Services &amp; Software</v>
      </c>
      <c r="X801" s="6" t="str">
        <v>Applications Software(Home);Communication/Network Software;Applications Software(Business</v>
      </c>
      <c r="Y801" s="6" t="str">
        <v>Applications Software(Home);Communication/Network Software;Applications Software(Business</v>
      </c>
      <c r="Z801" s="6" t="str">
        <v>Applications Software(Business;Communication/Network Software;Applications Software(Home)</v>
      </c>
      <c r="AA801" s="6" t="str">
        <v>Computer Consulting Services;Internet Services &amp; Software;Telecommunications Equipment;Primary Business not Hi-Tech;Programming Services</v>
      </c>
      <c r="AB801" s="6" t="str">
        <v>Internet Services &amp; Software;Telecommunications Equipment;Primary Business not Hi-Tech;Programming Services;Computer Consulting Services</v>
      </c>
    </row>
    <row r="802">
      <c r="A802" s="6" t="str">
        <v>594918</v>
      </c>
      <c r="B802" s="6" t="str">
        <v>United States</v>
      </c>
      <c r="C802" s="6" t="str">
        <v>Microsoft Corp</v>
      </c>
      <c r="D802" s="6" t="str">
        <v>Microsoft Corp</v>
      </c>
      <c r="F802" s="6" t="str">
        <v>United States</v>
      </c>
      <c r="G802" s="6" t="str">
        <v>Acompli Inc</v>
      </c>
      <c r="H802" s="6" t="str">
        <v>Prepackaged Software</v>
      </c>
      <c r="I802" s="6" t="str">
        <v>4C4377</v>
      </c>
      <c r="J802" s="6" t="str">
        <v>Acompli Inc</v>
      </c>
      <c r="K802" s="6" t="str">
        <v>Acompli Inc</v>
      </c>
      <c r="L802" s="7">
        <f>=DATE(2014,12,1)</f>
        <v>41973.99949074074</v>
      </c>
      <c r="M802" s="7">
        <f>=DATE(2014,12,1)</f>
        <v>41973.99949074074</v>
      </c>
      <c r="W802" s="6" t="str">
        <v>Operating Systems;Computer Consulting Services;Monitors/Terminals;Internet Services &amp; Software;Other Peripherals;Applications Software(Business</v>
      </c>
      <c r="X802" s="6" t="str">
        <v>Applications Software(Home);Applications Software(Business;Communication/Network Software</v>
      </c>
      <c r="Y802" s="6" t="str">
        <v>Communication/Network Software;Applications Software(Home);Applications Software(Business</v>
      </c>
      <c r="Z802" s="6" t="str">
        <v>Applications Software(Home);Applications Software(Business;Communication/Network Software</v>
      </c>
      <c r="AA802" s="6" t="str">
        <v>Computer Consulting Services;Monitors/Terminals;Internet Services &amp; Software;Operating Systems;Applications Software(Business;Other Peripherals</v>
      </c>
      <c r="AB802" s="6" t="str">
        <v>Computer Consulting Services;Applications Software(Business;Other Peripherals;Monitors/Terminals;Internet Services &amp; Software;Operating Systems</v>
      </c>
    </row>
    <row r="803">
      <c r="A803" s="6" t="str">
        <v>0C6551</v>
      </c>
      <c r="B803" s="6" t="str">
        <v>United States</v>
      </c>
      <c r="C803" s="6" t="str">
        <v>Twitch Interactive Inc</v>
      </c>
      <c r="D803" s="6" t="str">
        <v>Amazon.com Inc</v>
      </c>
      <c r="F803" s="6" t="str">
        <v>United States</v>
      </c>
      <c r="G803" s="6" t="str">
        <v>Good Game Agency</v>
      </c>
      <c r="H803" s="6" t="str">
        <v>Business Services</v>
      </c>
      <c r="I803" s="6" t="str">
        <v>4C6608</v>
      </c>
      <c r="J803" s="6" t="str">
        <v>Good Game Agency</v>
      </c>
      <c r="K803" s="6" t="str">
        <v>Good Game Agency</v>
      </c>
      <c r="L803" s="7">
        <f>=DATE(2014,12,10)</f>
        <v>41982.99949074074</v>
      </c>
      <c r="M803" s="7">
        <f>=DATE(2014,12,10)</f>
        <v>41982.99949074074</v>
      </c>
      <c r="W803" s="6" t="str">
        <v>Internet Services &amp; Software</v>
      </c>
      <c r="X803" s="6" t="str">
        <v>Internet Services &amp; Software;Communication/Network Software</v>
      </c>
      <c r="Y803" s="6" t="str">
        <v>Communication/Network Software;Internet Services &amp; Software</v>
      </c>
      <c r="Z803" s="6" t="str">
        <v>Communication/Network Software;Internet Services &amp; Software</v>
      </c>
      <c r="AA803" s="6" t="str">
        <v>Primary Business not Hi-Tech</v>
      </c>
      <c r="AB803" s="6" t="str">
        <v>Primary Business not Hi-Tech</v>
      </c>
    </row>
    <row r="804">
      <c r="A804" s="6" t="str">
        <v>594918</v>
      </c>
      <c r="B804" s="6" t="str">
        <v>United States</v>
      </c>
      <c r="C804" s="6" t="str">
        <v>Microsoft Corp</v>
      </c>
      <c r="D804" s="6" t="str">
        <v>Microsoft Corp</v>
      </c>
      <c r="F804" s="6" t="str">
        <v>Germany</v>
      </c>
      <c r="G804" s="6" t="str">
        <v>Bit Stadium GmbH</v>
      </c>
      <c r="H804" s="6" t="str">
        <v>Business Services</v>
      </c>
      <c r="I804" s="6" t="str">
        <v>4C7831</v>
      </c>
      <c r="J804" s="6" t="str">
        <v>Bit Stadium GmbH</v>
      </c>
      <c r="K804" s="6" t="str">
        <v>Bit Stadium GmbH</v>
      </c>
      <c r="L804" s="7">
        <f>=DATE(2014,12,11)</f>
        <v>41983.99949074074</v>
      </c>
      <c r="M804" s="7">
        <f>=DATE(2014,12,11)</f>
        <v>41983.99949074074</v>
      </c>
      <c r="W804" s="6" t="str">
        <v>Monitors/Terminals;Internet Services &amp; Software;Other Peripherals;Computer Consulting Services;Operating Systems;Applications Software(Business</v>
      </c>
      <c r="X804" s="6" t="str">
        <v>Programming Services;Database Software/Programming</v>
      </c>
      <c r="Y804" s="6" t="str">
        <v>Programming Services;Database Software/Programming</v>
      </c>
      <c r="Z804" s="6" t="str">
        <v>Database Software/Programming;Programming Services</v>
      </c>
      <c r="AA804" s="6" t="str">
        <v>Operating Systems;Monitors/Terminals;Computer Consulting Services;Internet Services &amp; Software;Applications Software(Business;Other Peripherals</v>
      </c>
      <c r="AB804" s="6" t="str">
        <v>Other Peripherals;Internet Services &amp; Software;Monitors/Terminals;Applications Software(Business;Operating Systems;Computer Consulting Services</v>
      </c>
    </row>
    <row r="805">
      <c r="A805" s="6" t="str">
        <v>9A6770</v>
      </c>
      <c r="B805" s="6" t="str">
        <v>United States</v>
      </c>
      <c r="C805" s="6" t="str">
        <v>Oculus VR LLC(NOW 8J8006)</v>
      </c>
      <c r="D805" s="6" t="str">
        <v>Facebook Inc</v>
      </c>
      <c r="F805" s="6" t="str">
        <v>United States</v>
      </c>
      <c r="G805" s="6" t="str">
        <v>Nimble VR</v>
      </c>
      <c r="H805" s="6" t="str">
        <v>Measuring, Medical, Photo Equipment; Clocks</v>
      </c>
      <c r="I805" s="6" t="str">
        <v>4C8398</v>
      </c>
      <c r="J805" s="6" t="str">
        <v>Nimble VR</v>
      </c>
      <c r="K805" s="6" t="str">
        <v>Nimble VR</v>
      </c>
      <c r="L805" s="7">
        <f>=DATE(2014,12,12)</f>
        <v>41984.99949074074</v>
      </c>
      <c r="M805" s="7">
        <f>=DATE(2014,12,12)</f>
        <v>41984.99949074074</v>
      </c>
      <c r="W805" s="6" t="str">
        <v>Communication/Network Software;Programming Services;Applications Software(Business;Applications Software(Home)</v>
      </c>
      <c r="X805" s="6" t="str">
        <v>Other Software (inq. Games);Precision/Measuring Test Equip;Other Electronics</v>
      </c>
      <c r="Y805" s="6" t="str">
        <v>Precision/Measuring Test Equip;Other Software (inq. Games);Other Electronics</v>
      </c>
      <c r="Z805" s="6" t="str">
        <v>Precision/Measuring Test Equip;Other Electronics;Other Software (inq. Games)</v>
      </c>
      <c r="AA805" s="6" t="str">
        <v>Internet Services &amp; Software</v>
      </c>
      <c r="AB805" s="6" t="str">
        <v>Internet Services &amp; Software</v>
      </c>
    </row>
    <row r="806">
      <c r="A806" s="6" t="str">
        <v>594918</v>
      </c>
      <c r="B806" s="6" t="str">
        <v>United States</v>
      </c>
      <c r="C806" s="6" t="str">
        <v>Microsoft Corp</v>
      </c>
      <c r="D806" s="6" t="str">
        <v>Microsoft Corp</v>
      </c>
      <c r="F806" s="6" t="str">
        <v>Germany</v>
      </c>
      <c r="G806" s="6" t="str">
        <v>Codenauts GmbH</v>
      </c>
      <c r="H806" s="6" t="str">
        <v>Prepackaged Software</v>
      </c>
      <c r="I806" s="6" t="str">
        <v>5C3856</v>
      </c>
      <c r="J806" s="6" t="str">
        <v>Codenauts GmbH</v>
      </c>
      <c r="K806" s="6" t="str">
        <v>Codenauts GmbH</v>
      </c>
      <c r="L806" s="7">
        <f>=DATE(2014,12,15)</f>
        <v>41987.99949074074</v>
      </c>
      <c r="M806" s="7">
        <f>=DATE(2014,12,15)</f>
        <v>41987.99949074074</v>
      </c>
      <c r="W806" s="6" t="str">
        <v>Monitors/Terminals;Applications Software(Business;Other Peripherals;Internet Services &amp; Software;Operating Systems;Computer Consulting Services</v>
      </c>
      <c r="X806" s="6" t="str">
        <v>Applications Software(Home);Communication/Network Software;Applications Software(Business</v>
      </c>
      <c r="Y806" s="6" t="str">
        <v>Communication/Network Software;Applications Software(Business;Applications Software(Home)</v>
      </c>
      <c r="Z806" s="6" t="str">
        <v>Applications Software(Home);Communication/Network Software;Applications Software(Business</v>
      </c>
      <c r="AA806" s="6" t="str">
        <v>Internet Services &amp; Software;Operating Systems;Other Peripherals;Monitors/Terminals;Applications Software(Business;Computer Consulting Services</v>
      </c>
      <c r="AB806" s="6" t="str">
        <v>Computer Consulting Services;Other Peripherals;Internet Services &amp; Software;Applications Software(Business;Operating Systems;Monitors/Terminals</v>
      </c>
    </row>
    <row r="807">
      <c r="A807" s="6" t="str">
        <v>9A6770</v>
      </c>
      <c r="B807" s="6" t="str">
        <v>United States</v>
      </c>
      <c r="C807" s="6" t="str">
        <v>Oculus VR LLC(NOW 8J8006)</v>
      </c>
      <c r="D807" s="6" t="str">
        <v>Facebook Inc</v>
      </c>
      <c r="F807" s="6" t="str">
        <v>Sweden</v>
      </c>
      <c r="G807" s="6" t="str">
        <v>13th Lab AB</v>
      </c>
      <c r="H807" s="6" t="str">
        <v>Prepackaged Software</v>
      </c>
      <c r="I807" s="6" t="str">
        <v>5C3212</v>
      </c>
      <c r="J807" s="6" t="str">
        <v>13th Lab AB</v>
      </c>
      <c r="K807" s="6" t="str">
        <v>13th Lab AB</v>
      </c>
      <c r="L807" s="7">
        <f>=DATE(2014,12,16)</f>
        <v>41988.99949074074</v>
      </c>
      <c r="M807" s="7">
        <f>=DATE(2014,12,16)</f>
        <v>41988.99949074074</v>
      </c>
      <c r="R807" s="8">
        <v>20.1117175736718</v>
      </c>
      <c r="S807" s="8">
        <v>26.204560120456</v>
      </c>
      <c r="W807" s="6" t="str">
        <v>Applications Software(Business;Communication/Network Software;Programming Services;Applications Software(Home)</v>
      </c>
      <c r="X807" s="6" t="str">
        <v>Applications Software(Business</v>
      </c>
      <c r="Y807" s="6" t="str">
        <v>Applications Software(Business</v>
      </c>
      <c r="Z807" s="6" t="str">
        <v>Applications Software(Business</v>
      </c>
      <c r="AA807" s="6" t="str">
        <v>Internet Services &amp; Software</v>
      </c>
      <c r="AB807" s="6" t="str">
        <v>Internet Services &amp; Software</v>
      </c>
    </row>
    <row r="808">
      <c r="A808" s="6" t="str">
        <v>98787H</v>
      </c>
      <c r="B808" s="6" t="str">
        <v>United States</v>
      </c>
      <c r="C808" s="6" t="str">
        <v>YouTube Inc</v>
      </c>
      <c r="D808" s="6" t="str">
        <v>Alphabet Inc</v>
      </c>
      <c r="F808" s="6" t="str">
        <v>United States</v>
      </c>
      <c r="G808" s="6" t="str">
        <v>Vidmaker Inc</v>
      </c>
      <c r="H808" s="6" t="str">
        <v>Business Services</v>
      </c>
      <c r="I808" s="6" t="str">
        <v>4C9062</v>
      </c>
      <c r="J808" s="6" t="str">
        <v>Vidmaker Inc</v>
      </c>
      <c r="K808" s="6" t="str">
        <v>Vidmaker Inc</v>
      </c>
      <c r="L808" s="7">
        <f>=DATE(2014,12,18)</f>
        <v>41990.99949074074</v>
      </c>
      <c r="M808" s="7">
        <f>=DATE(2014,12,18)</f>
        <v>41990.99949074074</v>
      </c>
      <c r="W808" s="6" t="str">
        <v>Internet Services &amp; Software</v>
      </c>
      <c r="X808" s="6" t="str">
        <v>Internet Services &amp; Software</v>
      </c>
      <c r="Y808" s="6" t="str">
        <v>Internet Services &amp; Software</v>
      </c>
      <c r="Z808" s="6" t="str">
        <v>Internet Services &amp; Software</v>
      </c>
      <c r="AA808" s="6" t="str">
        <v>Internet Services &amp; Software;Programming Services</v>
      </c>
      <c r="AB808" s="6" t="str">
        <v>Internet Services &amp; Software;Telecommunications Equipment;Programming Services;Primary Business not Hi-Tech;Computer Consulting Services</v>
      </c>
    </row>
    <row r="809">
      <c r="A809" s="6" t="str">
        <v>30303M</v>
      </c>
      <c r="B809" s="6" t="str">
        <v>United States</v>
      </c>
      <c r="C809" s="6" t="str">
        <v>Facebook Inc</v>
      </c>
      <c r="D809" s="6" t="str">
        <v>Facebook Inc</v>
      </c>
      <c r="F809" s="6" t="str">
        <v>United States</v>
      </c>
      <c r="G809" s="6" t="str">
        <v>Wit.ai Inc</v>
      </c>
      <c r="H809" s="6" t="str">
        <v>Prepackaged Software</v>
      </c>
      <c r="I809" s="6" t="str">
        <v>5C2999</v>
      </c>
      <c r="J809" s="6" t="str">
        <v>Wit.ai Inc</v>
      </c>
      <c r="K809" s="6" t="str">
        <v>Wit.ai Inc</v>
      </c>
      <c r="L809" s="7">
        <f>=DATE(2015,1,5)</f>
        <v>42008.99949074074</v>
      </c>
      <c r="M809" s="7">
        <f>=DATE(2015,1,5)</f>
        <v>42008.99949074074</v>
      </c>
      <c r="W809" s="6" t="str">
        <v>Internet Services &amp; Software</v>
      </c>
      <c r="X809" s="6" t="str">
        <v>Applications Software(Home);Communication/Network Software;Applications Software(Business</v>
      </c>
      <c r="Y809" s="6" t="str">
        <v>Applications Software(Home);Applications Software(Business;Communication/Network Software</v>
      </c>
      <c r="Z809" s="6" t="str">
        <v>Communication/Network Software;Applications Software(Home);Applications Software(Business</v>
      </c>
      <c r="AA809" s="6" t="str">
        <v>Internet Services &amp; Software</v>
      </c>
      <c r="AB809" s="6" t="str">
        <v>Internet Services &amp; Software</v>
      </c>
    </row>
    <row r="810">
      <c r="A810" s="6" t="str">
        <v>30303M</v>
      </c>
      <c r="B810" s="6" t="str">
        <v>United States</v>
      </c>
      <c r="C810" s="6" t="str">
        <v>Facebook Inc</v>
      </c>
      <c r="D810" s="6" t="str">
        <v>Facebook Inc</v>
      </c>
      <c r="F810" s="6" t="str">
        <v>United States</v>
      </c>
      <c r="G810" s="6" t="str">
        <v>QuickFire Networks Corp</v>
      </c>
      <c r="H810" s="6" t="str">
        <v>Computer and Office Equipment</v>
      </c>
      <c r="I810" s="6" t="str">
        <v>5C3754</v>
      </c>
      <c r="J810" s="6" t="str">
        <v>QuickFire Networks Corp</v>
      </c>
      <c r="K810" s="6" t="str">
        <v>QuickFire Networks Corp</v>
      </c>
      <c r="L810" s="7">
        <f>=DATE(2015,1,8)</f>
        <v>42011.99949074074</v>
      </c>
      <c r="M810" s="7">
        <f>=DATE(2015,1,8)</f>
        <v>42011.99949074074</v>
      </c>
      <c r="W810" s="6" t="str">
        <v>Internet Services &amp; Software</v>
      </c>
      <c r="X810" s="6" t="str">
        <v>Other Peripherals</v>
      </c>
      <c r="Y810" s="6" t="str">
        <v>Other Peripherals</v>
      </c>
      <c r="Z810" s="6" t="str">
        <v>Other Peripherals</v>
      </c>
      <c r="AA810" s="6" t="str">
        <v>Internet Services &amp; Software</v>
      </c>
      <c r="AB810" s="6" t="str">
        <v>Internet Services &amp; Software</v>
      </c>
    </row>
    <row r="811">
      <c r="A811" s="6" t="str">
        <v>38259P</v>
      </c>
      <c r="B811" s="6" t="str">
        <v>United States</v>
      </c>
      <c r="C811" s="6" t="str">
        <v>Google Inc</v>
      </c>
      <c r="D811" s="6" t="str">
        <v>Alphabet Inc</v>
      </c>
      <c r="F811" s="6" t="str">
        <v>United States</v>
      </c>
      <c r="G811" s="6" t="str">
        <v>Space Exploration Technologies Corp</v>
      </c>
      <c r="H811" s="6" t="str">
        <v>Aerospace and Aircraft</v>
      </c>
      <c r="I811" s="6" t="str">
        <v>84618Y</v>
      </c>
      <c r="J811" s="6" t="str">
        <v>Space Exploration Technologies Corp</v>
      </c>
      <c r="K811" s="6" t="str">
        <v>Space Exploration Technologies Corp</v>
      </c>
      <c r="L811" s="7">
        <f>=DATE(2015,1,19)</f>
        <v>42022.99949074074</v>
      </c>
      <c r="W811" s="6" t="str">
        <v>Programming Services;Internet Services &amp; Software</v>
      </c>
      <c r="X811" s="6" t="str">
        <v>Search, Detection, Navigation</v>
      </c>
      <c r="Y811" s="6" t="str">
        <v>Search, Detection, Navigation</v>
      </c>
      <c r="Z811" s="6" t="str">
        <v>Search, Detection, Navigation</v>
      </c>
      <c r="AA811" s="6" t="str">
        <v>Primary Business not Hi-Tech;Internet Services &amp; Software;Programming Services;Telecommunications Equipment;Computer Consulting Services</v>
      </c>
      <c r="AB811" s="6" t="str">
        <v>Computer Consulting Services;Telecommunications Equipment;Primary Business not Hi-Tech;Programming Services;Internet Services &amp; Software</v>
      </c>
    </row>
    <row r="812">
      <c r="A812" s="6" t="str">
        <v>594918</v>
      </c>
      <c r="B812" s="6" t="str">
        <v>United States</v>
      </c>
      <c r="C812" s="6" t="str">
        <v>Microsoft Corp</v>
      </c>
      <c r="D812" s="6" t="str">
        <v>Microsoft Corp</v>
      </c>
      <c r="F812" s="6" t="str">
        <v>Israel</v>
      </c>
      <c r="G812" s="6" t="str">
        <v>Equivio Ltd</v>
      </c>
      <c r="H812" s="6" t="str">
        <v>Prepackaged Software</v>
      </c>
      <c r="I812" s="6" t="str">
        <v>29212E</v>
      </c>
      <c r="J812" s="6" t="str">
        <v>Equivio Ltd</v>
      </c>
      <c r="K812" s="6" t="str">
        <v>Equivio Ltd</v>
      </c>
      <c r="L812" s="7">
        <f>=DATE(2015,1,20)</f>
        <v>42023.99949074074</v>
      </c>
      <c r="M812" s="7">
        <f>=DATE(2015,1,20)</f>
        <v>42023.99949074074</v>
      </c>
      <c r="W812" s="6" t="str">
        <v>Internet Services &amp; Software;Computer Consulting Services;Applications Software(Business;Other Peripherals;Monitors/Terminals;Operating Systems</v>
      </c>
      <c r="X812" s="6" t="str">
        <v>Internet Services &amp; Software;Communication/Network Software</v>
      </c>
      <c r="Y812" s="6" t="str">
        <v>Internet Services &amp; Software;Communication/Network Software</v>
      </c>
      <c r="Z812" s="6" t="str">
        <v>Internet Services &amp; Software;Communication/Network Software</v>
      </c>
      <c r="AA812" s="6" t="str">
        <v>Applications Software(Business;Operating Systems;Internet Services &amp; Software;Other Peripherals;Monitors/Terminals;Computer Consulting Services</v>
      </c>
      <c r="AB812" s="6" t="str">
        <v>Applications Software(Business;Internet Services &amp; Software;Monitors/Terminals;Computer Consulting Services;Other Peripherals;Operating Systems</v>
      </c>
    </row>
    <row r="813">
      <c r="A813" s="6" t="str">
        <v>037833</v>
      </c>
      <c r="B813" s="6" t="str">
        <v>United States</v>
      </c>
      <c r="C813" s="6" t="str">
        <v>Apple Inc</v>
      </c>
      <c r="D813" s="6" t="str">
        <v>Apple Inc</v>
      </c>
      <c r="F813" s="6" t="str">
        <v>United Kingdom</v>
      </c>
      <c r="G813" s="6" t="str">
        <v>Semetric Ltd</v>
      </c>
      <c r="H813" s="6" t="str">
        <v>Business Services</v>
      </c>
      <c r="I813" s="6" t="str">
        <v>5C6567</v>
      </c>
      <c r="J813" s="6" t="str">
        <v>Semetric Ltd</v>
      </c>
      <c r="K813" s="6" t="str">
        <v>Semetric Ltd</v>
      </c>
      <c r="L813" s="7">
        <f>=DATE(2015,1,21)</f>
        <v>42024.99949074074</v>
      </c>
      <c r="M813" s="7">
        <f>=DATE(2015,1,21)</f>
        <v>42024.99949074074</v>
      </c>
      <c r="W813" s="6" t="str">
        <v>Disk Drives;Other Software (inq. Games);Printers;Other Peripherals;Mainframes &amp; Super Computers;Micro-Computers (PCs);Portable Computers;Monitors/Terminals</v>
      </c>
      <c r="X813" s="6" t="str">
        <v>Internet Services &amp; Software</v>
      </c>
      <c r="Y813" s="6" t="str">
        <v>Internet Services &amp; Software</v>
      </c>
      <c r="Z813" s="6" t="str">
        <v>Internet Services &amp; Software</v>
      </c>
      <c r="AA813" s="6" t="str">
        <v>Portable Computers;Disk Drives;Monitors/Terminals;Micro-Computers (PCs);Other Peripherals;Other Software (inq. Games);Mainframes &amp; Super Computers;Printers</v>
      </c>
      <c r="AB813" s="6" t="str">
        <v>Micro-Computers (PCs);Mainframes &amp; Super Computers;Printers;Portable Computers;Monitors/Terminals;Other Software (inq. Games);Other Peripherals;Disk Drives</v>
      </c>
    </row>
    <row r="814">
      <c r="A814" s="6" t="str">
        <v>594918</v>
      </c>
      <c r="B814" s="6" t="str">
        <v>United States</v>
      </c>
      <c r="C814" s="6" t="str">
        <v>Microsoft Corp</v>
      </c>
      <c r="D814" s="6" t="str">
        <v>Microsoft Corp</v>
      </c>
      <c r="F814" s="6" t="str">
        <v>United States</v>
      </c>
      <c r="G814" s="6" t="str">
        <v>Revolution Analytics Inc</v>
      </c>
      <c r="H814" s="6" t="str">
        <v>Business Services</v>
      </c>
      <c r="I814" s="6" t="str">
        <v>5C6762</v>
      </c>
      <c r="J814" s="6" t="str">
        <v>Revolution Analytics Inc</v>
      </c>
      <c r="K814" s="6" t="str">
        <v>Revolution Analytics Inc</v>
      </c>
      <c r="L814" s="7">
        <f>=DATE(2015,1,23)</f>
        <v>42026.99949074074</v>
      </c>
      <c r="M814" s="7">
        <f>=DATE(2015,4,6)</f>
        <v>42099.99949074074</v>
      </c>
      <c r="W814" s="6" t="str">
        <v>Applications Software(Business;Internet Services &amp; Software;Computer Consulting Services;Other Peripherals;Operating Systems;Monitors/Terminals</v>
      </c>
      <c r="X814" s="6" t="str">
        <v>Other Software (inq. Games);Data Processing Services;Other Computer Related Svcs;Computer Consulting Services</v>
      </c>
      <c r="Y814" s="6" t="str">
        <v>Data Processing Services;Computer Consulting Services;Other Computer Related Svcs;Other Software (inq. Games)</v>
      </c>
      <c r="Z814" s="6" t="str">
        <v>Computer Consulting Services;Other Computer Related Svcs;Data Processing Services;Other Software (inq. Games)</v>
      </c>
      <c r="AA814" s="6" t="str">
        <v>Operating Systems;Monitors/Terminals;Computer Consulting Services;Other Peripherals;Applications Software(Business;Internet Services &amp; Software</v>
      </c>
      <c r="AB814" s="6" t="str">
        <v>Internet Services &amp; Software;Applications Software(Business;Other Peripherals;Monitors/Terminals;Computer Consulting Services;Operating Systems</v>
      </c>
    </row>
    <row r="815">
      <c r="A815" s="6" t="str">
        <v>00507V</v>
      </c>
      <c r="B815" s="6" t="str">
        <v>United States</v>
      </c>
      <c r="C815" s="6" t="str">
        <v>Activision Blizzard Inc</v>
      </c>
      <c r="D815" s="6" t="str">
        <v>Activision Blizzard Inc</v>
      </c>
      <c r="F815" s="6" t="str">
        <v>United States</v>
      </c>
      <c r="G815" s="6" t="str">
        <v>Activision Blizzard Inc</v>
      </c>
      <c r="H815" s="6" t="str">
        <v>Prepackaged Software</v>
      </c>
      <c r="I815" s="6" t="str">
        <v>00507V</v>
      </c>
      <c r="J815" s="6" t="str">
        <v>Activision Blizzard Inc</v>
      </c>
      <c r="K815" s="6" t="str">
        <v>Activision Blizzard Inc</v>
      </c>
      <c r="L815" s="7">
        <f>=DATE(2015,2,5)</f>
        <v>42039.99949074074</v>
      </c>
      <c r="N815" s="8">
        <v>750</v>
      </c>
      <c r="O815" s="8">
        <v>750</v>
      </c>
      <c r="R815" s="8">
        <v>835</v>
      </c>
      <c r="S815" s="8">
        <v>4408</v>
      </c>
      <c r="T815" s="8">
        <v>-374</v>
      </c>
      <c r="U815" s="8">
        <v>-84</v>
      </c>
      <c r="V815" s="8">
        <v>1292</v>
      </c>
      <c r="W815" s="6" t="str">
        <v>Operating Systems;Other Software (inq. Games);Other Computer Systems</v>
      </c>
      <c r="X815" s="6" t="str">
        <v>Other Computer Systems;Operating Systems;Other Software (inq. Games)</v>
      </c>
      <c r="Y815" s="6" t="str">
        <v>Other Computer Systems;Other Software (inq. Games);Operating Systems</v>
      </c>
      <c r="Z815" s="6" t="str">
        <v>Other Computer Systems;Other Software (inq. Games);Operating Systems</v>
      </c>
      <c r="AA815" s="6" t="str">
        <v>Other Computer Systems;Operating Systems;Other Software (inq. Games)</v>
      </c>
      <c r="AB815" s="6" t="str">
        <v>Other Software (inq. Games);Other Computer Systems;Operating Systems</v>
      </c>
      <c r="AC815" s="8">
        <v>750</v>
      </c>
      <c r="AD815" s="7">
        <f>=DATE(2015,2,5)</f>
        <v>42039.99949074074</v>
      </c>
      <c r="AJ815" s="8" t="str">
        <v>750.00</v>
      </c>
      <c r="AK815" s="6" t="str">
        <v>US Dollar</v>
      </c>
      <c r="AL815" s="8">
        <v>750</v>
      </c>
    </row>
    <row r="816">
      <c r="A816" s="6" t="str">
        <v>38259P</v>
      </c>
      <c r="B816" s="6" t="str">
        <v>United States</v>
      </c>
      <c r="C816" s="6" t="str">
        <v>Google Inc</v>
      </c>
      <c r="D816" s="6" t="str">
        <v>Alphabet Inc</v>
      </c>
      <c r="F816" s="6" t="str">
        <v>United States</v>
      </c>
      <c r="G816" s="6" t="str">
        <v>Launchpad Toys Inc</v>
      </c>
      <c r="H816" s="6" t="str">
        <v>Prepackaged Software</v>
      </c>
      <c r="I816" s="6" t="str">
        <v>5C9466</v>
      </c>
      <c r="J816" s="6" t="str">
        <v>Launchpad Toys Inc</v>
      </c>
      <c r="K816" s="6" t="str">
        <v>Launchpad Toys Inc</v>
      </c>
      <c r="L816" s="7">
        <f>=DATE(2015,2,5)</f>
        <v>42039.99949074074</v>
      </c>
      <c r="M816" s="7">
        <f>=DATE(2015,2,5)</f>
        <v>42039.99949074074</v>
      </c>
      <c r="W816" s="6" t="str">
        <v>Internet Services &amp; Software;Programming Services</v>
      </c>
      <c r="X816" s="6" t="str">
        <v>Applications Software(Home);Applications Software(Business;Communication/Network Software</v>
      </c>
      <c r="Y816" s="6" t="str">
        <v>Applications Software(Home);Applications Software(Business;Communication/Network Software</v>
      </c>
      <c r="Z816" s="6" t="str">
        <v>Communication/Network Software;Applications Software(Home);Applications Software(Business</v>
      </c>
      <c r="AA816" s="6" t="str">
        <v>Telecommunications Equipment;Programming Services;Internet Services &amp; Software;Computer Consulting Services;Primary Business not Hi-Tech</v>
      </c>
      <c r="AB816" s="6" t="str">
        <v>Internet Services &amp; Software;Computer Consulting Services;Primary Business not Hi-Tech;Programming Services;Telecommunications Equipment</v>
      </c>
    </row>
    <row r="817">
      <c r="A817" s="6" t="str">
        <v>594918</v>
      </c>
      <c r="B817" s="6" t="str">
        <v>United States</v>
      </c>
      <c r="C817" s="6" t="str">
        <v>Microsoft Corp</v>
      </c>
      <c r="D817" s="6" t="str">
        <v>Microsoft Corp</v>
      </c>
      <c r="F817" s="6" t="str">
        <v>United States</v>
      </c>
      <c r="G817" s="6" t="str">
        <v>Sunrise Atelier Inc</v>
      </c>
      <c r="H817" s="6" t="str">
        <v>Prepackaged Software</v>
      </c>
      <c r="I817" s="6" t="str">
        <v>5C9143</v>
      </c>
      <c r="J817" s="6" t="str">
        <v>Sunrise Atelier Inc</v>
      </c>
      <c r="K817" s="6" t="str">
        <v>Sunrise Atelier Inc</v>
      </c>
      <c r="L817" s="7">
        <f>=DATE(2015,2,11)</f>
        <v>42045.99949074074</v>
      </c>
      <c r="M817" s="7">
        <f>=DATE(2015,2,11)</f>
        <v>42045.99949074074</v>
      </c>
      <c r="W817" s="6" t="str">
        <v>Computer Consulting Services;Monitors/Terminals;Internet Services &amp; Software;Operating Systems;Other Peripherals;Applications Software(Business</v>
      </c>
      <c r="X817" s="6" t="str">
        <v>Other Software (inq. Games)</v>
      </c>
      <c r="Y817" s="6" t="str">
        <v>Other Software (inq. Games)</v>
      </c>
      <c r="Z817" s="6" t="str">
        <v>Other Software (inq. Games)</v>
      </c>
      <c r="AA817" s="6" t="str">
        <v>Computer Consulting Services;Internet Services &amp; Software;Applications Software(Business;Other Peripherals;Monitors/Terminals;Operating Systems</v>
      </c>
      <c r="AB817" s="6" t="str">
        <v>Computer Consulting Services;Operating Systems;Monitors/Terminals;Other Peripherals;Internet Services &amp; Software;Applications Software(Business</v>
      </c>
    </row>
    <row r="818">
      <c r="A818" s="6" t="str">
        <v>037833</v>
      </c>
      <c r="B818" s="6" t="str">
        <v>United States</v>
      </c>
      <c r="C818" s="6" t="str">
        <v>Apple Inc</v>
      </c>
      <c r="D818" s="6" t="str">
        <v>Apple Inc</v>
      </c>
      <c r="F818" s="6" t="str">
        <v>United Kingdom</v>
      </c>
      <c r="G818" s="6" t="str">
        <v>Camel Audio Ltd</v>
      </c>
      <c r="H818" s="6" t="str">
        <v>Prepackaged Software</v>
      </c>
      <c r="I818" s="6" t="str">
        <v>0L1534</v>
      </c>
      <c r="J818" s="6" t="str">
        <v>Camel Audio Ltd</v>
      </c>
      <c r="K818" s="6" t="str">
        <v>Camel Audio Ltd</v>
      </c>
      <c r="L818" s="7">
        <f>=DATE(2015,2,23)</f>
        <v>42057.99949074074</v>
      </c>
      <c r="M818" s="7">
        <f>=DATE(2015,2,23)</f>
        <v>42057.99949074074</v>
      </c>
      <c r="W818" s="6" t="str">
        <v>Other Peripherals;Micro-Computers (PCs);Printers;Portable Computers;Disk Drives;Other Software (inq. Games);Monitors/Terminals;Mainframes &amp; Super Computers</v>
      </c>
      <c r="X818" s="6" t="str">
        <v>Utilities/File Mgmt Software;Communication/Network Software;Internet Services &amp; Software;Applications Software(Business;Desktop Publishing;Other Software (inq. Games);Applications Software(Home)</v>
      </c>
      <c r="Y818" s="6" t="str">
        <v>Applications Software(Business;Desktop Publishing;Other Software (inq. Games);Internet Services &amp; Software;Communication/Network Software;Applications Software(Home);Utilities/File Mgmt Software</v>
      </c>
      <c r="Z818" s="6" t="str">
        <v>Other Software (inq. Games);Desktop Publishing;Communication/Network Software;Internet Services &amp; Software;Applications Software(Home);Utilities/File Mgmt Software;Applications Software(Business</v>
      </c>
      <c r="AA818" s="6" t="str">
        <v>Other Peripherals;Portable Computers;Mainframes &amp; Super Computers;Micro-Computers (PCs);Disk Drives;Other Software (inq. Games);Monitors/Terminals;Printers</v>
      </c>
      <c r="AB818" s="6" t="str">
        <v>Mainframes &amp; Super Computers;Other Peripherals;Other Software (inq. Games);Monitors/Terminals;Portable Computers;Micro-Computers (PCs);Printers;Disk Drives</v>
      </c>
    </row>
    <row r="819">
      <c r="A819" s="6" t="str">
        <v>38259P</v>
      </c>
      <c r="B819" s="6" t="str">
        <v>United States</v>
      </c>
      <c r="C819" s="6" t="str">
        <v>Google Inc</v>
      </c>
      <c r="D819" s="6" t="str">
        <v>Alphabet Inc</v>
      </c>
      <c r="F819" s="6" t="str">
        <v>United States</v>
      </c>
      <c r="G819" s="6" t="str">
        <v>Athena Wireless Communications Inc</v>
      </c>
      <c r="H819" s="6" t="str">
        <v>Telecommunications</v>
      </c>
      <c r="I819" s="6" t="str">
        <v>6C8655</v>
      </c>
      <c r="J819" s="6" t="str">
        <v>Athena Wireless Communications Inc</v>
      </c>
      <c r="K819" s="6" t="str">
        <v>Athena Wireless Communications Inc</v>
      </c>
      <c r="L819" s="7">
        <f>=DATE(2015,2,23)</f>
        <v>42057.99949074074</v>
      </c>
      <c r="M819" s="7">
        <f>=DATE(2015,2,23)</f>
        <v>42057.99949074074</v>
      </c>
      <c r="W819" s="6" t="str">
        <v>Internet Services &amp; Software;Programming Services</v>
      </c>
      <c r="X819" s="6" t="str">
        <v>Satellite Communications;Cellular Communications</v>
      </c>
      <c r="Y819" s="6" t="str">
        <v>Cellular Communications;Satellite Communications</v>
      </c>
      <c r="Z819" s="6" t="str">
        <v>Satellite Communications;Cellular Communications</v>
      </c>
      <c r="AA819" s="6" t="str">
        <v>Computer Consulting Services;Internet Services &amp; Software;Primary Business not Hi-Tech;Telecommunications Equipment;Programming Services</v>
      </c>
      <c r="AB819" s="6" t="str">
        <v>Telecommunications Equipment;Computer Consulting Services;Internet Services &amp; Software;Primary Business not Hi-Tech;Programming Services</v>
      </c>
    </row>
    <row r="820">
      <c r="A820" s="6" t="str">
        <v>38259P</v>
      </c>
      <c r="B820" s="6" t="str">
        <v>United States</v>
      </c>
      <c r="C820" s="6" t="str">
        <v>Google Inc</v>
      </c>
      <c r="D820" s="6" t="str">
        <v>Alphabet Inc</v>
      </c>
      <c r="F820" s="6" t="str">
        <v>United States</v>
      </c>
      <c r="G820" s="6" t="str">
        <v>Red Hot Labs Inc</v>
      </c>
      <c r="H820" s="6" t="str">
        <v>Prepackaged Software</v>
      </c>
      <c r="I820" s="6" t="str">
        <v>6C2417</v>
      </c>
      <c r="J820" s="6" t="str">
        <v>Red Hot Labs Inc</v>
      </c>
      <c r="K820" s="6" t="str">
        <v>Red Hot Labs Inc</v>
      </c>
      <c r="L820" s="7">
        <f>=DATE(2015,2,24)</f>
        <v>42058.99949074074</v>
      </c>
      <c r="M820" s="7">
        <f>=DATE(2015,2,24)</f>
        <v>42058.99949074074</v>
      </c>
      <c r="W820" s="6" t="str">
        <v>Programming Services;Internet Services &amp; Software</v>
      </c>
      <c r="X820" s="6" t="str">
        <v>Other Software (inq. Games)</v>
      </c>
      <c r="Y820" s="6" t="str">
        <v>Other Software (inq. Games)</v>
      </c>
      <c r="Z820" s="6" t="str">
        <v>Other Software (inq. Games)</v>
      </c>
      <c r="AA820" s="6" t="str">
        <v>Primary Business not Hi-Tech;Programming Services;Telecommunications Equipment;Internet Services &amp; Software;Computer Consulting Services</v>
      </c>
      <c r="AB820" s="6" t="str">
        <v>Primary Business not Hi-Tech;Telecommunications Equipment;Internet Services &amp; Software;Computer Consulting Services;Programming Services</v>
      </c>
    </row>
    <row r="821">
      <c r="A821" s="6" t="str">
        <v>38259P</v>
      </c>
      <c r="B821" s="6" t="str">
        <v>United States</v>
      </c>
      <c r="C821" s="6" t="str">
        <v>Google Inc</v>
      </c>
      <c r="D821" s="6" t="str">
        <v>Alphabet Inc</v>
      </c>
      <c r="F821" s="6" t="str">
        <v>United States</v>
      </c>
      <c r="G821" s="6" t="str">
        <v>AliphCom Inc</v>
      </c>
      <c r="H821" s="6" t="str">
        <v>Electronic and Electrical Equipment</v>
      </c>
      <c r="I821" s="6" t="str">
        <v>2A1028</v>
      </c>
      <c r="J821" s="6" t="str">
        <v>AliphCom Inc</v>
      </c>
      <c r="K821" s="6" t="str">
        <v>AliphCom Inc</v>
      </c>
      <c r="L821" s="7">
        <f>=DATE(2015,2,26)</f>
        <v>42060.99949074074</v>
      </c>
      <c r="S821" s="8">
        <v>25.1</v>
      </c>
      <c r="W821" s="6" t="str">
        <v>Internet Services &amp; Software;Programming Services</v>
      </c>
      <c r="X821" s="6" t="str">
        <v>Primary Business not Hi-Tech;Medical Monitoring Systems;Other Software (inq. Games)</v>
      </c>
      <c r="Y821" s="6" t="str">
        <v>Primary Business not Hi-Tech;Medical Monitoring Systems;Other Software (inq. Games)</v>
      </c>
      <c r="Z821" s="6" t="str">
        <v>Other Software (inq. Games);Medical Monitoring Systems;Primary Business not Hi-Tech</v>
      </c>
      <c r="AA821" s="6" t="str">
        <v>Programming Services;Telecommunications Equipment;Internet Services &amp; Software;Primary Business not Hi-Tech;Computer Consulting Services</v>
      </c>
      <c r="AB821" s="6" t="str">
        <v>Computer Consulting Services;Programming Services;Internet Services &amp; Software;Telecommunications Equipment;Primary Business not Hi-Tech</v>
      </c>
    </row>
    <row r="822">
      <c r="A822" s="6" t="str">
        <v>594918</v>
      </c>
      <c r="B822" s="6" t="str">
        <v>United States</v>
      </c>
      <c r="C822" s="6" t="str">
        <v>Microsoft Corp</v>
      </c>
      <c r="D822" s="6" t="str">
        <v>Microsoft Corp</v>
      </c>
      <c r="F822" s="6" t="str">
        <v>United States</v>
      </c>
      <c r="G822" s="6" t="str">
        <v>Woven Inc</v>
      </c>
      <c r="H822" s="6" t="str">
        <v>Prepackaged Software</v>
      </c>
      <c r="I822" s="6" t="str">
        <v>6C3693</v>
      </c>
      <c r="J822" s="6" t="str">
        <v>Woven Inc</v>
      </c>
      <c r="K822" s="6" t="str">
        <v>Woven Inc</v>
      </c>
      <c r="L822" s="7">
        <f>=DATE(2015,3,2)</f>
        <v>42064.99949074074</v>
      </c>
      <c r="W822" s="6" t="str">
        <v>Computer Consulting Services;Applications Software(Business;Other Peripherals;Operating Systems;Monitors/Terminals;Internet Services &amp; Software</v>
      </c>
      <c r="X822" s="6" t="str">
        <v>Applications Software(Home);Applications Software(Business;Communication/Network Software</v>
      </c>
      <c r="Y822" s="6" t="str">
        <v>Communication/Network Software;Applications Software(Home);Applications Software(Business</v>
      </c>
      <c r="Z822" s="6" t="str">
        <v>Communication/Network Software;Applications Software(Business;Applications Software(Home)</v>
      </c>
      <c r="AA822" s="6" t="str">
        <v>Monitors/Terminals;Other Peripherals;Computer Consulting Services;Operating Systems;Internet Services &amp; Software;Applications Software(Business</v>
      </c>
      <c r="AB822" s="6" t="str">
        <v>Monitors/Terminals;Applications Software(Business;Computer Consulting Services;Other Peripherals;Operating Systems;Internet Services &amp; Software</v>
      </c>
      <c r="AD822" s="7">
        <f>=DATE(2015,3,2)</f>
        <v>42064.99949074074</v>
      </c>
    </row>
    <row r="823">
      <c r="A823" s="6" t="str">
        <v>38259P</v>
      </c>
      <c r="B823" s="6" t="str">
        <v>United States</v>
      </c>
      <c r="C823" s="6" t="str">
        <v>Google Inc</v>
      </c>
      <c r="D823" s="6" t="str">
        <v>Alphabet Inc</v>
      </c>
      <c r="F823" s="6" t="str">
        <v>India</v>
      </c>
      <c r="G823" s="6" t="str">
        <v>Inmobi Pte Ltd</v>
      </c>
      <c r="H823" s="6" t="str">
        <v>Advertising Services</v>
      </c>
      <c r="I823" s="6" t="str">
        <v>44235W</v>
      </c>
      <c r="J823" s="6" t="str">
        <v>Inmobi Pte Ltd</v>
      </c>
      <c r="K823" s="6" t="str">
        <v>Inmobi Pte Ltd</v>
      </c>
      <c r="L823" s="7">
        <f>=DATE(2015,3,11)</f>
        <v>42073.99949074074</v>
      </c>
      <c r="W823" s="6" t="str">
        <v>Programming Services;Internet Services &amp; Software</v>
      </c>
      <c r="X823" s="6" t="str">
        <v>Primary Business not Hi-Tech;Networking Systems (LAN,WAN)</v>
      </c>
      <c r="Y823" s="6" t="str">
        <v>Networking Systems (LAN,WAN);Primary Business not Hi-Tech</v>
      </c>
      <c r="Z823" s="6" t="str">
        <v>Networking Systems (LAN,WAN);Primary Business not Hi-Tech</v>
      </c>
      <c r="AA823" s="6" t="str">
        <v>Computer Consulting Services;Internet Services &amp; Software;Primary Business not Hi-Tech;Telecommunications Equipment;Programming Services</v>
      </c>
      <c r="AB823" s="6" t="str">
        <v>Telecommunications Equipment;Internet Services &amp; Software;Primary Business not Hi-Tech;Programming Services;Computer Consulting Services</v>
      </c>
    </row>
    <row r="824">
      <c r="A824" s="6" t="str">
        <v>023135</v>
      </c>
      <c r="B824" s="6" t="str">
        <v>United States</v>
      </c>
      <c r="C824" s="6" t="str">
        <v>Amazon.com Inc</v>
      </c>
      <c r="D824" s="6" t="str">
        <v>Amazon.com Inc</v>
      </c>
      <c r="F824" s="6" t="str">
        <v>United States</v>
      </c>
      <c r="G824" s="6" t="str">
        <v>2lemetry Inc</v>
      </c>
      <c r="H824" s="6" t="str">
        <v>Business Services</v>
      </c>
      <c r="I824" s="6" t="str">
        <v>6C5610</v>
      </c>
      <c r="J824" s="6" t="str">
        <v>2lemetry Inc</v>
      </c>
      <c r="K824" s="6" t="str">
        <v>2lemetry Inc</v>
      </c>
      <c r="L824" s="7">
        <f>=DATE(2015,3,12)</f>
        <v>42074.99949074074</v>
      </c>
      <c r="M824" s="7">
        <f>=DATE(2015,3,12)</f>
        <v>42074.99949074074</v>
      </c>
      <c r="W824" s="6" t="str">
        <v>Primary Business not Hi-Tech</v>
      </c>
      <c r="X824" s="6" t="str">
        <v>Applications Software(Business;Other Computer Related Svcs;Data Processing Services</v>
      </c>
      <c r="Y824" s="6" t="str">
        <v>Data Processing Services;Other Computer Related Svcs;Applications Software(Business</v>
      </c>
      <c r="Z824" s="6" t="str">
        <v>Data Processing Services;Other Computer Related Svcs;Applications Software(Business</v>
      </c>
      <c r="AA824" s="6" t="str">
        <v>Primary Business not Hi-Tech</v>
      </c>
      <c r="AB824" s="6" t="str">
        <v>Primary Business not Hi-Tech</v>
      </c>
    </row>
    <row r="825">
      <c r="A825" s="6" t="str">
        <v>30303M</v>
      </c>
      <c r="B825" s="6" t="str">
        <v>United States</v>
      </c>
      <c r="C825" s="6" t="str">
        <v>Facebook Inc</v>
      </c>
      <c r="D825" s="6" t="str">
        <v>Facebook Inc</v>
      </c>
      <c r="F825" s="6" t="str">
        <v>United States</v>
      </c>
      <c r="G825" s="6" t="str">
        <v>TheFind Inc</v>
      </c>
      <c r="H825" s="6" t="str">
        <v>Miscellaneous Retail Trade</v>
      </c>
      <c r="I825" s="6" t="str">
        <v>31708V</v>
      </c>
      <c r="J825" s="6" t="str">
        <v>TheFind Inc</v>
      </c>
      <c r="K825" s="6" t="str">
        <v>TheFind Inc</v>
      </c>
      <c r="L825" s="7">
        <f>=DATE(2015,3,13)</f>
        <v>42075.99949074074</v>
      </c>
      <c r="M825" s="7">
        <f>=DATE(2015,3,13)</f>
        <v>42075.99949074074</v>
      </c>
      <c r="W825" s="6" t="str">
        <v>Internet Services &amp; Software</v>
      </c>
      <c r="X825" s="6" t="str">
        <v>Internet Services &amp; Software</v>
      </c>
      <c r="Y825" s="6" t="str">
        <v>Internet Services &amp; Software</v>
      </c>
      <c r="Z825" s="6" t="str">
        <v>Internet Services &amp; Software</v>
      </c>
      <c r="AA825" s="6" t="str">
        <v>Internet Services &amp; Software</v>
      </c>
      <c r="AB825" s="6" t="str">
        <v>Internet Services &amp; Software</v>
      </c>
    </row>
    <row r="826">
      <c r="A826" s="6" t="str">
        <v>53578A</v>
      </c>
      <c r="B826" s="6" t="str">
        <v>United States</v>
      </c>
      <c r="C826" s="6" t="str">
        <v>LinkedIn Corp</v>
      </c>
      <c r="D826" s="6" t="str">
        <v>LinkedIn Corp</v>
      </c>
      <c r="F826" s="6" t="str">
        <v>Canada</v>
      </c>
      <c r="G826" s="6" t="str">
        <v>Careerify Corp</v>
      </c>
      <c r="H826" s="6" t="str">
        <v>Prepackaged Software</v>
      </c>
      <c r="I826" s="6" t="str">
        <v>6C5952</v>
      </c>
      <c r="J826" s="6" t="str">
        <v>Careerify Corp</v>
      </c>
      <c r="K826" s="6" t="str">
        <v>Careerify Corp</v>
      </c>
      <c r="L826" s="7">
        <f>=DATE(2015,3,16)</f>
        <v>42078.99949074074</v>
      </c>
      <c r="M826" s="7">
        <f>=DATE(2015,3,16)</f>
        <v>42078.99949074074</v>
      </c>
      <c r="S826" s="8">
        <v>0.860733344809778</v>
      </c>
      <c r="W826" s="6" t="str">
        <v>Internet Services &amp; Software</v>
      </c>
      <c r="X826" s="6" t="str">
        <v>Other Software (inq. Games)</v>
      </c>
      <c r="Y826" s="6" t="str">
        <v>Other Software (inq. Games)</v>
      </c>
      <c r="Z826" s="6" t="str">
        <v>Other Software (inq. Games)</v>
      </c>
      <c r="AA826" s="6" t="str">
        <v>Internet Services &amp; Software</v>
      </c>
      <c r="AB826" s="6" t="str">
        <v>Internet Services &amp; Software</v>
      </c>
    </row>
    <row r="827">
      <c r="A827" s="6" t="str">
        <v>037833</v>
      </c>
      <c r="B827" s="6" t="str">
        <v>United States</v>
      </c>
      <c r="C827" s="6" t="str">
        <v>Apple Inc</v>
      </c>
      <c r="D827" s="6" t="str">
        <v>Apple Inc</v>
      </c>
      <c r="F827" s="6" t="str">
        <v>United States</v>
      </c>
      <c r="G827" s="6" t="str">
        <v>FoundationDB Inc</v>
      </c>
      <c r="H827" s="6" t="str">
        <v>Business Services</v>
      </c>
      <c r="I827" s="6" t="str">
        <v>5A2520</v>
      </c>
      <c r="J827" s="6" t="str">
        <v>FoundationDB Inc</v>
      </c>
      <c r="K827" s="6" t="str">
        <v>FoundationDB Inc</v>
      </c>
      <c r="L827" s="7">
        <f>=DATE(2015,3,25)</f>
        <v>42087.99949074074</v>
      </c>
      <c r="S827" s="8">
        <v>1.8</v>
      </c>
      <c r="W827" s="6" t="str">
        <v>Other Software (inq. Games);Disk Drives;Printers;Other Peripherals;Portable Computers;Monitors/Terminals;Micro-Computers (PCs);Mainframes &amp; Super Computers</v>
      </c>
      <c r="X827" s="6" t="str">
        <v>Other Computer Related Svcs;Data Processing Services</v>
      </c>
      <c r="Y827" s="6" t="str">
        <v>Other Computer Related Svcs;Data Processing Services</v>
      </c>
      <c r="Z827" s="6" t="str">
        <v>Data Processing Services;Other Computer Related Svcs</v>
      </c>
      <c r="AA827" s="6" t="str">
        <v>Monitors/Terminals;Mainframes &amp; Super Computers;Other Software (inq. Games);Micro-Computers (PCs);Portable Computers;Disk Drives;Printers;Other Peripherals</v>
      </c>
      <c r="AB827" s="6" t="str">
        <v>Micro-Computers (PCs);Monitors/Terminals;Other Peripherals;Mainframes &amp; Super Computers;Printers;Other Software (inq. Games);Portable Computers;Disk Drives</v>
      </c>
    </row>
    <row r="828">
      <c r="A828" s="6" t="str">
        <v>037833</v>
      </c>
      <c r="B828" s="6" t="str">
        <v>United States</v>
      </c>
      <c r="C828" s="6" t="str">
        <v>Apple Inc</v>
      </c>
      <c r="D828" s="6" t="str">
        <v>Apple Inc</v>
      </c>
      <c r="F828" s="6" t="str">
        <v>United Kingdom</v>
      </c>
      <c r="G828" s="6" t="str">
        <v>Acunu Ltd</v>
      </c>
      <c r="H828" s="6" t="str">
        <v>Prepackaged Software</v>
      </c>
      <c r="I828" s="6" t="str">
        <v>0L1913</v>
      </c>
      <c r="J828" s="6" t="str">
        <v>Acunu Ltd</v>
      </c>
      <c r="K828" s="6" t="str">
        <v>Acunu Ltd</v>
      </c>
      <c r="L828" s="7">
        <f>=DATE(2015,3,26)</f>
        <v>42088.99949074074</v>
      </c>
      <c r="M828" s="7">
        <f>=DATE(2015,3,26)</f>
        <v>42088.99949074074</v>
      </c>
      <c r="W828" s="6" t="str">
        <v>Mainframes &amp; Super Computers;Other Software (inq. Games);Monitors/Terminals;Printers;Disk Drives;Portable Computers;Other Peripherals;Micro-Computers (PCs)</v>
      </c>
      <c r="X828" s="6" t="str">
        <v>Applications Software(Business</v>
      </c>
      <c r="Y828" s="6" t="str">
        <v>Applications Software(Business</v>
      </c>
      <c r="Z828" s="6" t="str">
        <v>Applications Software(Business</v>
      </c>
      <c r="AA828" s="6" t="str">
        <v>Disk Drives;Portable Computers;Micro-Computers (PCs);Other Peripherals;Monitors/Terminals;Other Software (inq. Games);Printers;Mainframes &amp; Super Computers</v>
      </c>
      <c r="AB828" s="6" t="str">
        <v>Monitors/Terminals;Micro-Computers (PCs);Mainframes &amp; Super Computers;Other Peripherals;Printers;Portable Computers;Disk Drives;Other Software (inq. Games)</v>
      </c>
    </row>
    <row r="829">
      <c r="A829" s="6" t="str">
        <v>023135</v>
      </c>
      <c r="B829" s="6" t="str">
        <v>United States</v>
      </c>
      <c r="C829" s="6" t="str">
        <v>Amazon.com Inc</v>
      </c>
      <c r="D829" s="6" t="str">
        <v>Amazon.com Inc</v>
      </c>
      <c r="F829" s="6" t="str">
        <v>United Kingdom</v>
      </c>
      <c r="G829" s="6" t="str">
        <v>Net-A-Porter Group Ltd</v>
      </c>
      <c r="H829" s="6" t="str">
        <v>Business Services</v>
      </c>
      <c r="I829" s="6" t="str">
        <v>64250K</v>
      </c>
      <c r="J829" s="6" t="str">
        <v>Compagnie Financiere Richemont SA</v>
      </c>
      <c r="K829" s="6" t="str">
        <v>Compagnie Financiere Richemont SA</v>
      </c>
      <c r="L829" s="7">
        <f>=DATE(2015,3,26)</f>
        <v>42088.99949074074</v>
      </c>
      <c r="R829" s="8">
        <v>-21.5584502004625</v>
      </c>
      <c r="S829" s="8">
        <v>886.192211076176</v>
      </c>
      <c r="W829" s="6" t="str">
        <v>Primary Business not Hi-Tech</v>
      </c>
      <c r="X829" s="6" t="str">
        <v>Internet Services &amp; Software</v>
      </c>
      <c r="Y829" s="6" t="str">
        <v>Primary Business not Hi-Tech</v>
      </c>
      <c r="Z829" s="6" t="str">
        <v>Primary Business not Hi-Tech</v>
      </c>
      <c r="AA829" s="6" t="str">
        <v>Primary Business not Hi-Tech</v>
      </c>
      <c r="AB829" s="6" t="str">
        <v>Primary Business not Hi-Tech</v>
      </c>
    </row>
    <row r="830">
      <c r="A830" s="6" t="str">
        <v>594918</v>
      </c>
      <c r="B830" s="6" t="str">
        <v>United States</v>
      </c>
      <c r="C830" s="6" t="str">
        <v>Microsoft Corp</v>
      </c>
      <c r="D830" s="6" t="str">
        <v>Microsoft Corp</v>
      </c>
      <c r="F830" s="6" t="str">
        <v>United States</v>
      </c>
      <c r="G830" s="6" t="str">
        <v>LiveLoop Inc</v>
      </c>
      <c r="H830" s="6" t="str">
        <v>Prepackaged Software</v>
      </c>
      <c r="I830" s="6" t="str">
        <v>6C9068</v>
      </c>
      <c r="J830" s="6" t="str">
        <v>LiveLoop Inc</v>
      </c>
      <c r="K830" s="6" t="str">
        <v>LiveLoop Inc</v>
      </c>
      <c r="L830" s="7">
        <f>=DATE(2015,3,28)</f>
        <v>42090.99949074074</v>
      </c>
      <c r="M830" s="7">
        <f>=DATE(2015,3,28)</f>
        <v>42090.99949074074</v>
      </c>
      <c r="W830" s="6" t="str">
        <v>Monitors/Terminals;Computer Consulting Services;Applications Software(Business;Operating Systems;Internet Services &amp; Software;Other Peripherals</v>
      </c>
      <c r="X830" s="6" t="str">
        <v>Applications Software(Business;Applications Software(Home);Communication/Network Software</v>
      </c>
      <c r="Y830" s="6" t="str">
        <v>Applications Software(Business;Communication/Network Software;Applications Software(Home)</v>
      </c>
      <c r="Z830" s="6" t="str">
        <v>Applications Software(Business;Applications Software(Home);Communication/Network Software</v>
      </c>
      <c r="AA830" s="6" t="str">
        <v>Computer Consulting Services;Monitors/Terminals;Internet Services &amp; Software;Applications Software(Business;Other Peripherals;Operating Systems</v>
      </c>
      <c r="AB830" s="6" t="str">
        <v>Other Peripherals;Monitors/Terminals;Computer Consulting Services;Operating Systems;Internet Services &amp; Software;Applications Software(Business</v>
      </c>
    </row>
    <row r="831">
      <c r="A831" s="6" t="str">
        <v>67020Y</v>
      </c>
      <c r="B831" s="6" t="str">
        <v>United States</v>
      </c>
      <c r="C831" s="6" t="str">
        <v>Nuance Communications Inc</v>
      </c>
      <c r="D831" s="6" t="str">
        <v>Nuance Communications Inc</v>
      </c>
      <c r="F831" s="6" t="str">
        <v>Brazil</v>
      </c>
      <c r="G831" s="6" t="str">
        <v>Novitech Tecnologia e Servicos Ltda</v>
      </c>
      <c r="H831" s="6" t="str">
        <v>Business Services</v>
      </c>
      <c r="I831" s="6" t="str">
        <v>7C3012</v>
      </c>
      <c r="J831" s="6" t="str">
        <v>Novitech Tecnologia e Servicos Ltda</v>
      </c>
      <c r="K831" s="6" t="str">
        <v>Novitech Tecnologia e Servicos Ltda</v>
      </c>
      <c r="L831" s="7">
        <f>=DATE(2015,4,1)</f>
        <v>42094.99949074074</v>
      </c>
      <c r="M831" s="7">
        <f>=DATE(2015,4,1)</f>
        <v>42094.99949074074</v>
      </c>
      <c r="W831" s="6" t="str">
        <v>Other Software (inq. Games);Programming Services;Applications Software(Business;Primary Business not Hi-Tech;Utilities/File Mgmt Software;Internet Services &amp; Software;Other Computer Related Svcs;Database Software/Programming;Networking Systems (LAN,WAN);Computer Consulting Services;Applications Software(Home);Communication/Network Software;Desktop Publishing</v>
      </c>
      <c r="X831" s="6" t="str">
        <v>Other Software (inq. Games);Other Computer Related Svcs;Computer Consulting Services</v>
      </c>
      <c r="Y831" s="6" t="str">
        <v>Other Computer Related Svcs;Computer Consulting Services;Other Software (inq. Games)</v>
      </c>
      <c r="Z831" s="6" t="str">
        <v>Other Computer Related Svcs;Computer Consulting Services;Other Software (inq. Games)</v>
      </c>
      <c r="AA831" s="6" t="str">
        <v>Utilities/File Mgmt Software;Other Software (inq. Games);Other Computer Related Svcs;Communication/Network Software;Internet Services &amp; Software;Desktop Publishing;Computer Consulting Services;Database Software/Programming;Applications Software(Business;Programming Services;Applications Software(Home);Primary Business not Hi-Tech;Networking Systems (LAN,WAN)</v>
      </c>
      <c r="AB831" s="6" t="str">
        <v>Applications Software(Business;Communication/Network Software;Other Computer Related Svcs;Primary Business not Hi-Tech;Utilities/File Mgmt Software;Programming Services;Database Software/Programming;Desktop Publishing;Networking Systems (LAN,WAN);Computer Consulting Services;Applications Software(Home);Other Software (inq. Games);Internet Services &amp; Software</v>
      </c>
    </row>
    <row r="832">
      <c r="A832" s="6" t="str">
        <v>53578A</v>
      </c>
      <c r="B832" s="6" t="str">
        <v>United States</v>
      </c>
      <c r="C832" s="6" t="str">
        <v>LinkedIn Corp</v>
      </c>
      <c r="D832" s="6" t="str">
        <v>LinkedIn Corp</v>
      </c>
      <c r="F832" s="6" t="str">
        <v>United States</v>
      </c>
      <c r="G832" s="6" t="str">
        <v>Refresh Inc</v>
      </c>
      <c r="H832" s="6" t="str">
        <v>Prepackaged Software</v>
      </c>
      <c r="I832" s="6" t="str">
        <v>7C0642</v>
      </c>
      <c r="J832" s="6" t="str">
        <v>Refresh Inc</v>
      </c>
      <c r="K832" s="6" t="str">
        <v>Refresh Inc</v>
      </c>
      <c r="L832" s="7">
        <f>=DATE(2015,4,2)</f>
        <v>42095.99949074074</v>
      </c>
      <c r="M832" s="7">
        <f>=DATE(2015,4,2)</f>
        <v>42095.99949074074</v>
      </c>
      <c r="W832" s="6" t="str">
        <v>Internet Services &amp; Software</v>
      </c>
      <c r="X832" s="6" t="str">
        <v>Utilities/File Mgmt Software;Internet Services &amp; Software</v>
      </c>
      <c r="Y832" s="6" t="str">
        <v>Internet Services &amp; Software;Utilities/File Mgmt Software</v>
      </c>
      <c r="Z832" s="6" t="str">
        <v>Internet Services &amp; Software;Utilities/File Mgmt Software</v>
      </c>
      <c r="AA832" s="6" t="str">
        <v>Internet Services &amp; Software</v>
      </c>
      <c r="AB832" s="6" t="str">
        <v>Internet Services &amp; Software</v>
      </c>
    </row>
    <row r="833">
      <c r="A833" s="6" t="str">
        <v>2E5821</v>
      </c>
      <c r="B833" s="6" t="str">
        <v>United States</v>
      </c>
      <c r="C833" s="6" t="str">
        <v>Amazon Corporate LLC</v>
      </c>
      <c r="D833" s="6" t="str">
        <v>Amazon.com Inc</v>
      </c>
      <c r="F833" s="6" t="str">
        <v>United States</v>
      </c>
      <c r="G833" s="6" t="str">
        <v>Cloudreach Inc</v>
      </c>
      <c r="H833" s="6" t="str">
        <v>Prepackaged Software</v>
      </c>
      <c r="I833" s="6" t="str">
        <v>2E5825</v>
      </c>
      <c r="J833" s="6" t="str">
        <v>Cloudreach Inc</v>
      </c>
      <c r="K833" s="6" t="str">
        <v>Cloudreach Inc</v>
      </c>
      <c r="L833" s="7">
        <f>=DATE(2015,4,8)</f>
        <v>42101.99949074074</v>
      </c>
      <c r="M833" s="7">
        <f>=DATE(2015,4,8)</f>
        <v>42101.99949074074</v>
      </c>
      <c r="W833" s="6" t="str">
        <v>Primary Business not Hi-Tech;Internet Services &amp; Software</v>
      </c>
      <c r="X833" s="6" t="str">
        <v>Database Software/Programming;Applications Software(Business;Programming Services;Other Software (inq. Games);Communication/Network Software</v>
      </c>
      <c r="Y833" s="6" t="str">
        <v>Programming Services;Applications Software(Business;Communication/Network Software;Other Software (inq. Games);Database Software/Programming</v>
      </c>
      <c r="Z833" s="6" t="str">
        <v>Other Software (inq. Games);Database Software/Programming;Applications Software(Business;Communication/Network Software;Programming Services</v>
      </c>
      <c r="AA833" s="6" t="str">
        <v>Primary Business not Hi-Tech</v>
      </c>
      <c r="AB833" s="6" t="str">
        <v>Primary Business not Hi-Tech</v>
      </c>
    </row>
    <row r="834">
      <c r="A834" s="6" t="str">
        <v>037833</v>
      </c>
      <c r="B834" s="6" t="str">
        <v>United States</v>
      </c>
      <c r="C834" s="6" t="str">
        <v>Apple Inc</v>
      </c>
      <c r="D834" s="6" t="str">
        <v>Apple Inc</v>
      </c>
      <c r="F834" s="6" t="str">
        <v>United States</v>
      </c>
      <c r="G834" s="6" t="str">
        <v>Dryft</v>
      </c>
      <c r="H834" s="6" t="str">
        <v>Prepackaged Software</v>
      </c>
      <c r="I834" s="6" t="str">
        <v>7C1307</v>
      </c>
      <c r="J834" s="6" t="str">
        <v>Dryft</v>
      </c>
      <c r="K834" s="6" t="str">
        <v>Dryft</v>
      </c>
      <c r="L834" s="7">
        <f>=DATE(2015,4,8)</f>
        <v>42101.99949074074</v>
      </c>
      <c r="M834" s="7">
        <f>=DATE(2015,4,8)</f>
        <v>42101.99949074074</v>
      </c>
      <c r="W834" s="6" t="str">
        <v>Other Peripherals;Portable Computers;Printers;Micro-Computers (PCs);Disk Drives;Other Software (inq. Games);Mainframes &amp; Super Computers;Monitors/Terminals</v>
      </c>
      <c r="X834" s="6" t="str">
        <v>Communication/Network Software;Applications Software(Business;Applications Software(Home)</v>
      </c>
      <c r="Y834" s="6" t="str">
        <v>Applications Software(Home);Communication/Network Software;Applications Software(Business</v>
      </c>
      <c r="Z834" s="6" t="str">
        <v>Applications Software(Business;Communication/Network Software;Applications Software(Home)</v>
      </c>
      <c r="AA834" s="6" t="str">
        <v>Portable Computers;Disk Drives;Micro-Computers (PCs);Other Software (inq. Games);Printers;Other Peripherals;Monitors/Terminals;Mainframes &amp; Super Computers</v>
      </c>
      <c r="AB834" s="6" t="str">
        <v>Printers;Portable Computers;Other Peripherals;Mainframes &amp; Super Computers;Monitors/Terminals;Disk Drives;Micro-Computers (PCs);Other Software (inq. Games)</v>
      </c>
    </row>
    <row r="835">
      <c r="A835" s="6" t="str">
        <v>023135</v>
      </c>
      <c r="B835" s="6" t="str">
        <v>United States</v>
      </c>
      <c r="C835" s="6" t="str">
        <v>Amazon.com Inc</v>
      </c>
      <c r="D835" s="6" t="str">
        <v>Amazon.com Inc</v>
      </c>
      <c r="F835" s="6" t="str">
        <v>United States</v>
      </c>
      <c r="G835" s="6" t="str">
        <v>Shoefitr Inc</v>
      </c>
      <c r="H835" s="6" t="str">
        <v>Business Services</v>
      </c>
      <c r="I835" s="6" t="str">
        <v>7C1588</v>
      </c>
      <c r="J835" s="6" t="str">
        <v>Shoefitr Inc</v>
      </c>
      <c r="K835" s="6" t="str">
        <v>Shoefitr Inc</v>
      </c>
      <c r="L835" s="7">
        <f>=DATE(2015,4,8)</f>
        <v>42101.99949074074</v>
      </c>
      <c r="M835" s="7">
        <f>=DATE(2015,4,8)</f>
        <v>42101.99949074074</v>
      </c>
      <c r="S835" s="8">
        <v>1.6</v>
      </c>
      <c r="W835" s="6" t="str">
        <v>Primary Business not Hi-Tech</v>
      </c>
      <c r="X835" s="6" t="str">
        <v>Internet Services &amp; Software</v>
      </c>
      <c r="Y835" s="6" t="str">
        <v>Internet Services &amp; Software</v>
      </c>
      <c r="Z835" s="6" t="str">
        <v>Internet Services &amp; Software</v>
      </c>
      <c r="AA835" s="6" t="str">
        <v>Primary Business not Hi-Tech</v>
      </c>
      <c r="AB835" s="6" t="str">
        <v>Primary Business not Hi-Tech</v>
      </c>
    </row>
    <row r="836">
      <c r="A836" s="6" t="str">
        <v>53578A</v>
      </c>
      <c r="B836" s="6" t="str">
        <v>United States</v>
      </c>
      <c r="C836" s="6" t="str">
        <v>LinkedIn Corp</v>
      </c>
      <c r="D836" s="6" t="str">
        <v>LinkedIn Corp</v>
      </c>
      <c r="F836" s="6" t="str">
        <v>United States</v>
      </c>
      <c r="G836" s="6" t="str">
        <v>Lynda.com Inc</v>
      </c>
      <c r="H836" s="6" t="str">
        <v>Business Services</v>
      </c>
      <c r="I836" s="6" t="str">
        <v>55126T</v>
      </c>
      <c r="J836" s="6" t="str">
        <v>Lynda.com Inc</v>
      </c>
      <c r="K836" s="6" t="str">
        <v>Lynda.com Inc</v>
      </c>
      <c r="L836" s="7">
        <f>=DATE(2015,4,9)</f>
        <v>42102.99949074074</v>
      </c>
      <c r="M836" s="7">
        <f>=DATE(2015,5,14)</f>
        <v>42137.99949074074</v>
      </c>
      <c r="N836" s="8">
        <v>1500</v>
      </c>
      <c r="O836" s="8">
        <v>1500</v>
      </c>
      <c r="W836" s="6" t="str">
        <v>Internet Services &amp; Software</v>
      </c>
      <c r="X836" s="6" t="str">
        <v>Internet Services &amp; Software</v>
      </c>
      <c r="Y836" s="6" t="str">
        <v>Internet Services &amp; Software</v>
      </c>
      <c r="Z836" s="6" t="str">
        <v>Internet Services &amp; Software</v>
      </c>
      <c r="AA836" s="6" t="str">
        <v>Internet Services &amp; Software</v>
      </c>
      <c r="AB836" s="6" t="str">
        <v>Internet Services &amp; Software</v>
      </c>
      <c r="AC836" s="8">
        <v>1500</v>
      </c>
      <c r="AD836" s="7">
        <f>=DATE(2015,4,9)</f>
        <v>42102.99949074074</v>
      </c>
      <c r="AF836" s="8" t="str">
        <v>1,500.00</v>
      </c>
      <c r="AG836" s="8" t="str">
        <v>1,500.00</v>
      </c>
      <c r="AH836" s="8" t="str">
        <v>1,500.00</v>
      </c>
      <c r="AI836" s="8" t="str">
        <v>1,500.00</v>
      </c>
      <c r="AJ836" s="8" t="str">
        <v>780.00;720.00</v>
      </c>
      <c r="AK836" s="6" t="str">
        <v>US Dollar;US Dollar</v>
      </c>
      <c r="AL836" s="8">
        <v>1500</v>
      </c>
    </row>
    <row r="837">
      <c r="A837" s="6" t="str">
        <v>594918</v>
      </c>
      <c r="B837" s="6" t="str">
        <v>United States</v>
      </c>
      <c r="C837" s="6" t="str">
        <v>Microsoft Corp</v>
      </c>
      <c r="D837" s="6" t="str">
        <v>Microsoft Corp</v>
      </c>
      <c r="F837" s="6" t="str">
        <v>Canada</v>
      </c>
      <c r="G837" s="6" t="str">
        <v>Datazen Software Inc</v>
      </c>
      <c r="H837" s="6" t="str">
        <v>Prepackaged Software</v>
      </c>
      <c r="I837" s="6" t="str">
        <v>7C2358</v>
      </c>
      <c r="J837" s="6" t="str">
        <v>Datazen Software Inc</v>
      </c>
      <c r="K837" s="6" t="str">
        <v>Datazen Software Inc</v>
      </c>
      <c r="L837" s="7">
        <f>=DATE(2015,4,14)</f>
        <v>42107.99949074074</v>
      </c>
      <c r="M837" s="7">
        <f>=DATE(2015,4,14)</f>
        <v>42107.99949074074</v>
      </c>
      <c r="W837" s="6" t="str">
        <v>Other Peripherals;Applications Software(Business;Computer Consulting Services;Monitors/Terminals;Operating Systems;Internet Services &amp; Software</v>
      </c>
      <c r="X837" s="6" t="str">
        <v>Applications Software(Business;Communication/Network Software;Applications Software(Home)</v>
      </c>
      <c r="Y837" s="6" t="str">
        <v>Applications Software(Business;Applications Software(Home);Communication/Network Software</v>
      </c>
      <c r="Z837" s="6" t="str">
        <v>Communication/Network Software;Applications Software(Home);Applications Software(Business</v>
      </c>
      <c r="AA837" s="6" t="str">
        <v>Operating Systems;Applications Software(Business;Computer Consulting Services;Internet Services &amp; Software;Other Peripherals;Monitors/Terminals</v>
      </c>
      <c r="AB837" s="6" t="str">
        <v>Computer Consulting Services;Internet Services &amp; Software;Operating Systems;Monitors/Terminals;Applications Software(Business;Other Peripherals</v>
      </c>
    </row>
    <row r="838">
      <c r="A838" s="6" t="str">
        <v>01864J</v>
      </c>
      <c r="B838" s="6" t="str">
        <v>United States</v>
      </c>
      <c r="C838" s="6" t="str">
        <v>Avanade Inc</v>
      </c>
      <c r="D838" s="6" t="str">
        <v>Accenture PLC</v>
      </c>
      <c r="F838" s="6" t="str">
        <v>Switzerland</v>
      </c>
      <c r="G838" s="6" t="str">
        <v>KCS net Holding AG</v>
      </c>
      <c r="H838" s="6" t="str">
        <v>Business Services</v>
      </c>
      <c r="I838" s="6" t="str">
        <v>48522T</v>
      </c>
      <c r="J838" s="6" t="str">
        <v>The Carlyle Group LP</v>
      </c>
      <c r="K838" s="6" t="str">
        <v>Carlyle Europe Technology Partners II LP</v>
      </c>
      <c r="L838" s="7">
        <f>=DATE(2015,4,28)</f>
        <v>42121.99949074074</v>
      </c>
      <c r="M838" s="7">
        <f>=DATE(2015,6,10)</f>
        <v>42164.99949074074</v>
      </c>
      <c r="W838" s="6" t="str">
        <v>Other Computer Related Svcs;Computer Consulting Services;Other Software (inq. Games)</v>
      </c>
      <c r="X838" s="6" t="str">
        <v>Other Computer Related Svcs;Primary Business not Hi-Tech;Computer Consulting Services;Other Software (inq. Games)</v>
      </c>
      <c r="Y838" s="6" t="str">
        <v>Primary Business not Hi-Tech</v>
      </c>
      <c r="Z838" s="6" t="str">
        <v>Primary Business not Hi-Tech</v>
      </c>
      <c r="AA838" s="6" t="str">
        <v>Communication/Network Software;Desktop Publishing;Other Computer Systems;Other Software (inq. Games);Computer Consulting Services;Applications Software(Business;Turnkey Systems;Primary Business not Hi-Tech;Internet Services &amp; Software;CAD/CAM/CAE/Graphics Systems;Applications Software(Home);Other Computer Related Svcs;Workstations;Data Commun(Exclude networking;Networking Systems (LAN,WAN);Operating Systems;Utilities/File Mgmt Software;Data Processing Services</v>
      </c>
      <c r="AB838" s="6" t="str">
        <v>Internet Services &amp; Software;Computer Consulting Services;Networking Systems (LAN,WAN);Desktop Publishing;Applications Software(Home);Operating Systems;Turnkey Systems;Applications Software(Business;Other Computer Related Svcs;Other Computer Systems;Other Software (inq. Games);Communication/Network Software;Primary Business not Hi-Tech;Utilities/File Mgmt Software;Data Processing Services;Workstations;Data Commun(Exclude networking;CAD/CAM/CAE/Graphics Systems</v>
      </c>
    </row>
    <row r="839">
      <c r="A839" s="6" t="str">
        <v>38259P</v>
      </c>
      <c r="B839" s="6" t="str">
        <v>United States</v>
      </c>
      <c r="C839" s="6" t="str">
        <v>Google Inc</v>
      </c>
      <c r="D839" s="6" t="str">
        <v>Alphabet Inc</v>
      </c>
      <c r="F839" s="6" t="str">
        <v>United States</v>
      </c>
      <c r="G839" s="6" t="str">
        <v>Softcard</v>
      </c>
      <c r="H839" s="6" t="str">
        <v>Prepackaged Software</v>
      </c>
      <c r="I839" s="6" t="str">
        <v>5C5662</v>
      </c>
      <c r="J839" s="6" t="str">
        <v>Softcard</v>
      </c>
      <c r="K839" s="6" t="str">
        <v>Softcard</v>
      </c>
      <c r="L839" s="7">
        <f>=DATE(2015,4,29)</f>
        <v>42122.99949074074</v>
      </c>
      <c r="M839" s="7">
        <f>=DATE(2015,4,29)</f>
        <v>42122.99949074074</v>
      </c>
      <c r="W839" s="6" t="str">
        <v>Internet Services &amp; Software;Programming Services</v>
      </c>
      <c r="X839" s="6" t="str">
        <v>Applications Software(Home);Applications Software(Business;Communication/Network Software</v>
      </c>
      <c r="Y839" s="6" t="str">
        <v>Applications Software(Business;Applications Software(Home);Communication/Network Software</v>
      </c>
      <c r="Z839" s="6" t="str">
        <v>Applications Software(Business;Applications Software(Home);Communication/Network Software</v>
      </c>
      <c r="AA839" s="6" t="str">
        <v>Computer Consulting Services;Primary Business not Hi-Tech;Telecommunications Equipment;Internet Services &amp; Software;Programming Services</v>
      </c>
      <c r="AB839" s="6" t="str">
        <v>Telecommunications Equipment;Internet Services &amp; Software;Primary Business not Hi-Tech;Programming Services;Computer Consulting Services</v>
      </c>
    </row>
    <row r="840">
      <c r="A840" s="6" t="str">
        <v>594918</v>
      </c>
      <c r="B840" s="6" t="str">
        <v>United States</v>
      </c>
      <c r="C840" s="6" t="str">
        <v>Microsoft Corp</v>
      </c>
      <c r="D840" s="6" t="str">
        <v>Microsoft Corp</v>
      </c>
      <c r="F840" s="6" t="str">
        <v>Israel</v>
      </c>
      <c r="G840" s="6" t="str">
        <v>N Trig Ltd</v>
      </c>
      <c r="H840" s="6" t="str">
        <v>Computer and Office Equipment</v>
      </c>
      <c r="I840" s="6" t="str">
        <v>62777Q</v>
      </c>
      <c r="J840" s="6" t="str">
        <v>N Trig Ltd</v>
      </c>
      <c r="K840" s="6" t="str">
        <v>N Trig Ltd</v>
      </c>
      <c r="L840" s="7">
        <f>=DATE(2015,5,1)</f>
        <v>42124.99949074074</v>
      </c>
      <c r="M840" s="7">
        <f>=DATE(2015,5,1)</f>
        <v>42124.99949074074</v>
      </c>
      <c r="S840" s="8">
        <v>46.2441585415104</v>
      </c>
      <c r="W840" s="6" t="str">
        <v>Other Peripherals;Operating Systems;Internet Services &amp; Software;Computer Consulting Services;Monitors/Terminals;Applications Software(Business</v>
      </c>
      <c r="X840" s="6" t="str">
        <v>Other Peripherals</v>
      </c>
      <c r="Y840" s="6" t="str">
        <v>Other Peripherals</v>
      </c>
      <c r="Z840" s="6" t="str">
        <v>Other Peripherals</v>
      </c>
      <c r="AA840" s="6" t="str">
        <v>Applications Software(Business;Operating Systems;Internet Services &amp; Software;Other Peripherals;Computer Consulting Services;Monitors/Terminals</v>
      </c>
      <c r="AB840" s="6" t="str">
        <v>Other Peripherals;Operating Systems;Internet Services &amp; Software;Monitors/Terminals;Applications Software(Business;Computer Consulting Services</v>
      </c>
    </row>
    <row r="841">
      <c r="A841" s="6" t="str">
        <v>594918</v>
      </c>
      <c r="B841" s="6" t="str">
        <v>United States</v>
      </c>
      <c r="C841" s="6" t="str">
        <v>Microsoft Corp</v>
      </c>
      <c r="D841" s="6" t="str">
        <v>Microsoft Corp</v>
      </c>
      <c r="F841" s="6" t="str">
        <v>Israel</v>
      </c>
      <c r="G841" s="6" t="str">
        <v>N Trig Ltd-Advanced Digital Pen Technology</v>
      </c>
      <c r="H841" s="6" t="str">
        <v>Computer and Office Equipment</v>
      </c>
      <c r="I841" s="6" t="str">
        <v>7C6573</v>
      </c>
      <c r="J841" s="6" t="str">
        <v>N Trig Ltd</v>
      </c>
      <c r="K841" s="6" t="str">
        <v>N Trig Ltd</v>
      </c>
      <c r="L841" s="7">
        <f>=DATE(2015,5,1)</f>
        <v>42124.99949074074</v>
      </c>
      <c r="M841" s="7">
        <f>=DATE(2015,5,1)</f>
        <v>42124.99949074074</v>
      </c>
      <c r="W841" s="6" t="str">
        <v>Other Peripherals;Computer Consulting Services;Applications Software(Business;Operating Systems;Internet Services &amp; Software;Monitors/Terminals</v>
      </c>
      <c r="X841" s="6" t="str">
        <v>Disk Drives</v>
      </c>
      <c r="Y841" s="6" t="str">
        <v>Other Peripherals</v>
      </c>
      <c r="Z841" s="6" t="str">
        <v>Other Peripherals</v>
      </c>
      <c r="AA841" s="6" t="str">
        <v>Operating Systems;Computer Consulting Services;Applications Software(Business;Other Peripherals;Monitors/Terminals;Internet Services &amp; Software</v>
      </c>
      <c r="AB841" s="6" t="str">
        <v>Monitors/Terminals;Operating Systems;Internet Services &amp; Software;Applications Software(Business;Other Peripherals;Computer Consulting Services</v>
      </c>
    </row>
    <row r="842">
      <c r="A842" s="6" t="str">
        <v>38259P</v>
      </c>
      <c r="B842" s="6" t="str">
        <v>United States</v>
      </c>
      <c r="C842" s="6" t="str">
        <v>Google Inc</v>
      </c>
      <c r="D842" s="6" t="str">
        <v>Alphabet Inc</v>
      </c>
      <c r="F842" s="6" t="str">
        <v>United States</v>
      </c>
      <c r="G842" s="6" t="str">
        <v>Timeful Inc</v>
      </c>
      <c r="H842" s="6" t="str">
        <v>Prepackaged Software</v>
      </c>
      <c r="I842" s="6" t="str">
        <v>7C5880</v>
      </c>
      <c r="J842" s="6" t="str">
        <v>Timeful Inc</v>
      </c>
      <c r="K842" s="6" t="str">
        <v>Timeful Inc</v>
      </c>
      <c r="L842" s="7">
        <f>=DATE(2015,5,4)</f>
        <v>42127.99949074074</v>
      </c>
      <c r="M842" s="7">
        <f>=DATE(2015,5,4)</f>
        <v>42127.99949074074</v>
      </c>
      <c r="W842" s="6" t="str">
        <v>Programming Services;Internet Services &amp; Software</v>
      </c>
      <c r="X842" s="6" t="str">
        <v>Applications Software(Home);Communication/Network Software;Applications Software(Business</v>
      </c>
      <c r="Y842" s="6" t="str">
        <v>Communication/Network Software;Applications Software(Home);Applications Software(Business</v>
      </c>
      <c r="Z842" s="6" t="str">
        <v>Communication/Network Software;Applications Software(Home);Applications Software(Business</v>
      </c>
      <c r="AA842" s="6" t="str">
        <v>Internet Services &amp; Software;Computer Consulting Services;Telecommunications Equipment;Programming Services;Primary Business not Hi-Tech</v>
      </c>
      <c r="AB842" s="6" t="str">
        <v>Internet Services &amp; Software;Computer Consulting Services;Telecommunications Equipment;Primary Business not Hi-Tech;Programming Services</v>
      </c>
    </row>
    <row r="843">
      <c r="A843" s="6" t="str">
        <v>037833</v>
      </c>
      <c r="B843" s="6" t="str">
        <v>United States</v>
      </c>
      <c r="C843" s="6" t="str">
        <v>Apple Inc</v>
      </c>
      <c r="D843" s="6" t="str">
        <v>Apple Inc</v>
      </c>
      <c r="F843" s="6" t="str">
        <v>United States</v>
      </c>
      <c r="G843" s="6" t="str">
        <v>Coherent Navigation Inc</v>
      </c>
      <c r="H843" s="6" t="str">
        <v>Telecommunications</v>
      </c>
      <c r="I843" s="6" t="str">
        <v>7C8497</v>
      </c>
      <c r="J843" s="6" t="str">
        <v>Coherent Navigation Inc</v>
      </c>
      <c r="K843" s="6" t="str">
        <v>Coherent Navigation Inc</v>
      </c>
      <c r="L843" s="7">
        <f>=DATE(2015,5,17)</f>
        <v>42140.99949074074</v>
      </c>
      <c r="M843" s="7">
        <f>=DATE(2015,5,17)</f>
        <v>42140.99949074074</v>
      </c>
      <c r="W843" s="6" t="str">
        <v>Disk Drives;Monitors/Terminals;Portable Computers;Other Peripherals;Printers;Mainframes &amp; Super Computers;Micro-Computers (PCs);Other Software (inq. Games)</v>
      </c>
      <c r="X843" s="6" t="str">
        <v>Satellite Communications;Satellites (Non-Communications)</v>
      </c>
      <c r="Y843" s="6" t="str">
        <v>Satellites (Non-Communications);Satellite Communications</v>
      </c>
      <c r="Z843" s="6" t="str">
        <v>Satellite Communications;Satellites (Non-Communications)</v>
      </c>
      <c r="AA843" s="6" t="str">
        <v>Portable Computers;Mainframes &amp; Super Computers;Micro-Computers (PCs);Printers;Other Software (inq. Games);Other Peripherals;Monitors/Terminals;Disk Drives</v>
      </c>
      <c r="AB843" s="6" t="str">
        <v>Printers;Monitors/Terminals;Mainframes &amp; Super Computers;Other Software (inq. Games);Disk Drives;Other Peripherals;Portable Computers;Micro-Computers (PCs)</v>
      </c>
    </row>
    <row r="844">
      <c r="A844" s="6" t="str">
        <v>9A6770</v>
      </c>
      <c r="B844" s="6" t="str">
        <v>United States</v>
      </c>
      <c r="C844" s="6" t="str">
        <v>Oculus VR LLC(NOW 8J8006)</v>
      </c>
      <c r="D844" s="6" t="str">
        <v>Facebook Inc</v>
      </c>
      <c r="F844" s="6" t="str">
        <v>United Kingdom</v>
      </c>
      <c r="G844" s="6" t="str">
        <v>Surreal Vision Ltd</v>
      </c>
      <c r="H844" s="6" t="str">
        <v>Prepackaged Software</v>
      </c>
      <c r="I844" s="6" t="str">
        <v>8C0489</v>
      </c>
      <c r="J844" s="6" t="str">
        <v>Surreal Vision Ltd</v>
      </c>
      <c r="K844" s="6" t="str">
        <v>Surreal Vision Ltd</v>
      </c>
      <c r="L844" s="7">
        <f>=DATE(2015,5,26)</f>
        <v>42149.99949074074</v>
      </c>
      <c r="M844" s="7">
        <f>=DATE(2015,5,26)</f>
        <v>42149.99949074074</v>
      </c>
      <c r="W844" s="6" t="str">
        <v>Applications Software(Business;Programming Services;Communication/Network Software;Applications Software(Home)</v>
      </c>
      <c r="X844" s="6" t="str">
        <v>Utilities/File Mgmt Software;Internet Services &amp; Software;Desktop Publishing;Applications Software(Home);Other Software (inq. Games);Communication/Network Software;Applications Software(Business</v>
      </c>
      <c r="Y844" s="6" t="str">
        <v>Applications Software(Business;Other Software (inq. Games);Utilities/File Mgmt Software;Internet Services &amp; Software;Applications Software(Home);Communication/Network Software;Desktop Publishing</v>
      </c>
      <c r="Z844" s="6" t="str">
        <v>Applications Software(Home);Desktop Publishing;Communication/Network Software;Utilities/File Mgmt Software;Internet Services &amp; Software;Other Software (inq. Games);Applications Software(Business</v>
      </c>
      <c r="AA844" s="6" t="str">
        <v>Internet Services &amp; Software</v>
      </c>
      <c r="AB844" s="6" t="str">
        <v>Internet Services &amp; Software</v>
      </c>
    </row>
    <row r="845">
      <c r="A845" s="6" t="str">
        <v>037833</v>
      </c>
      <c r="B845" s="6" t="str">
        <v>United States</v>
      </c>
      <c r="C845" s="6" t="str">
        <v>Apple Inc</v>
      </c>
      <c r="D845" s="6" t="str">
        <v>Apple Inc</v>
      </c>
      <c r="F845" s="6" t="str">
        <v>Germany</v>
      </c>
      <c r="G845" s="6" t="str">
        <v>Metaio GmbH</v>
      </c>
      <c r="H845" s="6" t="str">
        <v>Prepackaged Software</v>
      </c>
      <c r="I845" s="6" t="str">
        <v>8C1056</v>
      </c>
      <c r="J845" s="6" t="str">
        <v>Metaio GmbH</v>
      </c>
      <c r="K845" s="6" t="str">
        <v>Metaio GmbH</v>
      </c>
      <c r="L845" s="7">
        <f>=DATE(2015,5,28)</f>
        <v>42151.99949074074</v>
      </c>
      <c r="M845" s="7">
        <f>=DATE(2015,5,28)</f>
        <v>42151.99949074074</v>
      </c>
      <c r="W845" s="6" t="str">
        <v>Printers;Other Software (inq. Games);Mainframes &amp; Super Computers;Other Peripherals;Disk Drives;Portable Computers;Monitors/Terminals;Micro-Computers (PCs)</v>
      </c>
      <c r="X845" s="6" t="str">
        <v>Other Software (inq. Games)</v>
      </c>
      <c r="Y845" s="6" t="str">
        <v>Other Software (inq. Games)</v>
      </c>
      <c r="Z845" s="6" t="str">
        <v>Other Software (inq. Games)</v>
      </c>
      <c r="AA845" s="6" t="str">
        <v>Other Software (inq. Games);Monitors/Terminals;Disk Drives;Micro-Computers (PCs);Other Peripherals;Portable Computers;Printers;Mainframes &amp; Super Computers</v>
      </c>
      <c r="AB845" s="6" t="str">
        <v>Mainframes &amp; Super Computers;Other Peripherals;Micro-Computers (PCs);Printers;Monitors/Terminals;Portable Computers;Disk Drives;Other Software (inq. Games)</v>
      </c>
    </row>
    <row r="846">
      <c r="A846" s="6" t="str">
        <v>037833</v>
      </c>
      <c r="B846" s="6" t="str">
        <v>United States</v>
      </c>
      <c r="C846" s="6" t="str">
        <v>Apple Inc</v>
      </c>
      <c r="D846" s="6" t="str">
        <v>Apple Inc</v>
      </c>
      <c r="F846" s="6" t="str">
        <v>United States</v>
      </c>
      <c r="G846" s="6" t="str">
        <v>Apple Inc</v>
      </c>
      <c r="H846" s="6" t="str">
        <v>Computer and Office Equipment</v>
      </c>
      <c r="I846" s="6" t="str">
        <v>037833</v>
      </c>
      <c r="J846" s="6" t="str">
        <v>Apple Inc</v>
      </c>
      <c r="K846" s="6" t="str">
        <v>Apple Inc</v>
      </c>
      <c r="L846" s="7">
        <f>=DATE(2015,5,31)</f>
        <v>42154.99949074074</v>
      </c>
      <c r="M846" s="7">
        <f>=DATE(2015,7,31)</f>
        <v>42215.99949074074</v>
      </c>
      <c r="N846" s="8">
        <v>6000</v>
      </c>
      <c r="O846" s="8">
        <v>6000</v>
      </c>
      <c r="P846" s="8" t="str">
        <v>726,534.63</v>
      </c>
      <c r="R846" s="8">
        <v>47808</v>
      </c>
      <c r="S846" s="8">
        <v>212164</v>
      </c>
      <c r="T846" s="8">
        <v>-18055</v>
      </c>
      <c r="U846" s="8">
        <v>-62713</v>
      </c>
      <c r="V846" s="8">
        <v>74931</v>
      </c>
      <c r="W846" s="6" t="str">
        <v>Mainframes &amp; Super Computers;Monitors/Terminals;Other Peripherals;Other Software (inq. Games);Printers;Portable Computers;Disk Drives;Micro-Computers (PCs)</v>
      </c>
      <c r="X846" s="6" t="str">
        <v>Mainframes &amp; Super Computers;Other Software (inq. Games);Monitors/Terminals;Disk Drives;Portable Computers;Other Peripherals;Micro-Computers (PCs);Printers</v>
      </c>
      <c r="Y846" s="6" t="str">
        <v>Printers;Other Peripherals;Mainframes &amp; Super Computers;Disk Drives;Monitors/Terminals;Portable Computers;Other Software (inq. Games);Micro-Computers (PCs)</v>
      </c>
      <c r="Z846" s="6" t="str">
        <v>Mainframes &amp; Super Computers;Disk Drives;Micro-Computers (PCs);Printers;Monitors/Terminals;Other Peripherals;Other Software (inq. Games);Portable Computers</v>
      </c>
      <c r="AA846" s="6" t="str">
        <v>Portable Computers;Printers;Monitors/Terminals;Disk Drives;Other Software (inq. Games);Other Peripherals;Micro-Computers (PCs);Mainframes &amp; Super Computers</v>
      </c>
      <c r="AB846" s="6" t="str">
        <v>Printers;Other Software (inq. Games);Other Peripherals;Portable Computers;Micro-Computers (PCs);Monitors/Terminals;Disk Drives;Mainframes &amp; Super Computers</v>
      </c>
      <c r="AC846" s="8">
        <v>6000</v>
      </c>
      <c r="AD846" s="7">
        <f>=DATE(2015,5,31)</f>
        <v>42154.99949074074</v>
      </c>
      <c r="AF846" s="8" t="str">
        <v>726,534.63</v>
      </c>
      <c r="AG846" s="8" t="str">
        <v>726,534.63</v>
      </c>
      <c r="AH846" s="8" t="str">
        <v>715,759.63</v>
      </c>
      <c r="AI846" s="8" t="str">
        <v>715,759.63</v>
      </c>
      <c r="AJ846" s="8" t="str">
        <v>6,000.00</v>
      </c>
      <c r="AK846" s="6" t="str">
        <v>US Dollar</v>
      </c>
      <c r="AL846" s="8">
        <v>6000</v>
      </c>
    </row>
    <row r="847">
      <c r="A847" s="6" t="str">
        <v>594918</v>
      </c>
      <c r="B847" s="6" t="str">
        <v>United States</v>
      </c>
      <c r="C847" s="6" t="str">
        <v>Microsoft Corp</v>
      </c>
      <c r="D847" s="6" t="str">
        <v>Microsoft Corp</v>
      </c>
      <c r="F847" s="6" t="str">
        <v>Germany</v>
      </c>
      <c r="G847" s="6" t="str">
        <v>6 Wunderkinder GmbH</v>
      </c>
      <c r="H847" s="6" t="str">
        <v>Prepackaged Software</v>
      </c>
      <c r="I847" s="6" t="str">
        <v>7A8933</v>
      </c>
      <c r="J847" s="6" t="str">
        <v>6 Wunderkinder GmbH</v>
      </c>
      <c r="K847" s="6" t="str">
        <v>6 Wunderkinder GmbH</v>
      </c>
      <c r="L847" s="7">
        <f>=DATE(2015,6,2)</f>
        <v>42156.99949074074</v>
      </c>
      <c r="M847" s="7">
        <f>=DATE(2015,6,2)</f>
        <v>42156.99949074074</v>
      </c>
      <c r="W847" s="6" t="str">
        <v>Monitors/Terminals;Applications Software(Business;Other Peripherals;Operating Systems;Internet Services &amp; Software;Computer Consulting Services</v>
      </c>
      <c r="X847" s="6" t="str">
        <v>Other Software (inq. Games);Applications Software(Home);Utilities/File Mgmt Software</v>
      </c>
      <c r="Y847" s="6" t="str">
        <v>Utilities/File Mgmt Software;Other Software (inq. Games);Applications Software(Home)</v>
      </c>
      <c r="Z847" s="6" t="str">
        <v>Other Software (inq. Games);Utilities/File Mgmt Software;Applications Software(Home)</v>
      </c>
      <c r="AA847" s="6" t="str">
        <v>Monitors/Terminals;Internet Services &amp; Software;Other Peripherals;Operating Systems;Computer Consulting Services;Applications Software(Business</v>
      </c>
      <c r="AB847" s="6" t="str">
        <v>Monitors/Terminals;Operating Systems;Internet Services &amp; Software;Other Peripherals;Applications Software(Business;Computer Consulting Services</v>
      </c>
    </row>
    <row r="848">
      <c r="A848" s="6" t="str">
        <v>38259P</v>
      </c>
      <c r="B848" s="6" t="str">
        <v>United States</v>
      </c>
      <c r="C848" s="6" t="str">
        <v>Google Inc</v>
      </c>
      <c r="D848" s="6" t="str">
        <v>Alphabet Inc</v>
      </c>
      <c r="F848" s="6" t="str">
        <v>United States</v>
      </c>
      <c r="G848" s="6" t="str">
        <v>Lumedyne Technologies Inc</v>
      </c>
      <c r="H848" s="6" t="str">
        <v>Electronic and Electrical Equipment</v>
      </c>
      <c r="I848" s="6" t="str">
        <v>8C3265</v>
      </c>
      <c r="J848" s="6" t="str">
        <v>Lumedyne Technologies Inc</v>
      </c>
      <c r="K848" s="6" t="str">
        <v>Lumedyne Technologies Inc</v>
      </c>
      <c r="L848" s="7">
        <f>=DATE(2015,6,2)</f>
        <v>42156.99949074074</v>
      </c>
      <c r="W848" s="6" t="str">
        <v>Programming Services;Internet Services &amp; Software</v>
      </c>
      <c r="X848" s="6" t="str">
        <v>Semiconductors;Other Electronics</v>
      </c>
      <c r="Y848" s="6" t="str">
        <v>Other Electronics;Semiconductors</v>
      </c>
      <c r="Z848" s="6" t="str">
        <v>Other Electronics;Semiconductors</v>
      </c>
      <c r="AA848" s="6" t="str">
        <v>Internet Services &amp; Software;Programming Services;Computer Consulting Services;Telecommunications Equipment;Primary Business not Hi-Tech</v>
      </c>
      <c r="AB848" s="6" t="str">
        <v>Internet Services &amp; Software;Computer Consulting Services;Programming Services;Telecommunications Equipment;Primary Business not Hi-Tech</v>
      </c>
    </row>
    <row r="849">
      <c r="A849" s="6" t="str">
        <v>594918</v>
      </c>
      <c r="B849" s="6" t="str">
        <v>United States</v>
      </c>
      <c r="C849" s="6" t="str">
        <v>Microsoft Corp</v>
      </c>
      <c r="D849" s="6" t="str">
        <v>Microsoft Corp</v>
      </c>
      <c r="F849" s="6" t="str">
        <v>United States</v>
      </c>
      <c r="G849" s="6" t="str">
        <v>BlueStripe Software Inc</v>
      </c>
      <c r="H849" s="6" t="str">
        <v>Prepackaged Software</v>
      </c>
      <c r="I849" s="6" t="str">
        <v>8C3537</v>
      </c>
      <c r="J849" s="6" t="str">
        <v>BlueStripe Software Inc</v>
      </c>
      <c r="K849" s="6" t="str">
        <v>BlueStripe Software Inc</v>
      </c>
      <c r="L849" s="7">
        <f>=DATE(2015,6,10)</f>
        <v>42164.99949074074</v>
      </c>
      <c r="M849" s="7">
        <f>=DATE(2015,6,10)</f>
        <v>42164.99949074074</v>
      </c>
      <c r="W849" s="6" t="str">
        <v>Applications Software(Business;Other Peripherals;Internet Services &amp; Software;Monitors/Terminals;Operating Systems;Computer Consulting Services</v>
      </c>
      <c r="X849" s="6" t="str">
        <v>Desktop Publishing;Utilities/File Mgmt Software;Applications Software(Business;Communication/Network Software;Other Software (inq. Games);Applications Software(Home);Internet Services &amp; Software</v>
      </c>
      <c r="Y849" s="6" t="str">
        <v>Applications Software(Home);Other Software (inq. Games);Internet Services &amp; Software;Communication/Network Software;Applications Software(Business;Utilities/File Mgmt Software;Desktop Publishing</v>
      </c>
      <c r="Z849" s="6" t="str">
        <v>Internet Services &amp; Software;Applications Software(Business;Applications Software(Home);Communication/Network Software;Utilities/File Mgmt Software;Other Software (inq. Games);Desktop Publishing</v>
      </c>
      <c r="AA849" s="6" t="str">
        <v>Applications Software(Business;Internet Services &amp; Software;Other Peripherals;Operating Systems;Monitors/Terminals;Computer Consulting Services</v>
      </c>
      <c r="AB849" s="6" t="str">
        <v>Monitors/Terminals;Computer Consulting Services;Internet Services &amp; Software;Operating Systems;Applications Software(Business;Other Peripherals</v>
      </c>
    </row>
    <row r="850">
      <c r="A850" s="6" t="str">
        <v>38259P</v>
      </c>
      <c r="B850" s="6" t="str">
        <v>United States</v>
      </c>
      <c r="C850" s="6" t="str">
        <v>Google Inc</v>
      </c>
      <c r="D850" s="6" t="str">
        <v>Alphabet Inc</v>
      </c>
      <c r="F850" s="6" t="str">
        <v>United States</v>
      </c>
      <c r="G850" s="6" t="str">
        <v>Agawi Inc</v>
      </c>
      <c r="H850" s="6" t="str">
        <v>Prepackaged Software</v>
      </c>
      <c r="I850" s="6" t="str">
        <v>8C5643</v>
      </c>
      <c r="J850" s="6" t="str">
        <v>Agawi Inc</v>
      </c>
      <c r="K850" s="6" t="str">
        <v>Agawi Inc</v>
      </c>
      <c r="L850" s="7">
        <f>=DATE(2015,6,18)</f>
        <v>42172.99949074074</v>
      </c>
      <c r="M850" s="7">
        <f>=DATE(2015,6,18)</f>
        <v>42172.99949074074</v>
      </c>
      <c r="W850" s="6" t="str">
        <v>Programming Services;Internet Services &amp; Software</v>
      </c>
      <c r="X850" s="6" t="str">
        <v>Communication/Network Software;Applications Software(Business;Applications Software(Home)</v>
      </c>
      <c r="Y850" s="6" t="str">
        <v>Applications Software(Business;Communication/Network Software;Applications Software(Home)</v>
      </c>
      <c r="Z850" s="6" t="str">
        <v>Applications Software(Home);Applications Software(Business;Communication/Network Software</v>
      </c>
      <c r="AA850" s="6" t="str">
        <v>Programming Services;Computer Consulting Services;Telecommunications Equipment;Internet Services &amp; Software;Primary Business not Hi-Tech</v>
      </c>
      <c r="AB850" s="6" t="str">
        <v>Primary Business not Hi-Tech;Internet Services &amp; Software;Programming Services;Telecommunications Equipment;Computer Consulting Services</v>
      </c>
    </row>
    <row r="851">
      <c r="A851" s="6" t="str">
        <v>88837Z</v>
      </c>
      <c r="B851" s="6" t="str">
        <v>United States</v>
      </c>
      <c r="C851" s="6" t="str">
        <v>Titan Outdoor LLC</v>
      </c>
      <c r="D851" s="6" t="str">
        <v>Alphabet Inc</v>
      </c>
      <c r="E851" s="6" t="str">
        <v>Sidewalk Labs</v>
      </c>
      <c r="F851" s="6" t="str">
        <v>United States</v>
      </c>
      <c r="G851" s="6" t="str">
        <v>Control Group Inc</v>
      </c>
      <c r="H851" s="6" t="str">
        <v>Prepackaged Software</v>
      </c>
      <c r="I851" s="6" t="str">
        <v>8C9018</v>
      </c>
      <c r="J851" s="6" t="str">
        <v>Control Group Inc</v>
      </c>
      <c r="K851" s="6" t="str">
        <v>Control Group Inc</v>
      </c>
      <c r="L851" s="7">
        <f>=DATE(2015,6,23)</f>
        <v>42177.99949074074</v>
      </c>
      <c r="M851" s="7">
        <f>=DATE(2015,9,18)</f>
        <v>42264.99949074074</v>
      </c>
      <c r="W851" s="6" t="str">
        <v>Primary Business not Hi-Tech</v>
      </c>
      <c r="X851" s="6" t="str">
        <v>Other Software (inq. Games);Data Processing Services;Other Computer Related Svcs;Computer Consulting Services</v>
      </c>
      <c r="Y851" s="6" t="str">
        <v>Other Software (inq. Games);Data Processing Services;Computer Consulting Services;Other Computer Related Svcs</v>
      </c>
      <c r="Z851" s="6" t="str">
        <v>Data Processing Services;Computer Consulting Services;Other Computer Related Svcs;Other Software (inq. Games)</v>
      </c>
      <c r="AA851" s="6" t="str">
        <v>Computer Consulting Services;Data Processing Services;Other Software (inq. Games);Other Computer Related Svcs</v>
      </c>
      <c r="AB851" s="6" t="str">
        <v>Programming Services;Internet Services &amp; Software;Primary Business not Hi-Tech;Telecommunications Equipment;Computer Consulting Services</v>
      </c>
    </row>
    <row r="852">
      <c r="A852" s="6" t="str">
        <v>4C7902</v>
      </c>
      <c r="B852" s="6" t="str">
        <v>United States</v>
      </c>
      <c r="C852" s="6" t="str">
        <v>Amazon Web Services Inc</v>
      </c>
      <c r="D852" s="6" t="str">
        <v>Amazon.com Inc</v>
      </c>
      <c r="F852" s="6" t="str">
        <v>United States</v>
      </c>
      <c r="G852" s="6" t="str">
        <v>Trellis Automation Inc</v>
      </c>
      <c r="H852" s="6" t="str">
        <v>Prepackaged Software</v>
      </c>
      <c r="I852" s="6" t="str">
        <v>9C1814</v>
      </c>
      <c r="J852" s="6" t="str">
        <v>Trellis Automation Inc</v>
      </c>
      <c r="K852" s="6" t="str">
        <v>Trellis Automation Inc</v>
      </c>
      <c r="L852" s="7">
        <f>=DATE(2015,7,14)</f>
        <v>42198.99949074074</v>
      </c>
      <c r="M852" s="7">
        <f>=DATE(2015,7,14)</f>
        <v>42198.99949074074</v>
      </c>
      <c r="W852" s="6" t="str">
        <v>Data Processing Services;Other Computer Related Svcs;Computer Consulting Services;Internet Services &amp; Software;Primary Business not Hi-Tech</v>
      </c>
      <c r="X852" s="6" t="str">
        <v>Applications Software(Business</v>
      </c>
      <c r="Y852" s="6" t="str">
        <v>Applications Software(Business</v>
      </c>
      <c r="Z852" s="6" t="str">
        <v>Applications Software(Business</v>
      </c>
      <c r="AA852" s="6" t="str">
        <v>Primary Business not Hi-Tech</v>
      </c>
      <c r="AB852" s="6" t="str">
        <v>Primary Business not Hi-Tech</v>
      </c>
    </row>
    <row r="853">
      <c r="A853" s="6" t="str">
        <v>9A6770</v>
      </c>
      <c r="B853" s="6" t="str">
        <v>United States</v>
      </c>
      <c r="C853" s="6" t="str">
        <v>Oculus VR LLC(NOW 8J8006)</v>
      </c>
      <c r="D853" s="6" t="str">
        <v>Facebook Inc</v>
      </c>
      <c r="F853" s="6" t="str">
        <v>Israel</v>
      </c>
      <c r="G853" s="6" t="str">
        <v>Pebbles Interfaces Ltd</v>
      </c>
      <c r="H853" s="6" t="str">
        <v>Prepackaged Software</v>
      </c>
      <c r="I853" s="6" t="str">
        <v>9C2347</v>
      </c>
      <c r="J853" s="6" t="str">
        <v>Pebbles Interfaces Ltd</v>
      </c>
      <c r="K853" s="6" t="str">
        <v>Pebbles Interfaces Ltd</v>
      </c>
      <c r="L853" s="7">
        <f>=DATE(2015,7,16)</f>
        <v>42200.99949074074</v>
      </c>
      <c r="M853" s="7">
        <f>=DATE(2015,7,16)</f>
        <v>42200.99949074074</v>
      </c>
      <c r="W853" s="6" t="str">
        <v>Communication/Network Software;Applications Software(Home);Programming Services;Applications Software(Business</v>
      </c>
      <c r="X853" s="6" t="str">
        <v>Applications Software(Business;Communication/Network Software;Applications Software(Home);Other Software (inq. Games);Data Processing Services</v>
      </c>
      <c r="Y853" s="6" t="str">
        <v>Communication/Network Software;Data Processing Services;Applications Software(Business;Applications Software(Home);Other Software (inq. Games)</v>
      </c>
      <c r="Z853" s="6" t="str">
        <v>Applications Software(Business;Other Software (inq. Games);Communication/Network Software;Data Processing Services;Applications Software(Home)</v>
      </c>
      <c r="AA853" s="6" t="str">
        <v>Internet Services &amp; Software</v>
      </c>
      <c r="AB853" s="6" t="str">
        <v>Internet Services &amp; Software</v>
      </c>
    </row>
    <row r="854">
      <c r="A854" s="6" t="str">
        <v>594918</v>
      </c>
      <c r="B854" s="6" t="str">
        <v>United States</v>
      </c>
      <c r="C854" s="6" t="str">
        <v>Microsoft Corp</v>
      </c>
      <c r="D854" s="6" t="str">
        <v>Microsoft Corp</v>
      </c>
      <c r="F854" s="6" t="str">
        <v>United States</v>
      </c>
      <c r="G854" s="6" t="str">
        <v>FieldOne Systems LLC</v>
      </c>
      <c r="H854" s="6" t="str">
        <v>Prepackaged Software</v>
      </c>
      <c r="I854" s="6" t="str">
        <v>9C2694</v>
      </c>
      <c r="J854" s="6" t="str">
        <v>FieldOne Systems LLC</v>
      </c>
      <c r="K854" s="6" t="str">
        <v>FieldOne Systems LLC</v>
      </c>
      <c r="L854" s="7">
        <f>=DATE(2015,7,16)</f>
        <v>42200.99949074074</v>
      </c>
      <c r="W854" s="6" t="str">
        <v>Operating Systems;Internet Services &amp; Software;Other Peripherals;Computer Consulting Services;Monitors/Terminals;Applications Software(Business</v>
      </c>
      <c r="X854" s="6" t="str">
        <v>Communication/Network Software;Desktop Publishing;Utilities/File Mgmt Software;Applications Software(Business;Applications Software(Home);Internet Services &amp; Software;Other Software (inq. Games)</v>
      </c>
      <c r="Y854" s="6" t="str">
        <v>Desktop Publishing;Utilities/File Mgmt Software;Applications Software(Home);Applications Software(Business;Communication/Network Software;Other Software (inq. Games);Internet Services &amp; Software</v>
      </c>
      <c r="Z854" s="6" t="str">
        <v>Applications Software(Business;Desktop Publishing;Applications Software(Home);Communication/Network Software;Utilities/File Mgmt Software;Internet Services &amp; Software;Other Software (inq. Games)</v>
      </c>
      <c r="AA854" s="6" t="str">
        <v>Applications Software(Business;Other Peripherals;Computer Consulting Services;Monitors/Terminals;Operating Systems;Internet Services &amp; Software</v>
      </c>
      <c r="AB854" s="6" t="str">
        <v>Other Peripherals;Computer Consulting Services;Monitors/Terminals;Internet Services &amp; Software;Applications Software(Business;Operating Systems</v>
      </c>
    </row>
    <row r="855">
      <c r="A855" s="6" t="str">
        <v>38259P</v>
      </c>
      <c r="B855" s="6" t="str">
        <v>United States</v>
      </c>
      <c r="C855" s="6" t="str">
        <v>Google Inc</v>
      </c>
      <c r="D855" s="6" t="str">
        <v>Alphabet Inc</v>
      </c>
      <c r="F855" s="6" t="str">
        <v>United States</v>
      </c>
      <c r="G855" s="6" t="str">
        <v>Pixate Inc</v>
      </c>
      <c r="H855" s="6" t="str">
        <v>Prepackaged Software</v>
      </c>
      <c r="I855" s="6" t="str">
        <v>9C2731</v>
      </c>
      <c r="J855" s="6" t="str">
        <v>Pixate Inc</v>
      </c>
      <c r="K855" s="6" t="str">
        <v>Pixate Inc</v>
      </c>
      <c r="L855" s="7">
        <f>=DATE(2015,7,21)</f>
        <v>42205.99949074074</v>
      </c>
      <c r="M855" s="7">
        <f>=DATE(2015,7,21)</f>
        <v>42205.99949074074</v>
      </c>
      <c r="W855" s="6" t="str">
        <v>Programming Services;Internet Services &amp; Software</v>
      </c>
      <c r="X855" s="6" t="str">
        <v>Applications Software(Home);Applications Software(Business;Communication/Network Software</v>
      </c>
      <c r="Y855" s="6" t="str">
        <v>Communication/Network Software;Applications Software(Home);Applications Software(Business</v>
      </c>
      <c r="Z855" s="6" t="str">
        <v>Communication/Network Software;Applications Software(Home);Applications Software(Business</v>
      </c>
      <c r="AA855" s="6" t="str">
        <v>Primary Business not Hi-Tech;Telecommunications Equipment;Internet Services &amp; Software;Computer Consulting Services;Programming Services</v>
      </c>
      <c r="AB855" s="6" t="str">
        <v>Programming Services;Internet Services &amp; Software;Primary Business not Hi-Tech;Computer Consulting Services;Telecommunications Equipment</v>
      </c>
    </row>
    <row r="856">
      <c r="A856" s="6" t="str">
        <v>594918</v>
      </c>
      <c r="B856" s="6" t="str">
        <v>United States</v>
      </c>
      <c r="C856" s="6" t="str">
        <v>Microsoft Corp</v>
      </c>
      <c r="D856" s="6" t="str">
        <v>Microsoft Corp</v>
      </c>
      <c r="F856" s="6" t="str">
        <v>United States</v>
      </c>
      <c r="G856" s="6" t="str">
        <v>Incent Games Inc</v>
      </c>
      <c r="H856" s="6" t="str">
        <v>Prepackaged Software</v>
      </c>
      <c r="I856" s="6" t="str">
        <v>9C4861</v>
      </c>
      <c r="J856" s="6" t="str">
        <v>Incent Games Inc</v>
      </c>
      <c r="K856" s="6" t="str">
        <v>Incent Games Inc</v>
      </c>
      <c r="L856" s="7">
        <f>=DATE(2015,8,3)</f>
        <v>42218.99949074074</v>
      </c>
      <c r="M856" s="7">
        <f>=DATE(2015,8,3)</f>
        <v>42218.99949074074</v>
      </c>
      <c r="W856" s="6" t="str">
        <v>Operating Systems;Computer Consulting Services;Internet Services &amp; Software;Monitors/Terminals;Applications Software(Business;Other Peripherals</v>
      </c>
      <c r="X856" s="6" t="str">
        <v>Other Software (inq. Games);Applications Software(Business;Internet Services &amp; Software</v>
      </c>
      <c r="Y856" s="6" t="str">
        <v>Other Software (inq. Games);Internet Services &amp; Software;Applications Software(Business</v>
      </c>
      <c r="Z856" s="6" t="str">
        <v>Internet Services &amp; Software;Applications Software(Business;Other Software (inq. Games)</v>
      </c>
      <c r="AA856" s="6" t="str">
        <v>Operating Systems;Monitors/Terminals;Internet Services &amp; Software;Computer Consulting Services;Applications Software(Business;Other Peripherals</v>
      </c>
      <c r="AB856" s="6" t="str">
        <v>Operating Systems;Other Peripherals;Computer Consulting Services;Monitors/Terminals;Internet Services &amp; Software;Applications Software(Business</v>
      </c>
    </row>
    <row r="857">
      <c r="A857" s="6" t="str">
        <v>01864J</v>
      </c>
      <c r="B857" s="6" t="str">
        <v>United States</v>
      </c>
      <c r="C857" s="6" t="str">
        <v>Avanade Inc</v>
      </c>
      <c r="D857" s="6" t="str">
        <v>Accenture PLC</v>
      </c>
      <c r="F857" s="6" t="str">
        <v>United Kingdom</v>
      </c>
      <c r="G857" s="6" t="str">
        <v>Cloud Talent Ltd</v>
      </c>
      <c r="H857" s="6" t="str">
        <v>Business Services</v>
      </c>
      <c r="I857" s="6" t="str">
        <v>9C5735</v>
      </c>
      <c r="J857" s="6" t="str">
        <v>Cloud Talent Ltd</v>
      </c>
      <c r="K857" s="6" t="str">
        <v>Cloud Talent Ltd</v>
      </c>
      <c r="L857" s="7">
        <f>=DATE(2015,8,3)</f>
        <v>42218.99949074074</v>
      </c>
      <c r="M857" s="7">
        <f>=DATE(2015,8,3)</f>
        <v>42218.99949074074</v>
      </c>
      <c r="W857" s="6" t="str">
        <v>Computer Consulting Services;Other Software (inq. Games);Other Computer Related Svcs</v>
      </c>
      <c r="X857" s="6" t="str">
        <v>Database Software/Programming;Programming Services</v>
      </c>
      <c r="Y857" s="6" t="str">
        <v>Programming Services;Database Software/Programming</v>
      </c>
      <c r="Z857" s="6" t="str">
        <v>Programming Services;Database Software/Programming</v>
      </c>
      <c r="AA857" s="6" t="str">
        <v>Other Software (inq. Games);CAD/CAM/CAE/Graphics Systems;Applications Software(Business;Data Processing Services;Other Computer Systems;Desktop Publishing;Utilities/File Mgmt Software;Networking Systems (LAN,WAN);Internet Services &amp; Software;Data Commun(Exclude networking;Workstations;Primary Business not Hi-Tech;Turnkey Systems;Communication/Network Software;Applications Software(Home);Computer Consulting Services;Other Computer Related Svcs;Operating Systems</v>
      </c>
      <c r="AB857" s="6" t="str">
        <v>Data Processing Services;Operating Systems;Other Computer Systems;Desktop Publishing;CAD/CAM/CAE/Graphics Systems;Applications Software(Home);Applications Software(Business;Workstations;Networking Systems (LAN,WAN);Turnkey Systems;Primary Business not Hi-Tech;Internet Services &amp; Software;Data Commun(Exclude networking;Other Software (inq. Games);Utilities/File Mgmt Software;Other Computer Related Svcs;Communication/Network Software;Computer Consulting Services</v>
      </c>
    </row>
    <row r="858">
      <c r="A858" s="6" t="str">
        <v>594918</v>
      </c>
      <c r="B858" s="6" t="str">
        <v>United States</v>
      </c>
      <c r="C858" s="6" t="str">
        <v>Microsoft Corp</v>
      </c>
      <c r="D858" s="6" t="str">
        <v>Microsoft Corp</v>
      </c>
      <c r="F858" s="6" t="str">
        <v>United States</v>
      </c>
      <c r="G858" s="6" t="str">
        <v>Mesophere Inc</v>
      </c>
      <c r="H858" s="6" t="str">
        <v>Prepackaged Software</v>
      </c>
      <c r="I858" s="6" t="str">
        <v>9C7609</v>
      </c>
      <c r="J858" s="6" t="str">
        <v>Mesophere Inc</v>
      </c>
      <c r="K858" s="6" t="str">
        <v>Mesophere Inc</v>
      </c>
      <c r="L858" s="7">
        <f>=DATE(2015,8,18)</f>
        <v>42233.99949074074</v>
      </c>
      <c r="W858" s="6" t="str">
        <v>Operating Systems;Monitors/Terminals;Applications Software(Business;Computer Consulting Services;Internet Services &amp; Software;Other Peripherals</v>
      </c>
      <c r="X858" s="6" t="str">
        <v>Communication/Network Software;Applications Software(Home);Applications Software(Business</v>
      </c>
      <c r="Y858" s="6" t="str">
        <v>Applications Software(Business;Communication/Network Software;Applications Software(Home)</v>
      </c>
      <c r="Z858" s="6" t="str">
        <v>Applications Software(Business;Applications Software(Home);Communication/Network Software</v>
      </c>
      <c r="AA858" s="6" t="str">
        <v>Computer Consulting Services;Operating Systems;Other Peripherals;Applications Software(Business;Monitors/Terminals;Internet Services &amp; Software</v>
      </c>
      <c r="AB858" s="6" t="str">
        <v>Other Peripherals;Monitors/Terminals;Applications Software(Business;Operating Systems;Computer Consulting Services;Internet Services &amp; Software</v>
      </c>
    </row>
    <row r="859">
      <c r="A859" s="6" t="str">
        <v>53578A</v>
      </c>
      <c r="B859" s="6" t="str">
        <v>United States</v>
      </c>
      <c r="C859" s="6" t="str">
        <v>LinkedIn Corp</v>
      </c>
      <c r="D859" s="6" t="str">
        <v>LinkedIn Corp</v>
      </c>
      <c r="F859" s="6" t="str">
        <v>United States</v>
      </c>
      <c r="G859" s="6" t="str">
        <v>Fliptop Inc</v>
      </c>
      <c r="H859" s="6" t="str">
        <v>Prepackaged Software</v>
      </c>
      <c r="I859" s="6" t="str">
        <v>0A5696</v>
      </c>
      <c r="J859" s="6" t="str">
        <v>Fliptop Inc</v>
      </c>
      <c r="K859" s="6" t="str">
        <v>Fliptop Inc</v>
      </c>
      <c r="L859" s="7">
        <f>=DATE(2015,8,28)</f>
        <v>42243.99949074074</v>
      </c>
      <c r="M859" s="7">
        <f>=DATE(2015,8,28)</f>
        <v>42243.99949074074</v>
      </c>
      <c r="W859" s="6" t="str">
        <v>Internet Services &amp; Software</v>
      </c>
      <c r="X859" s="6" t="str">
        <v>Applications Software(Business</v>
      </c>
      <c r="Y859" s="6" t="str">
        <v>Applications Software(Business</v>
      </c>
      <c r="Z859" s="6" t="str">
        <v>Applications Software(Business</v>
      </c>
      <c r="AA859" s="6" t="str">
        <v>Internet Services &amp; Software</v>
      </c>
      <c r="AB859" s="6" t="str">
        <v>Internet Services &amp; Software</v>
      </c>
    </row>
    <row r="860">
      <c r="A860" s="6" t="str">
        <v>4C7902</v>
      </c>
      <c r="B860" s="6" t="str">
        <v>United States</v>
      </c>
      <c r="C860" s="6" t="str">
        <v>Amazon Web Services Inc</v>
      </c>
      <c r="D860" s="6" t="str">
        <v>Amazon.com Inc</v>
      </c>
      <c r="F860" s="6" t="str">
        <v>United States</v>
      </c>
      <c r="G860" s="6" t="str">
        <v>Elemental Technologies Inc</v>
      </c>
      <c r="H860" s="6" t="str">
        <v>Prepackaged Software</v>
      </c>
      <c r="I860" s="6" t="str">
        <v>0C8631</v>
      </c>
      <c r="J860" s="6" t="str">
        <v>Elemental Technologies Inc</v>
      </c>
      <c r="K860" s="6" t="str">
        <v>Elemental Technologies Inc</v>
      </c>
      <c r="L860" s="7">
        <f>=DATE(2015,9,3)</f>
        <v>42249.99949074074</v>
      </c>
      <c r="M860" s="7">
        <f>=DATE(2015,10,19)</f>
        <v>42295.99949074074</v>
      </c>
      <c r="N860" s="8">
        <v>296</v>
      </c>
      <c r="O860" s="8">
        <v>296</v>
      </c>
      <c r="S860" s="8">
        <v>8.2</v>
      </c>
      <c r="W860" s="6" t="str">
        <v>Other Computer Related Svcs;Primary Business not Hi-Tech;Internet Services &amp; Software;Data Processing Services;Computer Consulting Services</v>
      </c>
      <c r="X860" s="6" t="str">
        <v>Internet Services &amp; Software;Communication/Network Software</v>
      </c>
      <c r="Y860" s="6" t="str">
        <v>Internet Services &amp; Software;Communication/Network Software</v>
      </c>
      <c r="Z860" s="6" t="str">
        <v>Communication/Network Software;Internet Services &amp; Software</v>
      </c>
      <c r="AA860" s="6" t="str">
        <v>Primary Business not Hi-Tech</v>
      </c>
      <c r="AB860" s="6" t="str">
        <v>Primary Business not Hi-Tech</v>
      </c>
      <c r="AC860" s="8">
        <v>296</v>
      </c>
      <c r="AD860" s="7">
        <f>=DATE(2015,10,19)</f>
        <v>42295.99949074074</v>
      </c>
      <c r="AJ860" s="8" t="str">
        <v>296.00</v>
      </c>
      <c r="AK860" s="6" t="str">
        <v>US Dollar</v>
      </c>
      <c r="AL860" s="8">
        <v>296</v>
      </c>
    </row>
    <row r="861">
      <c r="A861" s="6" t="str">
        <v>594918</v>
      </c>
      <c r="B861" s="6" t="str">
        <v>United States</v>
      </c>
      <c r="C861" s="6" t="str">
        <v>Microsoft Corp</v>
      </c>
      <c r="D861" s="6" t="str">
        <v>Microsoft Corp</v>
      </c>
      <c r="F861" s="6" t="str">
        <v>United States</v>
      </c>
      <c r="G861" s="6" t="str">
        <v>VoloMetrix Inc</v>
      </c>
      <c r="H861" s="6" t="str">
        <v>Prepackaged Software</v>
      </c>
      <c r="I861" s="6" t="str">
        <v>0E0498</v>
      </c>
      <c r="J861" s="6" t="str">
        <v>VoloMetrix Inc</v>
      </c>
      <c r="K861" s="6" t="str">
        <v>VoloMetrix Inc</v>
      </c>
      <c r="L861" s="7">
        <f>=DATE(2015,9,3)</f>
        <v>42249.99949074074</v>
      </c>
      <c r="W861" s="6" t="str">
        <v>Monitors/Terminals;Computer Consulting Services;Operating Systems;Other Peripherals;Applications Software(Business;Internet Services &amp; Software</v>
      </c>
      <c r="X861" s="6" t="str">
        <v>Internet Services &amp; Software;Communication/Network Software;Utilities/File Mgmt Software;Applications Software(Business;Other Software (inq. Games);Desktop Publishing;Applications Software(Home)</v>
      </c>
      <c r="Y861" s="6" t="str">
        <v>Applications Software(Business;Desktop Publishing;Utilities/File Mgmt Software;Other Software (inq. Games);Communication/Network Software;Applications Software(Home);Internet Services &amp; Software</v>
      </c>
      <c r="Z861" s="6" t="str">
        <v>Desktop Publishing;Utilities/File Mgmt Software;Applications Software(Home);Communication/Network Software;Internet Services &amp; Software;Other Software (inq. Games);Applications Software(Business</v>
      </c>
      <c r="AA861" s="6" t="str">
        <v>Other Peripherals;Monitors/Terminals;Applications Software(Business;Internet Services &amp; Software;Computer Consulting Services;Operating Systems</v>
      </c>
      <c r="AB861" s="6" t="str">
        <v>Computer Consulting Services;Operating Systems;Internet Services &amp; Software;Other Peripherals;Applications Software(Business;Monitors/Terminals</v>
      </c>
    </row>
    <row r="862">
      <c r="A862" s="6" t="str">
        <v>594918</v>
      </c>
      <c r="B862" s="6" t="str">
        <v>United States</v>
      </c>
      <c r="C862" s="6" t="str">
        <v>Microsoft Corp</v>
      </c>
      <c r="D862" s="6" t="str">
        <v>Microsoft Corp</v>
      </c>
      <c r="F862" s="6" t="str">
        <v>United States</v>
      </c>
      <c r="G862" s="6" t="str">
        <v>Adallom Inc</v>
      </c>
      <c r="H862" s="6" t="str">
        <v>Prepackaged Software</v>
      </c>
      <c r="I862" s="6" t="str">
        <v>9C2365</v>
      </c>
      <c r="J862" s="6" t="str">
        <v>Adallom Inc</v>
      </c>
      <c r="K862" s="6" t="str">
        <v>Adallom Inc</v>
      </c>
      <c r="L862" s="7">
        <f>=DATE(2015,9,8)</f>
        <v>42254.99949074074</v>
      </c>
      <c r="M862" s="7">
        <f>=DATE(2015,9,8)</f>
        <v>42254.99949074074</v>
      </c>
      <c r="W862" s="6" t="str">
        <v>Other Peripherals;Applications Software(Business;Computer Consulting Services;Internet Services &amp; Software;Operating Systems;Monitors/Terminals</v>
      </c>
      <c r="X862" s="6" t="str">
        <v>Applications Software(Business;Utilities/File Mgmt Software;Internet Services &amp; Software;Applications Software(Home);Communication/Network Software;Desktop Publishing;Other Software (inq. Games)</v>
      </c>
      <c r="Y862" s="6" t="str">
        <v>Applications Software(Home);Applications Software(Business;Internet Services &amp; Software;Utilities/File Mgmt Software;Communication/Network Software;Desktop Publishing;Other Software (inq. Games)</v>
      </c>
      <c r="Z862" s="6" t="str">
        <v>Internet Services &amp; Software;Utilities/File Mgmt Software;Communication/Network Software;Other Software (inq. Games);Applications Software(Home);Desktop Publishing;Applications Software(Business</v>
      </c>
      <c r="AA862" s="6" t="str">
        <v>Computer Consulting Services;Operating Systems;Other Peripherals;Applications Software(Business;Monitors/Terminals;Internet Services &amp; Software</v>
      </c>
      <c r="AB862" s="6" t="str">
        <v>Applications Software(Business;Internet Services &amp; Software;Operating Systems;Computer Consulting Services;Monitors/Terminals;Other Peripherals</v>
      </c>
    </row>
    <row r="863">
      <c r="A863" s="6" t="str">
        <v>594918</v>
      </c>
      <c r="B863" s="6" t="str">
        <v>United States</v>
      </c>
      <c r="C863" s="6" t="str">
        <v>Microsoft Corp</v>
      </c>
      <c r="D863" s="6" t="str">
        <v>Microsoft Corp</v>
      </c>
      <c r="F863" s="6" t="str">
        <v>United States</v>
      </c>
      <c r="G863" s="6" t="str">
        <v>Double Labs Inc</v>
      </c>
      <c r="H863" s="6" t="str">
        <v>Prepackaged Software</v>
      </c>
      <c r="I863" s="6" t="str">
        <v>0E2871</v>
      </c>
      <c r="J863" s="6" t="str">
        <v>Double Labs Inc</v>
      </c>
      <c r="K863" s="6" t="str">
        <v>Double Labs Inc</v>
      </c>
      <c r="L863" s="7">
        <f>=DATE(2015,9,11)</f>
        <v>42257.99949074074</v>
      </c>
      <c r="M863" s="7">
        <f>=DATE(2015,9,11)</f>
        <v>42257.99949074074</v>
      </c>
      <c r="W863" s="6" t="str">
        <v>Other Peripherals;Internet Services &amp; Software;Computer Consulting Services;Operating Systems;Monitors/Terminals;Applications Software(Business</v>
      </c>
      <c r="X863" s="6" t="str">
        <v>Applications Software(Business;Applications Software(Home);Communication/Network Software</v>
      </c>
      <c r="Y863" s="6" t="str">
        <v>Communication/Network Software;Applications Software(Home);Applications Software(Business</v>
      </c>
      <c r="Z863" s="6" t="str">
        <v>Communication/Network Software;Applications Software(Home);Applications Software(Business</v>
      </c>
      <c r="AA863" s="6" t="str">
        <v>Monitors/Terminals;Internet Services &amp; Software;Computer Consulting Services;Applications Software(Business;Operating Systems;Other Peripherals</v>
      </c>
      <c r="AB863" s="6" t="str">
        <v>Applications Software(Business;Computer Consulting Services;Operating Systems;Internet Services &amp; Software;Other Peripherals;Monitors/Terminals</v>
      </c>
    </row>
    <row r="864">
      <c r="A864" s="6" t="str">
        <v>037833</v>
      </c>
      <c r="B864" s="6" t="str">
        <v>United States</v>
      </c>
      <c r="C864" s="6" t="str">
        <v>Apple Inc</v>
      </c>
      <c r="D864" s="6" t="str">
        <v>Apple Inc</v>
      </c>
      <c r="F864" s="6" t="str">
        <v>United States</v>
      </c>
      <c r="G864" s="6" t="str">
        <v>Mapsense Inc</v>
      </c>
      <c r="H864" s="6" t="str">
        <v>Prepackaged Software</v>
      </c>
      <c r="I864" s="6" t="str">
        <v>0E3269</v>
      </c>
      <c r="J864" s="6" t="str">
        <v>Mapsense Inc</v>
      </c>
      <c r="K864" s="6" t="str">
        <v>Mapsense Inc</v>
      </c>
      <c r="L864" s="7">
        <f>=DATE(2015,9,16)</f>
        <v>42262.99949074074</v>
      </c>
      <c r="W864" s="6" t="str">
        <v>Micro-Computers (PCs);Disk Drives;Other Software (inq. Games);Portable Computers;Other Peripherals;Monitors/Terminals;Mainframes &amp; Super Computers;Printers</v>
      </c>
      <c r="X864" s="6" t="str">
        <v>Internet Services &amp; Software;Desktop Publishing;Utilities/File Mgmt Software;Communication/Network Software;Applications Software(Business;Applications Software(Home);Other Software (inq. Games)</v>
      </c>
      <c r="Y864" s="6" t="str">
        <v>Applications Software(Business;Communication/Network Software;Internet Services &amp; Software;Applications Software(Home);Other Software (inq. Games);Desktop Publishing;Utilities/File Mgmt Software</v>
      </c>
      <c r="Z864" s="6" t="str">
        <v>Desktop Publishing;Internet Services &amp; Software;Utilities/File Mgmt Software;Applications Software(Business;Other Software (inq. Games);Communication/Network Software;Applications Software(Home)</v>
      </c>
      <c r="AA864" s="6" t="str">
        <v>Other Software (inq. Games);Other Peripherals;Micro-Computers (PCs);Portable Computers;Printers;Monitors/Terminals;Mainframes &amp; Super Computers;Disk Drives</v>
      </c>
      <c r="AB864" s="6" t="str">
        <v>Monitors/Terminals;Disk Drives;Other Software (inq. Games);Other Peripherals;Mainframes &amp; Super Computers;Printers;Portable Computers;Micro-Computers (PCs)</v>
      </c>
    </row>
    <row r="865">
      <c r="A865" s="6" t="str">
        <v>023135</v>
      </c>
      <c r="B865" s="6" t="str">
        <v>United States</v>
      </c>
      <c r="C865" s="6" t="str">
        <v>Amazon.com Inc</v>
      </c>
      <c r="D865" s="6" t="str">
        <v>Amazon.com Inc</v>
      </c>
      <c r="F865" s="6" t="str">
        <v>United States</v>
      </c>
      <c r="G865" s="6" t="str">
        <v>Safaba Translation Solutions Inc</v>
      </c>
      <c r="H865" s="6" t="str">
        <v>Prepackaged Software</v>
      </c>
      <c r="I865" s="6" t="str">
        <v>0E5588</v>
      </c>
      <c r="J865" s="6" t="str">
        <v>Safaba Translation Solutions Inc</v>
      </c>
      <c r="K865" s="6" t="str">
        <v>Safaba Translation Solutions Inc</v>
      </c>
      <c r="L865" s="7">
        <f>=DATE(2015,9,25)</f>
        <v>42271.99949074074</v>
      </c>
      <c r="M865" s="7">
        <f>=DATE(2015,9,25)</f>
        <v>42271.99949074074</v>
      </c>
      <c r="W865" s="6" t="str">
        <v>Primary Business not Hi-Tech</v>
      </c>
      <c r="X865" s="6" t="str">
        <v>Other Software (inq. Games)</v>
      </c>
      <c r="Y865" s="6" t="str">
        <v>Other Software (inq. Games)</v>
      </c>
      <c r="Z865" s="6" t="str">
        <v>Other Software (inq. Games)</v>
      </c>
      <c r="AA865" s="6" t="str">
        <v>Primary Business not Hi-Tech</v>
      </c>
      <c r="AB865" s="6" t="str">
        <v>Primary Business not Hi-Tech</v>
      </c>
    </row>
    <row r="866">
      <c r="A866" s="6" t="str">
        <v>594918</v>
      </c>
      <c r="B866" s="6" t="str">
        <v>United States</v>
      </c>
      <c r="C866" s="6" t="str">
        <v>Microsoft Corp</v>
      </c>
      <c r="D866" s="6" t="str">
        <v>Microsoft Corp</v>
      </c>
      <c r="F866" s="6" t="str">
        <v>Canada</v>
      </c>
      <c r="G866" s="6" t="str">
        <v>Adxstudio Inc</v>
      </c>
      <c r="H866" s="6" t="str">
        <v>Business Services</v>
      </c>
      <c r="I866" s="6" t="str">
        <v>0E6701</v>
      </c>
      <c r="J866" s="6" t="str">
        <v>Adxstudio Inc</v>
      </c>
      <c r="K866" s="6" t="str">
        <v>Adxstudio Inc</v>
      </c>
      <c r="L866" s="7">
        <f>=DATE(2015,9,28)</f>
        <v>42274.99949074074</v>
      </c>
      <c r="M866" s="7">
        <f>=DATE(2015,9,28)</f>
        <v>42274.99949074074</v>
      </c>
      <c r="S866" s="8">
        <v>2.06576002754347</v>
      </c>
      <c r="W866" s="6" t="str">
        <v>Internet Services &amp; Software;Operating Systems;Other Peripherals;Monitors/Terminals;Applications Software(Business;Computer Consulting Services</v>
      </c>
      <c r="X866" s="6" t="str">
        <v>Internet Services &amp; Software;Satellite Communications</v>
      </c>
      <c r="Y866" s="6" t="str">
        <v>Satellite Communications;Internet Services &amp; Software</v>
      </c>
      <c r="Z866" s="6" t="str">
        <v>Satellite Communications;Internet Services &amp; Software</v>
      </c>
      <c r="AA866" s="6" t="str">
        <v>Computer Consulting Services;Applications Software(Business;Other Peripherals;Internet Services &amp; Software;Monitors/Terminals;Operating Systems</v>
      </c>
      <c r="AB866" s="6" t="str">
        <v>Applications Software(Business;Internet Services &amp; Software;Monitors/Terminals;Other Peripherals;Operating Systems;Computer Consulting Services</v>
      </c>
    </row>
    <row r="867">
      <c r="A867" s="6" t="str">
        <v>38259P</v>
      </c>
      <c r="B867" s="6" t="str">
        <v>United States</v>
      </c>
      <c r="C867" s="6" t="str">
        <v>Google Inc</v>
      </c>
      <c r="D867" s="6" t="str">
        <v>Alphabet Inc</v>
      </c>
      <c r="F867" s="6" t="str">
        <v>United States</v>
      </c>
      <c r="G867" s="6" t="str">
        <v>Jibe Mobile Inc</v>
      </c>
      <c r="H867" s="6" t="str">
        <v>Business Services</v>
      </c>
      <c r="I867" s="6" t="str">
        <v>0E7230</v>
      </c>
      <c r="J867" s="6" t="str">
        <v>Jibe Mobile Inc</v>
      </c>
      <c r="K867" s="6" t="str">
        <v>Jibe Mobile Inc</v>
      </c>
      <c r="L867" s="7">
        <f>=DATE(2015,9,30)</f>
        <v>42276.99949074074</v>
      </c>
      <c r="M867" s="7">
        <f>=DATE(2015,9,30)</f>
        <v>42276.99949074074</v>
      </c>
      <c r="W867" s="6" t="str">
        <v>Internet Services &amp; Software;Programming Services</v>
      </c>
      <c r="X867" s="6" t="str">
        <v>Computer Consulting Services;Other Computer Related Svcs;Programming Services</v>
      </c>
      <c r="Y867" s="6" t="str">
        <v>Programming Services;Computer Consulting Services;Other Computer Related Svcs</v>
      </c>
      <c r="Z867" s="6" t="str">
        <v>Programming Services;Computer Consulting Services;Other Computer Related Svcs</v>
      </c>
      <c r="AA867" s="6" t="str">
        <v>Telecommunications Equipment;Programming Services;Primary Business not Hi-Tech;Computer Consulting Services;Internet Services &amp; Software</v>
      </c>
      <c r="AB867" s="6" t="str">
        <v>Telecommunications Equipment;Programming Services;Computer Consulting Services;Primary Business not Hi-Tech;Internet Services &amp; Software</v>
      </c>
    </row>
    <row r="868">
      <c r="A868" s="6" t="str">
        <v>594918</v>
      </c>
      <c r="B868" s="6" t="str">
        <v>United States</v>
      </c>
      <c r="C868" s="6" t="str">
        <v>Microsoft Corp</v>
      </c>
      <c r="D868" s="6" t="str">
        <v>Microsoft Corp</v>
      </c>
      <c r="F868" s="6" t="str">
        <v>Ireland</v>
      </c>
      <c r="G868" s="6" t="str">
        <v>Telekinesys Research Ltd</v>
      </c>
      <c r="H868" s="6" t="str">
        <v>Prepackaged Software</v>
      </c>
      <c r="I868" s="6" t="str">
        <v>40668C</v>
      </c>
      <c r="J868" s="6" t="str">
        <v>Intel Corp</v>
      </c>
      <c r="K868" s="6" t="str">
        <v>Intel Corp</v>
      </c>
      <c r="L868" s="7">
        <f>=DATE(2015,10,2)</f>
        <v>42278.99949074074</v>
      </c>
      <c r="M868" s="7">
        <f>=DATE(2015,10,2)</f>
        <v>42278.99949074074</v>
      </c>
      <c r="R868" s="8">
        <v>0.630661342164216</v>
      </c>
      <c r="S868" s="8">
        <v>21.4497905912146</v>
      </c>
      <c r="W868" s="6" t="str">
        <v>Operating Systems;Monitors/Terminals;Internet Services &amp; Software;Applications Software(Business;Computer Consulting Services;Other Peripherals</v>
      </c>
      <c r="X868" s="6" t="str">
        <v>Other Software (inq. Games)</v>
      </c>
      <c r="Y868" s="6" t="str">
        <v>Semiconductors;Other Peripherals;Other Electronics;Telecommunications Equipment</v>
      </c>
      <c r="Z868" s="6" t="str">
        <v>Other Electronics;Other Peripherals;Telecommunications Equipment;Semiconductors</v>
      </c>
      <c r="AA868" s="6" t="str">
        <v>Other Peripherals;Computer Consulting Services;Applications Software(Business;Monitors/Terminals;Internet Services &amp; Software;Operating Systems</v>
      </c>
      <c r="AB868" s="6" t="str">
        <v>Monitors/Terminals;Computer Consulting Services;Internet Services &amp; Software;Other Peripherals;Applications Software(Business;Operating Systems</v>
      </c>
    </row>
    <row r="869">
      <c r="A869" s="6" t="str">
        <v>037833</v>
      </c>
      <c r="B869" s="6" t="str">
        <v>United States</v>
      </c>
      <c r="C869" s="6" t="str">
        <v>Apple Inc</v>
      </c>
      <c r="D869" s="6" t="str">
        <v>Apple Inc</v>
      </c>
      <c r="F869" s="6" t="str">
        <v>United Kingdom</v>
      </c>
      <c r="G869" s="6" t="str">
        <v>VocalIQ Ltd</v>
      </c>
      <c r="H869" s="6" t="str">
        <v>Prepackaged Software</v>
      </c>
      <c r="I869" s="6" t="str">
        <v>0E7928</v>
      </c>
      <c r="J869" s="6" t="str">
        <v>VocalIQ Ltd</v>
      </c>
      <c r="K869" s="6" t="str">
        <v>VocalIQ Ltd</v>
      </c>
      <c r="L869" s="7">
        <f>=DATE(2015,10,5)</f>
        <v>42281.99949074074</v>
      </c>
      <c r="M869" s="7">
        <f>=DATE(2015,10,5)</f>
        <v>42281.99949074074</v>
      </c>
      <c r="W869" s="6" t="str">
        <v>Monitors/Terminals;Portable Computers;Disk Drives;Other Software (inq. Games);Other Peripherals;Printers;Mainframes &amp; Super Computers;Micro-Computers (PCs)</v>
      </c>
      <c r="X869" s="6" t="str">
        <v>Applications Software(Business;Applications Software(Home);Utilities/File Mgmt Software;Other Software (inq. Games);Internet Services &amp; Software;Communication/Network Software;Desktop Publishing</v>
      </c>
      <c r="Y869" s="6" t="str">
        <v>Applications Software(Business;Applications Software(Home);Communication/Network Software;Utilities/File Mgmt Software;Desktop Publishing;Internet Services &amp; Software;Other Software (inq. Games)</v>
      </c>
      <c r="Z869" s="6" t="str">
        <v>Communication/Network Software;Applications Software(Home);Utilities/File Mgmt Software;Applications Software(Business;Other Software (inq. Games);Internet Services &amp; Software;Desktop Publishing</v>
      </c>
      <c r="AA869" s="6" t="str">
        <v>Other Peripherals;Micro-Computers (PCs);Disk Drives;Portable Computers;Mainframes &amp; Super Computers;Printers;Other Software (inq. Games);Monitors/Terminals</v>
      </c>
      <c r="AB869" s="6" t="str">
        <v>Printers;Other Software (inq. Games);Mainframes &amp; Super Computers;Portable Computers;Monitors/Terminals;Other Peripherals;Micro-Computers (PCs);Disk Drives</v>
      </c>
    </row>
    <row r="870">
      <c r="A870" s="6" t="str">
        <v>037833</v>
      </c>
      <c r="B870" s="6" t="str">
        <v>United States</v>
      </c>
      <c r="C870" s="6" t="str">
        <v>Apple Inc</v>
      </c>
      <c r="D870" s="6" t="str">
        <v>Apple Inc</v>
      </c>
      <c r="F870" s="6" t="str">
        <v>United States</v>
      </c>
      <c r="G870" s="6" t="str">
        <v>Perceptio Inc</v>
      </c>
      <c r="H870" s="6" t="str">
        <v>Prepackaged Software</v>
      </c>
      <c r="I870" s="6" t="str">
        <v>0E7940</v>
      </c>
      <c r="J870" s="6" t="str">
        <v>Perceptio Inc</v>
      </c>
      <c r="K870" s="6" t="str">
        <v>Perceptio Inc</v>
      </c>
      <c r="L870" s="7">
        <f>=DATE(2015,10,5)</f>
        <v>42281.99949074074</v>
      </c>
      <c r="M870" s="7">
        <f>=DATE(2015,10,5)</f>
        <v>42281.99949074074</v>
      </c>
      <c r="W870" s="6" t="str">
        <v>Micro-Computers (PCs);Monitors/Terminals;Other Software (inq. Games);Other Peripherals;Portable Computers;Disk Drives;Printers;Mainframes &amp; Super Computers</v>
      </c>
      <c r="X870" s="6" t="str">
        <v>Other Software (inq. Games)</v>
      </c>
      <c r="Y870" s="6" t="str">
        <v>Other Software (inq. Games)</v>
      </c>
      <c r="Z870" s="6" t="str">
        <v>Other Software (inq. Games)</v>
      </c>
      <c r="AA870" s="6" t="str">
        <v>Monitors/Terminals;Portable Computers;Printers;Other Peripherals;Mainframes &amp; Super Computers;Other Software (inq. Games);Micro-Computers (PCs);Disk Drives</v>
      </c>
      <c r="AB870" s="6" t="str">
        <v>Disk Drives;Portable Computers;Monitors/Terminals;Other Software (inq. Games);Mainframes &amp; Super Computers;Micro-Computers (PCs);Other Peripherals;Printers</v>
      </c>
    </row>
    <row r="871">
      <c r="A871" s="6" t="str">
        <v>38259P</v>
      </c>
      <c r="B871" s="6" t="str">
        <v>United States</v>
      </c>
      <c r="C871" s="6" t="str">
        <v>Google Inc</v>
      </c>
      <c r="D871" s="6" t="str">
        <v>Alphabet Inc</v>
      </c>
      <c r="F871" s="6" t="str">
        <v>United States</v>
      </c>
      <c r="G871" s="6" t="str">
        <v>Divshot Inc</v>
      </c>
      <c r="H871" s="6" t="str">
        <v>Prepackaged Software</v>
      </c>
      <c r="I871" s="6" t="str">
        <v>0E9101</v>
      </c>
      <c r="J871" s="6" t="str">
        <v>Divshot Inc</v>
      </c>
      <c r="K871" s="6" t="str">
        <v>Divshot Inc</v>
      </c>
      <c r="L871" s="7">
        <f>=DATE(2015,10,13)</f>
        <v>42289.99949074074</v>
      </c>
      <c r="M871" s="7">
        <f>=DATE(2015,10,13)</f>
        <v>42289.99949074074</v>
      </c>
      <c r="W871" s="6" t="str">
        <v>Programming Services;Internet Services &amp; Software</v>
      </c>
      <c r="X871" s="6" t="str">
        <v>Other Software (inq. Games)</v>
      </c>
      <c r="Y871" s="6" t="str">
        <v>Other Software (inq. Games)</v>
      </c>
      <c r="Z871" s="6" t="str">
        <v>Other Software (inq. Games)</v>
      </c>
      <c r="AA871" s="6" t="str">
        <v>Telecommunications Equipment;Internet Services &amp; Software;Computer Consulting Services;Primary Business not Hi-Tech;Programming Services</v>
      </c>
      <c r="AB871" s="6" t="str">
        <v>Computer Consulting Services;Primary Business not Hi-Tech;Telecommunications Equipment;Programming Services;Internet Services &amp; Software</v>
      </c>
    </row>
    <row r="872">
      <c r="A872" s="6" t="str">
        <v>38259P</v>
      </c>
      <c r="B872" s="6" t="str">
        <v>United States</v>
      </c>
      <c r="C872" s="6" t="str">
        <v>Google Inc</v>
      </c>
      <c r="D872" s="6" t="str">
        <v>Alphabet Inc</v>
      </c>
      <c r="F872" s="6" t="str">
        <v>Portugal</v>
      </c>
      <c r="G872" s="6" t="str">
        <v>Digisfera Fotografia e Informatica Lda</v>
      </c>
      <c r="H872" s="6" t="str">
        <v>Prepackaged Software</v>
      </c>
      <c r="I872" s="6" t="str">
        <v>1E1509</v>
      </c>
      <c r="J872" s="6" t="str">
        <v>Digisfera Fotografia e Informatica Lda</v>
      </c>
      <c r="K872" s="6" t="str">
        <v>Digisfera Fotografia e Informatica Lda</v>
      </c>
      <c r="L872" s="7">
        <f>=DATE(2015,10,17)</f>
        <v>42293.99949074074</v>
      </c>
      <c r="M872" s="7">
        <f>=DATE(2015,10,17)</f>
        <v>42293.99949074074</v>
      </c>
      <c r="W872" s="6" t="str">
        <v>Internet Services &amp; Software;Programming Services</v>
      </c>
      <c r="X872" s="6" t="str">
        <v>Other Software (inq. Games)</v>
      </c>
      <c r="Y872" s="6" t="str">
        <v>Other Software (inq. Games)</v>
      </c>
      <c r="Z872" s="6" t="str">
        <v>Other Software (inq. Games)</v>
      </c>
      <c r="AA872" s="6" t="str">
        <v>Computer Consulting Services;Internet Services &amp; Software;Telecommunications Equipment;Programming Services;Primary Business not Hi-Tech</v>
      </c>
      <c r="AB872" s="6" t="str">
        <v>Telecommunications Equipment;Computer Consulting Services;Primary Business not Hi-Tech;Internet Services &amp; Software;Programming Services</v>
      </c>
    </row>
    <row r="873">
      <c r="A873" s="6" t="str">
        <v>38259P</v>
      </c>
      <c r="B873" s="6" t="str">
        <v>United States</v>
      </c>
      <c r="C873" s="6" t="str">
        <v>Google Inc</v>
      </c>
      <c r="D873" s="6" t="str">
        <v>Alphabet Inc</v>
      </c>
      <c r="F873" s="6" t="str">
        <v>China (Mainland)</v>
      </c>
      <c r="G873" s="6" t="str">
        <v>Mobvoi Inc</v>
      </c>
      <c r="H873" s="6" t="str">
        <v>Prepackaged Software</v>
      </c>
      <c r="I873" s="6" t="str">
        <v>0E7151</v>
      </c>
      <c r="J873" s="6" t="str">
        <v>Mobvoi Inc</v>
      </c>
      <c r="K873" s="6" t="str">
        <v>Mobvoi Inc</v>
      </c>
      <c r="L873" s="7">
        <f>=DATE(2015,10,20)</f>
        <v>42296.99949074074</v>
      </c>
      <c r="M873" s="7">
        <f>=DATE(2015,10,20)</f>
        <v>42296.99949074074</v>
      </c>
      <c r="N873" s="8">
        <v>76.3645798933811</v>
      </c>
      <c r="O873" s="8">
        <v>76.3645798933811</v>
      </c>
      <c r="W873" s="6" t="str">
        <v>Programming Services;Internet Services &amp; Software</v>
      </c>
      <c r="X873" s="6" t="str">
        <v>Applications Software(Home);Communication/Network Software;Utilities/File Mgmt Software;Internet Services &amp; Software;Desktop Publishing;Applications Software(Business;Primary Business not Hi-Tech;Other Software (inq. Games)</v>
      </c>
      <c r="Y873" s="6" t="str">
        <v>Utilities/File Mgmt Software;Internet Services &amp; Software;Primary Business not Hi-Tech;Other Software (inq. Games);Communication/Network Software;Desktop Publishing;Applications Software(Business;Applications Software(Home)</v>
      </c>
      <c r="Z873" s="6" t="str">
        <v>Primary Business not Hi-Tech;Communication/Network Software;Desktop Publishing;Applications Software(Business;Other Software (inq. Games);Applications Software(Home);Internet Services &amp; Software;Utilities/File Mgmt Software</v>
      </c>
      <c r="AA873" s="6" t="str">
        <v>Primary Business not Hi-Tech;Internet Services &amp; Software;Programming Services;Computer Consulting Services;Telecommunications Equipment</v>
      </c>
      <c r="AB873" s="6" t="str">
        <v>Primary Business not Hi-Tech;Computer Consulting Services;Telecommunications Equipment;Programming Services;Internet Services &amp; Software</v>
      </c>
      <c r="AC873" s="8">
        <v>76.3645798933811</v>
      </c>
      <c r="AD873" s="7">
        <f>=DATE(2015,10,20)</f>
        <v>42296.99949074074</v>
      </c>
      <c r="AL873" s="8">
        <v>76.3645798933811</v>
      </c>
    </row>
    <row r="874">
      <c r="A874" s="6" t="str">
        <v>594918</v>
      </c>
      <c r="B874" s="6" t="str">
        <v>United States</v>
      </c>
      <c r="C874" s="6" t="str">
        <v>Microsoft Corp</v>
      </c>
      <c r="D874" s="6" t="str">
        <v>Microsoft Corp</v>
      </c>
      <c r="F874" s="6" t="str">
        <v>Israel</v>
      </c>
      <c r="G874" s="6" t="str">
        <v>Secure Islands Technologies Ltd</v>
      </c>
      <c r="H874" s="6" t="str">
        <v>Prepackaged Software</v>
      </c>
      <c r="I874" s="6" t="str">
        <v>1E0698</v>
      </c>
      <c r="J874" s="6" t="str">
        <v>Secure Islands Technologies Ltd</v>
      </c>
      <c r="K874" s="6" t="str">
        <v>Secure Islands Technologies Ltd</v>
      </c>
      <c r="L874" s="7">
        <f>=DATE(2015,10,21)</f>
        <v>42297.99949074074</v>
      </c>
      <c r="W874" s="6" t="str">
        <v>Monitors/Terminals;Applications Software(Business;Other Peripherals;Operating Systems;Computer Consulting Services;Internet Services &amp; Software</v>
      </c>
      <c r="X874" s="6" t="str">
        <v>Internet Services &amp; Software;Communication/Network Software</v>
      </c>
      <c r="Y874" s="6" t="str">
        <v>Communication/Network Software;Internet Services &amp; Software</v>
      </c>
      <c r="Z874" s="6" t="str">
        <v>Internet Services &amp; Software;Communication/Network Software</v>
      </c>
      <c r="AA874" s="6" t="str">
        <v>Operating Systems;Computer Consulting Services;Internet Services &amp; Software;Applications Software(Business;Other Peripherals;Monitors/Terminals</v>
      </c>
      <c r="AB874" s="6" t="str">
        <v>Other Peripherals;Applications Software(Business;Internet Services &amp; Software;Operating Systems;Computer Consulting Services;Monitors/Terminals</v>
      </c>
    </row>
    <row r="875">
      <c r="A875" s="6" t="str">
        <v>594918</v>
      </c>
      <c r="B875" s="6" t="str">
        <v>United States</v>
      </c>
      <c r="C875" s="6" t="str">
        <v>Microsoft Corp</v>
      </c>
      <c r="D875" s="6" t="str">
        <v>Microsoft Corp</v>
      </c>
      <c r="F875" s="6" t="str">
        <v>United States</v>
      </c>
      <c r="G875" s="6" t="str">
        <v>Mobile Data Labs Inc</v>
      </c>
      <c r="H875" s="6" t="str">
        <v>Prepackaged Software</v>
      </c>
      <c r="I875" s="6" t="str">
        <v>1E3197</v>
      </c>
      <c r="J875" s="6" t="str">
        <v>Mobile Data Labs Inc</v>
      </c>
      <c r="K875" s="6" t="str">
        <v>Mobile Data Labs Inc</v>
      </c>
      <c r="L875" s="7">
        <f>=DATE(2015,11,5)</f>
        <v>42312.99949074074</v>
      </c>
      <c r="M875" s="7">
        <f>=DATE(2015,11,5)</f>
        <v>42312.99949074074</v>
      </c>
      <c r="W875" s="6" t="str">
        <v>Other Peripherals;Operating Systems;Monitors/Terminals;Computer Consulting Services;Applications Software(Business;Internet Services &amp; Software</v>
      </c>
      <c r="X875" s="6" t="str">
        <v>Applications Software(Home);Communication/Network Software;Applications Software(Business</v>
      </c>
      <c r="Y875" s="6" t="str">
        <v>Applications Software(Home);Applications Software(Business;Communication/Network Software</v>
      </c>
      <c r="Z875" s="6" t="str">
        <v>Applications Software(Home);Communication/Network Software;Applications Software(Business</v>
      </c>
      <c r="AA875" s="6" t="str">
        <v>Monitors/Terminals;Computer Consulting Services;Other Peripherals;Internet Services &amp; Software;Applications Software(Business;Operating Systems</v>
      </c>
      <c r="AB875" s="6" t="str">
        <v>Computer Consulting Services;Applications Software(Business;Monitors/Terminals;Internet Services &amp; Software;Operating Systems;Other Peripherals</v>
      </c>
    </row>
    <row r="876">
      <c r="A876" s="6" t="str">
        <v>73959W</v>
      </c>
      <c r="B876" s="6" t="str">
        <v>United States</v>
      </c>
      <c r="C876" s="6" t="str">
        <v>PowerSchool Group LLC</v>
      </c>
      <c r="D876" s="6" t="str">
        <v>PowerSchool Holdings Inc</v>
      </c>
      <c r="F876" s="6" t="str">
        <v>United States</v>
      </c>
      <c r="G876" s="6" t="str">
        <v>InfoSnap Inc</v>
      </c>
      <c r="H876" s="6" t="str">
        <v>Business Services</v>
      </c>
      <c r="I876" s="6" t="str">
        <v>1E4035</v>
      </c>
      <c r="J876" s="6" t="str">
        <v>InfoSnap Inc</v>
      </c>
      <c r="K876" s="6" t="str">
        <v>InfoSnap Inc</v>
      </c>
      <c r="L876" s="7">
        <f>=DATE(2015,11,5)</f>
        <v>42312.99949074074</v>
      </c>
      <c r="M876" s="7">
        <f>=DATE(2015,11,5)</f>
        <v>42312.99949074074</v>
      </c>
      <c r="S876" s="8">
        <v>5.2</v>
      </c>
      <c r="W876" s="6" t="str">
        <v>Other Software (inq. Games)</v>
      </c>
      <c r="X876" s="6" t="str">
        <v>Internet Services &amp; Software</v>
      </c>
      <c r="Y876" s="6" t="str">
        <v>Internet Services &amp; Software</v>
      </c>
      <c r="Z876" s="6" t="str">
        <v>Internet Services &amp; Software</v>
      </c>
      <c r="AA876" s="6" t="str">
        <v>Communication/Network Software;Desktop Publishing;Applications Software(Home);Primary Business not Hi-Tech;Internet Services &amp; Software;Applications Software(Business;Other Software (inq. Games);Utilities/File Mgmt Software</v>
      </c>
      <c r="AB876" s="6" t="str">
        <v>Applications Software(Business;Communication/Network Software;Primary Business not Hi-Tech;Applications Software(Home);Internet Services &amp; Software;Other Software (inq. Games);Desktop Publishing;Utilities/File Mgmt Software</v>
      </c>
    </row>
    <row r="877">
      <c r="A877" s="6" t="str">
        <v>38259P</v>
      </c>
      <c r="B877" s="6" t="str">
        <v>United States</v>
      </c>
      <c r="C877" s="6" t="str">
        <v>Google Inc</v>
      </c>
      <c r="D877" s="6" t="str">
        <v>Alphabet Inc</v>
      </c>
      <c r="F877" s="6" t="str">
        <v>United States</v>
      </c>
      <c r="G877" s="6" t="str">
        <v>Fly Labs Inc</v>
      </c>
      <c r="H877" s="6" t="str">
        <v>Prepackaged Software</v>
      </c>
      <c r="I877" s="6" t="str">
        <v>1E3438</v>
      </c>
      <c r="J877" s="6" t="str">
        <v>Fly Labs Inc</v>
      </c>
      <c r="K877" s="6" t="str">
        <v>Fly Labs Inc</v>
      </c>
      <c r="L877" s="7">
        <f>=DATE(2015,11,7)</f>
        <v>42314.99949074074</v>
      </c>
      <c r="M877" s="7">
        <f>=DATE(2015,11,7)</f>
        <v>42314.99949074074</v>
      </c>
      <c r="W877" s="6" t="str">
        <v>Internet Services &amp; Software;Programming Services</v>
      </c>
      <c r="X877" s="6" t="str">
        <v>Communication/Network Software;Applications Software(Home);Applications Software(Business</v>
      </c>
      <c r="Y877" s="6" t="str">
        <v>Communication/Network Software;Applications Software(Business;Applications Software(Home)</v>
      </c>
      <c r="Z877" s="6" t="str">
        <v>Applications Software(Home);Communication/Network Software;Applications Software(Business</v>
      </c>
      <c r="AA877" s="6" t="str">
        <v>Programming Services;Computer Consulting Services;Primary Business not Hi-Tech;Internet Services &amp; Software;Telecommunications Equipment</v>
      </c>
      <c r="AB877" s="6" t="str">
        <v>Telecommunications Equipment;Programming Services;Computer Consulting Services;Primary Business not Hi-Tech;Internet Services &amp; Software</v>
      </c>
    </row>
    <row r="878">
      <c r="A878" s="6" t="str">
        <v>037833</v>
      </c>
      <c r="B878" s="6" t="str">
        <v>United States</v>
      </c>
      <c r="C878" s="6" t="str">
        <v>Apple Inc</v>
      </c>
      <c r="D878" s="6" t="str">
        <v>Apple Inc</v>
      </c>
      <c r="F878" s="6" t="str">
        <v>United States</v>
      </c>
      <c r="G878" s="6" t="str">
        <v>Box Inc</v>
      </c>
      <c r="H878" s="6" t="str">
        <v>Prepackaged Software</v>
      </c>
      <c r="I878" s="6" t="str">
        <v>10316T</v>
      </c>
      <c r="J878" s="6" t="str">
        <v>Box Inc</v>
      </c>
      <c r="K878" s="6" t="str">
        <v>Box Inc</v>
      </c>
      <c r="L878" s="7">
        <f>=DATE(2015,11,19)</f>
        <v>42326.99949074074</v>
      </c>
      <c r="R878" s="8">
        <v>-199.308</v>
      </c>
      <c r="S878" s="8">
        <v>280.361</v>
      </c>
      <c r="T878" s="8">
        <v>193.76</v>
      </c>
      <c r="U878" s="8">
        <v>-82.495</v>
      </c>
      <c r="V878" s="8">
        <v>-86.775</v>
      </c>
      <c r="W878" s="6" t="str">
        <v>Monitors/Terminals;Other Software (inq. Games);Portable Computers;Printers;Disk Drives;Micro-Computers (PCs);Other Peripherals;Mainframes &amp; Super Computers</v>
      </c>
      <c r="X878" s="6" t="str">
        <v>Other Software (inq. Games)</v>
      </c>
      <c r="Y878" s="6" t="str">
        <v>Other Software (inq. Games)</v>
      </c>
      <c r="Z878" s="6" t="str">
        <v>Other Software (inq. Games)</v>
      </c>
      <c r="AA878" s="6" t="str">
        <v>Monitors/Terminals;Printers;Other Peripherals;Mainframes &amp; Super Computers;Other Software (inq. Games);Micro-Computers (PCs);Portable Computers;Disk Drives</v>
      </c>
      <c r="AB878" s="6" t="str">
        <v>Other Software (inq. Games);Disk Drives;Mainframes &amp; Super Computers;Micro-Computers (PCs);Printers;Portable Computers;Other Peripherals;Monitors/Terminals</v>
      </c>
    </row>
    <row r="879">
      <c r="A879" s="6" t="str">
        <v>38259P</v>
      </c>
      <c r="B879" s="6" t="str">
        <v>United States</v>
      </c>
      <c r="C879" s="6" t="str">
        <v>Google Inc</v>
      </c>
      <c r="D879" s="6" t="str">
        <v>Alphabet Inc</v>
      </c>
      <c r="F879" s="6" t="str">
        <v>United States</v>
      </c>
      <c r="G879" s="6" t="str">
        <v>Bebop Technology LLC</v>
      </c>
      <c r="H879" s="6" t="str">
        <v>Prepackaged Software</v>
      </c>
      <c r="I879" s="6" t="str">
        <v>1E6853</v>
      </c>
      <c r="J879" s="6" t="str">
        <v>Bebop Technology LLC</v>
      </c>
      <c r="K879" s="6" t="str">
        <v>Bebop Technology LLC</v>
      </c>
      <c r="L879" s="7">
        <f>=DATE(2015,11,19)</f>
        <v>42326.99949074074</v>
      </c>
      <c r="M879" s="7">
        <f>=DATE(2015,12,17)</f>
        <v>42354.99949074074</v>
      </c>
      <c r="N879" s="8">
        <v>380.241</v>
      </c>
      <c r="O879" s="8">
        <v>380.241</v>
      </c>
      <c r="W879" s="6" t="str">
        <v>Internet Services &amp; Software;Programming Services</v>
      </c>
      <c r="X879" s="6" t="str">
        <v>Other Software (inq. Games)</v>
      </c>
      <c r="Y879" s="6" t="str">
        <v>Other Software (inq. Games)</v>
      </c>
      <c r="Z879" s="6" t="str">
        <v>Other Software (inq. Games)</v>
      </c>
      <c r="AA879" s="6" t="str">
        <v>Primary Business not Hi-Tech;Internet Services &amp; Software;Computer Consulting Services;Telecommunications Equipment;Programming Services</v>
      </c>
      <c r="AB879" s="6" t="str">
        <v>Internet Services &amp; Software;Telecommunications Equipment;Programming Services;Primary Business not Hi-Tech;Computer Consulting Services</v>
      </c>
      <c r="AC879" s="8">
        <v>380.241</v>
      </c>
      <c r="AD879" s="7">
        <f>=DATE(2015,12,17)</f>
        <v>42354.99949074074</v>
      </c>
      <c r="AJ879" s="8" t="str">
        <v>380.24</v>
      </c>
      <c r="AK879" s="6" t="str">
        <v>US Dollar</v>
      </c>
      <c r="AL879" s="8">
        <v>380.241</v>
      </c>
    </row>
    <row r="880">
      <c r="A880" s="6" t="str">
        <v>037833</v>
      </c>
      <c r="B880" s="6" t="str">
        <v>United States</v>
      </c>
      <c r="C880" s="6" t="str">
        <v>Apple Inc</v>
      </c>
      <c r="D880" s="6" t="str">
        <v>Apple Inc</v>
      </c>
      <c r="F880" s="6" t="str">
        <v>United States</v>
      </c>
      <c r="G880" s="6" t="str">
        <v>Apple Inc</v>
      </c>
      <c r="H880" s="6" t="str">
        <v>Computer and Office Equipment</v>
      </c>
      <c r="I880" s="6" t="str">
        <v>037833</v>
      </c>
      <c r="J880" s="6" t="str">
        <v>Apple Inc</v>
      </c>
      <c r="K880" s="6" t="str">
        <v>Apple Inc</v>
      </c>
      <c r="L880" s="7">
        <f>=DATE(2015,11,30)</f>
        <v>42337.99949074074</v>
      </c>
      <c r="M880" s="7">
        <f>=DATE(2016,4,30)</f>
        <v>42489.99949074074</v>
      </c>
      <c r="N880" s="8">
        <v>3000</v>
      </c>
      <c r="O880" s="8">
        <v>3000</v>
      </c>
      <c r="P880" s="8" t="str">
        <v>597,203.18</v>
      </c>
      <c r="R880" s="8">
        <v>53394</v>
      </c>
      <c r="S880" s="8">
        <v>233715</v>
      </c>
      <c r="T880" s="8">
        <v>-17716</v>
      </c>
      <c r="U880" s="8">
        <v>-56274</v>
      </c>
      <c r="V880" s="8">
        <v>81266</v>
      </c>
      <c r="W880" s="6" t="str">
        <v>Other Software (inq. Games);Micro-Computers (PCs);Printers;Other Peripherals;Monitors/Terminals;Mainframes &amp; Super Computers;Portable Computers;Disk Drives</v>
      </c>
      <c r="X880" s="6" t="str">
        <v>Monitors/Terminals;Other Software (inq. Games);Printers;Other Peripherals;Disk Drives;Micro-Computers (PCs);Portable Computers;Mainframes &amp; Super Computers</v>
      </c>
      <c r="Y880" s="6" t="str">
        <v>Portable Computers;Other Software (inq. Games);Mainframes &amp; Super Computers;Disk Drives;Printers;Micro-Computers (PCs);Monitors/Terminals;Other Peripherals</v>
      </c>
      <c r="Z880" s="6" t="str">
        <v>Other Peripherals;Monitors/Terminals;Printers;Disk Drives;Micro-Computers (PCs);Other Software (inq. Games);Portable Computers;Mainframes &amp; Super Computers</v>
      </c>
      <c r="AA880" s="6" t="str">
        <v>Mainframes &amp; Super Computers;Other Software (inq. Games);Micro-Computers (PCs);Portable Computers;Other Peripherals;Monitors/Terminals;Disk Drives;Printers</v>
      </c>
      <c r="AB880" s="6" t="str">
        <v>Disk Drives;Printers;Portable Computers;Micro-Computers (PCs);Other Peripherals;Monitors/Terminals;Other Software (inq. Games);Mainframes &amp; Super Computers</v>
      </c>
      <c r="AC880" s="8">
        <v>3000</v>
      </c>
      <c r="AD880" s="7">
        <f>=DATE(2015,11,30)</f>
        <v>42337.99949074074</v>
      </c>
      <c r="AF880" s="8" t="str">
        <v>597,203.18</v>
      </c>
      <c r="AG880" s="8" t="str">
        <v>597,203.18</v>
      </c>
      <c r="AH880" s="8" t="str">
        <v>574,342.18</v>
      </c>
      <c r="AI880" s="8" t="str">
        <v>574,342.18</v>
      </c>
      <c r="AJ880" s="8" t="str">
        <v>3,000.00</v>
      </c>
      <c r="AK880" s="6" t="str">
        <v>US Dollar</v>
      </c>
      <c r="AL880" s="8">
        <v>3000</v>
      </c>
    </row>
    <row r="881">
      <c r="A881" s="6" t="str">
        <v>594918</v>
      </c>
      <c r="B881" s="6" t="str">
        <v>United States</v>
      </c>
      <c r="C881" s="6" t="str">
        <v>Microsoft Corp</v>
      </c>
      <c r="D881" s="6" t="str">
        <v>Microsoft Corp</v>
      </c>
      <c r="F881" s="6" t="str">
        <v>United States</v>
      </c>
      <c r="G881" s="6" t="str">
        <v>Metanautix Inc</v>
      </c>
      <c r="H881" s="6" t="str">
        <v>Prepackaged Software</v>
      </c>
      <c r="I881" s="6" t="str">
        <v>2E5770</v>
      </c>
      <c r="J881" s="6" t="str">
        <v>Metanautix Inc</v>
      </c>
      <c r="K881" s="6" t="str">
        <v>Metanautix Inc</v>
      </c>
      <c r="L881" s="7">
        <f>=DATE(2015,12,18)</f>
        <v>42355.99949074074</v>
      </c>
      <c r="M881" s="7">
        <f>=DATE(2015,12,18)</f>
        <v>42355.99949074074</v>
      </c>
      <c r="W881" s="6" t="str">
        <v>Applications Software(Business;Internet Services &amp; Software;Operating Systems;Computer Consulting Services;Other Peripherals;Monitors/Terminals</v>
      </c>
      <c r="X881" s="6" t="str">
        <v>Applications Software(Business</v>
      </c>
      <c r="Y881" s="6" t="str">
        <v>Applications Software(Business</v>
      </c>
      <c r="Z881" s="6" t="str">
        <v>Applications Software(Business</v>
      </c>
      <c r="AA881" s="6" t="str">
        <v>Internet Services &amp; Software;Applications Software(Business;Computer Consulting Services;Monitors/Terminals;Operating Systems;Other Peripherals</v>
      </c>
      <c r="AB881" s="6" t="str">
        <v>Internet Services &amp; Software;Computer Consulting Services;Applications Software(Business;Other Peripherals;Monitors/Terminals;Operating Systems</v>
      </c>
    </row>
    <row r="882">
      <c r="A882" s="6" t="str">
        <v>594918</v>
      </c>
      <c r="B882" s="6" t="str">
        <v>United States</v>
      </c>
      <c r="C882" s="6" t="str">
        <v>Microsoft Corp</v>
      </c>
      <c r="D882" s="6" t="str">
        <v>Microsoft Corp</v>
      </c>
      <c r="F882" s="6" t="str">
        <v>United States</v>
      </c>
      <c r="G882" s="6" t="str">
        <v>Talko Inc</v>
      </c>
      <c r="H882" s="6" t="str">
        <v>Prepackaged Software</v>
      </c>
      <c r="I882" s="6" t="str">
        <v>2E4117</v>
      </c>
      <c r="J882" s="6" t="str">
        <v>Talko Inc</v>
      </c>
      <c r="K882" s="6" t="str">
        <v>Talko Inc</v>
      </c>
      <c r="L882" s="7">
        <f>=DATE(2015,12,21)</f>
        <v>42358.99949074074</v>
      </c>
      <c r="M882" s="7">
        <f>=DATE(2015,12,21)</f>
        <v>42358.99949074074</v>
      </c>
      <c r="W882" s="6" t="str">
        <v>Internet Services &amp; Software;Operating Systems;Other Peripherals;Computer Consulting Services;Monitors/Terminals;Applications Software(Business</v>
      </c>
      <c r="X882" s="6" t="str">
        <v>Applications Software(Business;Communication/Network Software;Applications Software(Home)</v>
      </c>
      <c r="Y882" s="6" t="str">
        <v>Communication/Network Software;Applications Software(Business;Applications Software(Home)</v>
      </c>
      <c r="Z882" s="6" t="str">
        <v>Applications Software(Home);Applications Software(Business;Communication/Network Software</v>
      </c>
      <c r="AA882" s="6" t="str">
        <v>Computer Consulting Services;Other Peripherals;Monitors/Terminals;Applications Software(Business;Internet Services &amp; Software;Operating Systems</v>
      </c>
      <c r="AB882" s="6" t="str">
        <v>Monitors/Terminals;Operating Systems;Applications Software(Business;Computer Consulting Services;Internet Services &amp; Software;Other Peripherals</v>
      </c>
    </row>
    <row r="883">
      <c r="A883" s="6" t="str">
        <v>00507V</v>
      </c>
      <c r="B883" s="6" t="str">
        <v>United States</v>
      </c>
      <c r="C883" s="6" t="str">
        <v>Activision Blizzard Inc</v>
      </c>
      <c r="D883" s="6" t="str">
        <v>Activision Blizzard Inc</v>
      </c>
      <c r="F883" s="6" t="str">
        <v>United States</v>
      </c>
      <c r="G883" s="6" t="str">
        <v>Major League Gaming Inc</v>
      </c>
      <c r="H883" s="6" t="str">
        <v>Amusement and Recreation Services</v>
      </c>
      <c r="I883" s="6" t="str">
        <v>56115Y</v>
      </c>
      <c r="J883" s="6" t="str">
        <v>Major League Gaming Inc</v>
      </c>
      <c r="K883" s="6" t="str">
        <v>Major League Gaming Inc</v>
      </c>
      <c r="L883" s="7">
        <f>=DATE(2016,1,4)</f>
        <v>42372.99949074074</v>
      </c>
      <c r="M883" s="7">
        <f>=DATE(2016,1,4)</f>
        <v>42372.99949074074</v>
      </c>
      <c r="W883" s="6" t="str">
        <v>Operating Systems;Other Software (inq. Games);Other Computer Systems</v>
      </c>
      <c r="X883" s="6" t="str">
        <v>Internet Services &amp; Software;Communication/Network Software;Other Software (inq. Games)</v>
      </c>
      <c r="Y883" s="6" t="str">
        <v>Communication/Network Software;Other Software (inq. Games);Internet Services &amp; Software</v>
      </c>
      <c r="Z883" s="6" t="str">
        <v>Other Software (inq. Games);Communication/Network Software;Internet Services &amp; Software</v>
      </c>
      <c r="AA883" s="6" t="str">
        <v>Operating Systems;Other Software (inq. Games);Other Computer Systems</v>
      </c>
      <c r="AB883" s="6" t="str">
        <v>Other Computer Systems;Operating Systems;Other Software (inq. Games)</v>
      </c>
    </row>
    <row r="884">
      <c r="A884" s="6" t="str">
        <v>037833</v>
      </c>
      <c r="B884" s="6" t="str">
        <v>United States</v>
      </c>
      <c r="C884" s="6" t="str">
        <v>Apple Inc</v>
      </c>
      <c r="D884" s="6" t="str">
        <v>Apple Inc</v>
      </c>
      <c r="F884" s="6" t="str">
        <v>United States</v>
      </c>
      <c r="G884" s="6" t="str">
        <v>Emotient Inc</v>
      </c>
      <c r="H884" s="6" t="str">
        <v>Prepackaged Software</v>
      </c>
      <c r="I884" s="6" t="str">
        <v>2E9669</v>
      </c>
      <c r="J884" s="6" t="str">
        <v>Emotient Inc</v>
      </c>
      <c r="K884" s="6" t="str">
        <v>Emotient Inc</v>
      </c>
      <c r="L884" s="7">
        <f>=DATE(2016,1,7)</f>
        <v>42375.99949074074</v>
      </c>
      <c r="M884" s="7">
        <f>=DATE(2016,1,7)</f>
        <v>42375.99949074074</v>
      </c>
      <c r="W884" s="6" t="str">
        <v>Printers;Other Peripherals;Other Software (inq. Games);Micro-Computers (PCs);Monitors/Terminals;Mainframes &amp; Super Computers;Portable Computers;Disk Drives</v>
      </c>
      <c r="X884" s="6" t="str">
        <v>Other Software (inq. Games)</v>
      </c>
      <c r="Y884" s="6" t="str">
        <v>Other Software (inq. Games)</v>
      </c>
      <c r="Z884" s="6" t="str">
        <v>Other Software (inq. Games)</v>
      </c>
      <c r="AA884" s="6" t="str">
        <v>Disk Drives;Other Peripherals;Portable Computers;Micro-Computers (PCs);Printers;Other Software (inq. Games);Mainframes &amp; Super Computers;Monitors/Terminals</v>
      </c>
      <c r="AB884" s="6" t="str">
        <v>Micro-Computers (PCs);Other Peripherals;Mainframes &amp; Super Computers;Monitors/Terminals;Disk Drives;Printers;Other Software (inq. Games);Portable Computers</v>
      </c>
    </row>
    <row r="885">
      <c r="A885" s="6" t="str">
        <v>594918</v>
      </c>
      <c r="B885" s="6" t="str">
        <v>United States</v>
      </c>
      <c r="C885" s="6" t="str">
        <v>Microsoft Corp</v>
      </c>
      <c r="D885" s="6" t="str">
        <v>Microsoft Corp</v>
      </c>
      <c r="F885" s="6" t="str">
        <v>Australia</v>
      </c>
      <c r="G885" s="6" t="str">
        <v>Event Zero Pty Ltd-UC Commander</v>
      </c>
      <c r="H885" s="6" t="str">
        <v>Prepackaged Software</v>
      </c>
      <c r="I885" s="6" t="str">
        <v>3E3223</v>
      </c>
      <c r="J885" s="6" t="str">
        <v>Event Zero Pty Ltd</v>
      </c>
      <c r="K885" s="6" t="str">
        <v>Event Zero Pty Ltd</v>
      </c>
      <c r="L885" s="7">
        <f>=DATE(2016,1,13)</f>
        <v>42381.99949074074</v>
      </c>
      <c r="M885" s="7">
        <f>=DATE(2016,1,13)</f>
        <v>42381.99949074074</v>
      </c>
      <c r="W885" s="6" t="str">
        <v>Operating Systems;Monitors/Terminals;Internet Services &amp; Software;Computer Consulting Services;Other Peripherals;Applications Software(Business</v>
      </c>
      <c r="X885" s="6" t="str">
        <v>Applications Software(Business</v>
      </c>
      <c r="Y885" s="6" t="str">
        <v>Applications Software(Business</v>
      </c>
      <c r="Z885" s="6" t="str">
        <v>Applications Software(Business</v>
      </c>
      <c r="AA885" s="6" t="str">
        <v>Internet Services &amp; Software;Operating Systems;Monitors/Terminals;Applications Software(Business;Other Peripherals;Computer Consulting Services</v>
      </c>
      <c r="AB885" s="6" t="str">
        <v>Other Peripherals;Operating Systems;Internet Services &amp; Software;Monitors/Terminals;Computer Consulting Services;Applications Software(Business</v>
      </c>
    </row>
    <row r="886">
      <c r="A886" s="6" t="str">
        <v>037833</v>
      </c>
      <c r="B886" s="6" t="str">
        <v>United States</v>
      </c>
      <c r="C886" s="6" t="str">
        <v>Apple Inc</v>
      </c>
      <c r="D886" s="6" t="str">
        <v>Apple Inc</v>
      </c>
      <c r="F886" s="6" t="str">
        <v>United States</v>
      </c>
      <c r="G886" s="6" t="str">
        <v>LearnSprout Inc</v>
      </c>
      <c r="H886" s="6" t="str">
        <v>Business Services</v>
      </c>
      <c r="I886" s="6" t="str">
        <v>3E2694</v>
      </c>
      <c r="J886" s="6" t="str">
        <v>LearnSprout Inc</v>
      </c>
      <c r="K886" s="6" t="str">
        <v>LearnSprout Inc</v>
      </c>
      <c r="L886" s="7">
        <f>=DATE(2016,1,28)</f>
        <v>42396.99949074074</v>
      </c>
      <c r="M886" s="7">
        <f>=DATE(2016,1,28)</f>
        <v>42396.99949074074</v>
      </c>
      <c r="W886" s="6" t="str">
        <v>Other Peripherals;Mainframes &amp; Super Computers;Other Software (inq. Games);Printers;Monitors/Terminals;Micro-Computers (PCs);Portable Computers;Disk Drives</v>
      </c>
      <c r="X886" s="6" t="str">
        <v>Data Processing Services;Communication/Network Software</v>
      </c>
      <c r="Y886" s="6" t="str">
        <v>Data Processing Services;Communication/Network Software</v>
      </c>
      <c r="Z886" s="6" t="str">
        <v>Data Processing Services;Communication/Network Software</v>
      </c>
      <c r="AA886" s="6" t="str">
        <v>Mainframes &amp; Super Computers;Portable Computers;Monitors/Terminals;Other Software (inq. Games);Micro-Computers (PCs);Disk Drives;Printers;Other Peripherals</v>
      </c>
      <c r="AB886" s="6" t="str">
        <v>Mainframes &amp; Super Computers;Printers;Other Software (inq. Games);Micro-Computers (PCs);Portable Computers;Other Peripherals;Disk Drives;Monitors/Terminals</v>
      </c>
    </row>
    <row r="887">
      <c r="A887" s="6" t="str">
        <v>037833</v>
      </c>
      <c r="B887" s="6" t="str">
        <v>United States</v>
      </c>
      <c r="C887" s="6" t="str">
        <v>Apple Inc</v>
      </c>
      <c r="D887" s="6" t="str">
        <v>Apple Inc</v>
      </c>
      <c r="F887" s="6" t="str">
        <v>United States</v>
      </c>
      <c r="G887" s="6" t="str">
        <v>Flyby Media Inc</v>
      </c>
      <c r="H887" s="6" t="str">
        <v>Prepackaged Software</v>
      </c>
      <c r="I887" s="6" t="str">
        <v>3E2927</v>
      </c>
      <c r="J887" s="6" t="str">
        <v>Flyby Media Inc</v>
      </c>
      <c r="K887" s="6" t="str">
        <v>Flyby Media Inc</v>
      </c>
      <c r="L887" s="7">
        <f>=DATE(2016,1,29)</f>
        <v>42397.99949074074</v>
      </c>
      <c r="M887" s="7">
        <f>=DATE(2016,1,29)</f>
        <v>42397.99949074074</v>
      </c>
      <c r="S887" s="8">
        <v>1</v>
      </c>
      <c r="W887" s="6" t="str">
        <v>Mainframes &amp; Super Computers;Portable Computers;Monitors/Terminals;Other Peripherals;Disk Drives;Micro-Computers (PCs);Other Software (inq. Games);Printers</v>
      </c>
      <c r="X887" s="6" t="str">
        <v>Applications Software(Home);Applications Software(Business;Communication/Network Software</v>
      </c>
      <c r="Y887" s="6" t="str">
        <v>Communication/Network Software;Applications Software(Home);Applications Software(Business</v>
      </c>
      <c r="Z887" s="6" t="str">
        <v>Applications Software(Business;Communication/Network Software;Applications Software(Home)</v>
      </c>
      <c r="AA887" s="6" t="str">
        <v>Monitors/Terminals;Micro-Computers (PCs);Printers;Other Peripherals;Disk Drives;Portable Computers;Mainframes &amp; Super Computers;Other Software (inq. Games)</v>
      </c>
      <c r="AB887" s="6" t="str">
        <v>Micro-Computers (PCs);Other Software (inq. Games);Portable Computers;Mainframes &amp; Super Computers;Printers;Disk Drives;Other Peripherals;Monitors/Terminals</v>
      </c>
    </row>
    <row r="888">
      <c r="A888" s="6" t="str">
        <v>037833</v>
      </c>
      <c r="B888" s="6" t="str">
        <v>United States</v>
      </c>
      <c r="C888" s="6" t="str">
        <v>Apple Inc</v>
      </c>
      <c r="D888" s="6" t="str">
        <v>Apple Inc</v>
      </c>
      <c r="F888" s="6" t="str">
        <v>United States</v>
      </c>
      <c r="G888" s="6" t="str">
        <v>Legbacore LLC</v>
      </c>
      <c r="H888" s="6" t="str">
        <v>Prepackaged Software</v>
      </c>
      <c r="I888" s="6" t="str">
        <v>0L2648</v>
      </c>
      <c r="J888" s="6" t="str">
        <v>Legbacore LLC</v>
      </c>
      <c r="K888" s="6" t="str">
        <v>Legbacore LLC</v>
      </c>
      <c r="L888" s="7">
        <f>=DATE(2016,2,3)</f>
        <v>42402.99949074074</v>
      </c>
      <c r="M888" s="7">
        <f>=DATE(2016,2,3)</f>
        <v>42402.99949074074</v>
      </c>
      <c r="W888" s="6" t="str">
        <v>Mainframes &amp; Super Computers;Printers;Micro-Computers (PCs);Monitors/Terminals;Disk Drives;Other Software (inq. Games);Portable Computers;Other Peripherals</v>
      </c>
      <c r="X888" s="6" t="str">
        <v>Other Software (inq. Games);Applications Software(Home);Internet Services &amp; Software;Communication/Network Software;Applications Software(Business;Desktop Publishing;Utilities/File Mgmt Software</v>
      </c>
      <c r="Y888" s="6" t="str">
        <v>Applications Software(Home);Internet Services &amp; Software;Other Software (inq. Games);Communication/Network Software;Desktop Publishing;Applications Software(Business;Utilities/File Mgmt Software</v>
      </c>
      <c r="Z888" s="6" t="str">
        <v>Utilities/File Mgmt Software;Other Software (inq. Games);Applications Software(Home);Communication/Network Software;Desktop Publishing;Internet Services &amp; Software;Applications Software(Business</v>
      </c>
      <c r="AA888" s="6" t="str">
        <v>Other Peripherals;Micro-Computers (PCs);Mainframes &amp; Super Computers;Disk Drives;Printers;Portable Computers;Monitors/Terminals;Other Software (inq. Games)</v>
      </c>
      <c r="AB888" s="6" t="str">
        <v>Disk Drives;Other Peripherals;Printers;Micro-Computers (PCs);Monitors/Terminals;Portable Computers;Mainframes &amp; Super Computers;Other Software (inq. Games)</v>
      </c>
    </row>
    <row r="889">
      <c r="A889" s="6" t="str">
        <v>594918</v>
      </c>
      <c r="B889" s="6" t="str">
        <v>United States</v>
      </c>
      <c r="C889" s="6" t="str">
        <v>Microsoft Corp</v>
      </c>
      <c r="D889" s="6" t="str">
        <v>Microsoft Corp</v>
      </c>
      <c r="F889" s="6" t="str">
        <v>United Kingdom</v>
      </c>
      <c r="G889" s="6" t="str">
        <v>TouchType Ltd</v>
      </c>
      <c r="H889" s="6" t="str">
        <v>Prepackaged Software</v>
      </c>
      <c r="I889" s="6" t="str">
        <v>3E3335</v>
      </c>
      <c r="J889" s="6" t="str">
        <v>TouchType Ltd</v>
      </c>
      <c r="K889" s="6" t="str">
        <v>TouchType Ltd</v>
      </c>
      <c r="L889" s="7">
        <f>=DATE(2016,2,3)</f>
        <v>42402.99949074074</v>
      </c>
      <c r="M889" s="7">
        <f>=DATE(2016,2,3)</f>
        <v>42402.99949074074</v>
      </c>
      <c r="R889" s="8">
        <v>-11.1301067028238</v>
      </c>
      <c r="S889" s="8">
        <v>11.6135117608914</v>
      </c>
      <c r="W889" s="6" t="str">
        <v>Other Peripherals;Monitors/Terminals;Applications Software(Business;Operating Systems;Internet Services &amp; Software;Computer Consulting Services</v>
      </c>
      <c r="X889" s="6" t="str">
        <v>Applications Software(Business;Applications Software(Home);Communication/Network Software</v>
      </c>
      <c r="Y889" s="6" t="str">
        <v>Communication/Network Software;Applications Software(Home);Applications Software(Business</v>
      </c>
      <c r="Z889" s="6" t="str">
        <v>Applications Software(Business;Communication/Network Software;Applications Software(Home)</v>
      </c>
      <c r="AA889" s="6" t="str">
        <v>Applications Software(Business;Internet Services &amp; Software;Operating Systems;Other Peripherals;Computer Consulting Services;Monitors/Terminals</v>
      </c>
      <c r="AB889" s="6" t="str">
        <v>Operating Systems;Monitors/Terminals;Internet Services &amp; Software;Computer Consulting Services;Other Peripherals;Applications Software(Business</v>
      </c>
      <c r="AD889" s="7">
        <f>=DATE(2016,2,3)</f>
        <v>42402.99949074074</v>
      </c>
    </row>
    <row r="890">
      <c r="A890" s="6" t="str">
        <v>73959W</v>
      </c>
      <c r="B890" s="6" t="str">
        <v>United States</v>
      </c>
      <c r="C890" s="6" t="str">
        <v>PowerSchool Group LLC</v>
      </c>
      <c r="D890" s="6" t="str">
        <v>PowerSchool Holdings Inc</v>
      </c>
      <c r="F890" s="6" t="str">
        <v>United States</v>
      </c>
      <c r="G890" s="6" t="str">
        <v>Interactive Achievement LLC</v>
      </c>
      <c r="H890" s="6" t="str">
        <v>Prepackaged Software</v>
      </c>
      <c r="I890" s="6" t="str">
        <v>3E4084</v>
      </c>
      <c r="J890" s="6" t="str">
        <v>Interactive Achievement LLC</v>
      </c>
      <c r="K890" s="6" t="str">
        <v>Interactive Achievement LLC</v>
      </c>
      <c r="L890" s="7">
        <f>=DATE(2016,2,3)</f>
        <v>42402.99949074074</v>
      </c>
      <c r="M890" s="7">
        <f>=DATE(2016,2,3)</f>
        <v>42402.99949074074</v>
      </c>
      <c r="W890" s="6" t="str">
        <v>Other Software (inq. Games)</v>
      </c>
      <c r="X890" s="6" t="str">
        <v>Internet Services &amp; Software;Communication/Network Software</v>
      </c>
      <c r="Y890" s="6" t="str">
        <v>Internet Services &amp; Software;Communication/Network Software</v>
      </c>
      <c r="Z890" s="6" t="str">
        <v>Internet Services &amp; Software;Communication/Network Software</v>
      </c>
      <c r="AA890" s="6" t="str">
        <v>Internet Services &amp; Software;Applications Software(Business;Primary Business not Hi-Tech;Utilities/File Mgmt Software;Communication/Network Software;Applications Software(Home);Desktop Publishing;Other Software (inq. Games)</v>
      </c>
      <c r="AB890" s="6" t="str">
        <v>Utilities/File Mgmt Software;Applications Software(Business;Desktop Publishing;Communication/Network Software;Applications Software(Home);Primary Business not Hi-Tech;Internet Services &amp; Software;Other Software (inq. Games)</v>
      </c>
    </row>
    <row r="891">
      <c r="A891" s="6" t="str">
        <v>4C7902</v>
      </c>
      <c r="B891" s="6" t="str">
        <v>United States</v>
      </c>
      <c r="C891" s="6" t="str">
        <v>Amazon Web Services Inc</v>
      </c>
      <c r="D891" s="6" t="str">
        <v>Amazon.com Inc</v>
      </c>
      <c r="F891" s="6" t="str">
        <v>Italy</v>
      </c>
      <c r="G891" s="6" t="str">
        <v>NICE Srl</v>
      </c>
      <c r="H891" s="6" t="str">
        <v>Prepackaged Software</v>
      </c>
      <c r="I891" s="6" t="str">
        <v>2E6545</v>
      </c>
      <c r="J891" s="6" t="str">
        <v>NICE Srl</v>
      </c>
      <c r="K891" s="6" t="str">
        <v>NICE Srl</v>
      </c>
      <c r="L891" s="7">
        <f>=DATE(2016,2,12)</f>
        <v>42411.99949074074</v>
      </c>
      <c r="M891" s="7">
        <f>=DATE(2016,3,31)</f>
        <v>42459.99949074074</v>
      </c>
      <c r="R891" s="8">
        <v>-0.054300018462006</v>
      </c>
      <c r="S891" s="8">
        <v>5.0097197033047</v>
      </c>
      <c r="W891" s="6" t="str">
        <v>Data Processing Services;Other Computer Related Svcs;Computer Consulting Services;Internet Services &amp; Software;Primary Business not Hi-Tech</v>
      </c>
      <c r="X891" s="6" t="str">
        <v>Communication/Network Software;Internet Services &amp; Software</v>
      </c>
      <c r="Y891" s="6" t="str">
        <v>Communication/Network Software;Internet Services &amp; Software</v>
      </c>
      <c r="Z891" s="6" t="str">
        <v>Internet Services &amp; Software;Communication/Network Software</v>
      </c>
      <c r="AA891" s="6" t="str">
        <v>Primary Business not Hi-Tech</v>
      </c>
      <c r="AB891" s="6" t="str">
        <v>Primary Business not Hi-Tech</v>
      </c>
    </row>
    <row r="892">
      <c r="A892" s="6" t="str">
        <v>98787H</v>
      </c>
      <c r="B892" s="6" t="str">
        <v>United States</v>
      </c>
      <c r="C892" s="6" t="str">
        <v>YouTube Inc</v>
      </c>
      <c r="D892" s="6" t="str">
        <v>Alphabet Inc</v>
      </c>
      <c r="F892" s="6" t="str">
        <v>United States</v>
      </c>
      <c r="G892" s="6" t="str">
        <v>BandPage Inc</v>
      </c>
      <c r="H892" s="6" t="str">
        <v>Business Services</v>
      </c>
      <c r="I892" s="6" t="str">
        <v>3E7598</v>
      </c>
      <c r="J892" s="6" t="str">
        <v>BandPage Inc</v>
      </c>
      <c r="K892" s="6" t="str">
        <v>BandPage Inc</v>
      </c>
      <c r="L892" s="7">
        <f>=DATE(2016,2,12)</f>
        <v>42411.99949074074</v>
      </c>
      <c r="M892" s="7">
        <f>=DATE(2016,2,12)</f>
        <v>42411.99949074074</v>
      </c>
      <c r="S892" s="8">
        <v>4.383</v>
      </c>
      <c r="W892" s="6" t="str">
        <v>Internet Services &amp; Software</v>
      </c>
      <c r="X892" s="6" t="str">
        <v>Internet Services &amp; Software</v>
      </c>
      <c r="Y892" s="6" t="str">
        <v>Internet Services &amp; Software</v>
      </c>
      <c r="Z892" s="6" t="str">
        <v>Internet Services &amp; Software</v>
      </c>
      <c r="AA892" s="6" t="str">
        <v>Programming Services;Internet Services &amp; Software</v>
      </c>
      <c r="AB892" s="6" t="str">
        <v>Programming Services;Computer Consulting Services;Internet Services &amp; Software;Telecommunications Equipment;Primary Business not Hi-Tech</v>
      </c>
    </row>
    <row r="893">
      <c r="A893" s="6" t="str">
        <v>023135</v>
      </c>
      <c r="B893" s="6" t="str">
        <v>United States</v>
      </c>
      <c r="C893" s="6" t="str">
        <v>Amazon.com Inc</v>
      </c>
      <c r="D893" s="6" t="str">
        <v>Amazon.com Inc</v>
      </c>
      <c r="F893" s="6" t="str">
        <v>India</v>
      </c>
      <c r="G893" s="6" t="str">
        <v>Emvantage Payments Pvt Ltd</v>
      </c>
      <c r="H893" s="6" t="str">
        <v>Business Services</v>
      </c>
      <c r="I893" s="6" t="str">
        <v>3E5887</v>
      </c>
      <c r="J893" s="6" t="str">
        <v>Emvantage Payments Pvt Ltd</v>
      </c>
      <c r="K893" s="6" t="str">
        <v>Emvantage Payments Pvt Ltd</v>
      </c>
      <c r="L893" s="7">
        <f>=DATE(2016,2,16)</f>
        <v>42415.99949074074</v>
      </c>
      <c r="W893" s="6" t="str">
        <v>Primary Business not Hi-Tech</v>
      </c>
      <c r="X893" s="6" t="str">
        <v>Other Computer Related Svcs;Data Processing Services;Other Software (inq. Games)</v>
      </c>
      <c r="Y893" s="6" t="str">
        <v>Other Computer Related Svcs;Data Processing Services;Other Software (inq. Games)</v>
      </c>
      <c r="Z893" s="6" t="str">
        <v>Data Processing Services;Other Software (inq. Games);Other Computer Related Svcs</v>
      </c>
      <c r="AA893" s="6" t="str">
        <v>Primary Business not Hi-Tech</v>
      </c>
      <c r="AB893" s="6" t="str">
        <v>Primary Business not Hi-Tech</v>
      </c>
    </row>
    <row r="894">
      <c r="A894" s="6" t="str">
        <v>594918</v>
      </c>
      <c r="B894" s="6" t="str">
        <v>United States</v>
      </c>
      <c r="C894" s="6" t="str">
        <v>Microsoft Corp</v>
      </c>
      <c r="D894" s="6" t="str">
        <v>Microsoft Corp</v>
      </c>
      <c r="F894" s="6" t="str">
        <v>United States</v>
      </c>
      <c r="G894" s="6" t="str">
        <v>Xamarin Inc</v>
      </c>
      <c r="H894" s="6" t="str">
        <v>Prepackaged Software</v>
      </c>
      <c r="I894" s="6" t="str">
        <v>0C9882</v>
      </c>
      <c r="J894" s="6" t="str">
        <v>Xamarin Inc</v>
      </c>
      <c r="K894" s="6" t="str">
        <v>Xamarin Inc</v>
      </c>
      <c r="L894" s="7">
        <f>=DATE(2016,2,24)</f>
        <v>42423.99949074074</v>
      </c>
      <c r="W894" s="6" t="str">
        <v>Other Peripherals;Computer Consulting Services;Internet Services &amp; Software;Monitors/Terminals;Operating Systems;Applications Software(Business</v>
      </c>
      <c r="X894" s="6" t="str">
        <v>Applications Software(Business;Applications Software(Home);Communication/Network Software</v>
      </c>
      <c r="Y894" s="6" t="str">
        <v>Applications Software(Business;Applications Software(Home);Communication/Network Software</v>
      </c>
      <c r="Z894" s="6" t="str">
        <v>Applications Software(Home);Communication/Network Software;Applications Software(Business</v>
      </c>
      <c r="AA894" s="6" t="str">
        <v>Monitors/Terminals;Computer Consulting Services;Applications Software(Business;Operating Systems;Internet Services &amp; Software;Other Peripherals</v>
      </c>
      <c r="AB894" s="6" t="str">
        <v>Other Peripherals;Applications Software(Business;Computer Consulting Services;Internet Services &amp; Software;Monitors/Terminals;Operating Systems</v>
      </c>
    </row>
    <row r="895">
      <c r="A895" s="6" t="str">
        <v>30303M</v>
      </c>
      <c r="B895" s="6" t="str">
        <v>United States</v>
      </c>
      <c r="C895" s="6" t="str">
        <v>Facebook Inc</v>
      </c>
      <c r="D895" s="6" t="str">
        <v>Facebook Inc</v>
      </c>
      <c r="F895" s="6" t="str">
        <v>Belarus</v>
      </c>
      <c r="G895" s="6" t="str">
        <v>Masquerade Technologies Inc</v>
      </c>
      <c r="H895" s="6" t="str">
        <v>Prepackaged Software</v>
      </c>
      <c r="I895" s="6" t="str">
        <v>4E3253</v>
      </c>
      <c r="J895" s="6" t="str">
        <v>Masquerade Technologies Inc</v>
      </c>
      <c r="K895" s="6" t="str">
        <v>Masquerade Technologies Inc</v>
      </c>
      <c r="L895" s="7">
        <f>=DATE(2016,3,9)</f>
        <v>42437.99949074074</v>
      </c>
      <c r="M895" s="7">
        <f>=DATE(2016,3,9)</f>
        <v>42437.99949074074</v>
      </c>
      <c r="W895" s="6" t="str">
        <v>Internet Services &amp; Software</v>
      </c>
      <c r="X895" s="6" t="str">
        <v>Communication/Network Software</v>
      </c>
      <c r="Y895" s="6" t="str">
        <v>Communication/Network Software</v>
      </c>
      <c r="Z895" s="6" t="str">
        <v>Communication/Network Software</v>
      </c>
      <c r="AA895" s="6" t="str">
        <v>Internet Services &amp; Software</v>
      </c>
      <c r="AB895" s="6" t="str">
        <v>Internet Services &amp; Software</v>
      </c>
    </row>
    <row r="896">
      <c r="A896" s="6" t="str">
        <v>023135</v>
      </c>
      <c r="B896" s="6" t="str">
        <v>United States</v>
      </c>
      <c r="C896" s="6" t="str">
        <v>Amazon.com Inc</v>
      </c>
      <c r="D896" s="6" t="str">
        <v>Amazon.com Inc</v>
      </c>
      <c r="F896" s="6" t="str">
        <v>India</v>
      </c>
      <c r="G896" s="6" t="str">
        <v>Flipkart Internet Pvt Ltd</v>
      </c>
      <c r="H896" s="6" t="str">
        <v>Miscellaneous Retail Trade</v>
      </c>
      <c r="I896" s="6" t="str">
        <v>33924N</v>
      </c>
      <c r="J896" s="6" t="str">
        <v>Flipkart Pvt Ltd</v>
      </c>
      <c r="K896" s="6" t="str">
        <v>Flipkart Pvt Ltd</v>
      </c>
      <c r="L896" s="7">
        <f>=DATE(2016,3,17)</f>
        <v>42445.99949074074</v>
      </c>
      <c r="R896" s="8">
        <v>-176.041090985577</v>
      </c>
      <c r="S896" s="8">
        <v>105.88043281049</v>
      </c>
      <c r="T896" s="8">
        <v>883.332601845</v>
      </c>
      <c r="U896" s="8">
        <v>-567.964257591</v>
      </c>
      <c r="V896" s="8">
        <v>-155.719754952</v>
      </c>
      <c r="W896" s="6" t="str">
        <v>Primary Business not Hi-Tech</v>
      </c>
      <c r="X896" s="6" t="str">
        <v>Internet Services &amp; Software</v>
      </c>
      <c r="Y896" s="6" t="str">
        <v>Internet Services &amp; Software</v>
      </c>
      <c r="Z896" s="6" t="str">
        <v>Internet Services &amp; Software</v>
      </c>
      <c r="AA896" s="6" t="str">
        <v>Primary Business not Hi-Tech</v>
      </c>
      <c r="AB896" s="6" t="str">
        <v>Primary Business not Hi-Tech</v>
      </c>
    </row>
    <row r="897">
      <c r="A897" s="6" t="str">
        <v>38259P</v>
      </c>
      <c r="B897" s="6" t="str">
        <v>United States</v>
      </c>
      <c r="C897" s="6" t="str">
        <v>Google Inc</v>
      </c>
      <c r="D897" s="6" t="str">
        <v>Alphabet Inc</v>
      </c>
      <c r="F897" s="6" t="str">
        <v>United States</v>
      </c>
      <c r="G897" s="6" t="str">
        <v>Callidus Software Inc</v>
      </c>
      <c r="H897" s="6" t="str">
        <v>Prepackaged Software</v>
      </c>
      <c r="I897" s="6" t="str">
        <v>13123E</v>
      </c>
      <c r="J897" s="6" t="str">
        <v>Callidus Software Inc</v>
      </c>
      <c r="K897" s="6" t="str">
        <v>Callidus Software Inc</v>
      </c>
      <c r="L897" s="7">
        <f>=DATE(2016,3,18)</f>
        <v>42446.99949074074</v>
      </c>
      <c r="R897" s="8">
        <v>-13.148</v>
      </c>
      <c r="S897" s="8">
        <v>173.087</v>
      </c>
      <c r="T897" s="8">
        <v>52.593</v>
      </c>
      <c r="U897" s="8">
        <v>-35.68</v>
      </c>
      <c r="V897" s="8">
        <v>26.469</v>
      </c>
      <c r="W897" s="6" t="str">
        <v>Programming Services;Internet Services &amp; Software</v>
      </c>
      <c r="X897" s="6" t="str">
        <v>Internet Services &amp; Software</v>
      </c>
      <c r="Y897" s="6" t="str">
        <v>Internet Services &amp; Software</v>
      </c>
      <c r="Z897" s="6" t="str">
        <v>Internet Services &amp; Software</v>
      </c>
      <c r="AA897" s="6" t="str">
        <v>Internet Services &amp; Software;Telecommunications Equipment;Programming Services;Primary Business not Hi-Tech;Computer Consulting Services</v>
      </c>
      <c r="AB897" s="6" t="str">
        <v>Computer Consulting Services;Programming Services;Internet Services &amp; Software;Telecommunications Equipment;Primary Business not Hi-Tech</v>
      </c>
    </row>
    <row r="898">
      <c r="A898" s="6" t="str">
        <v>38259P</v>
      </c>
      <c r="B898" s="6" t="str">
        <v>United States</v>
      </c>
      <c r="C898" s="6" t="str">
        <v>Google Inc</v>
      </c>
      <c r="D898" s="6" t="str">
        <v>Alphabet Inc</v>
      </c>
      <c r="F898" s="6" t="str">
        <v>United States</v>
      </c>
      <c r="G898" s="6" t="str">
        <v>Namely Inc</v>
      </c>
      <c r="H898" s="6" t="str">
        <v>Prepackaged Software</v>
      </c>
      <c r="I898" s="6" t="str">
        <v>4E3905</v>
      </c>
      <c r="J898" s="6" t="str">
        <v>Namely Inc</v>
      </c>
      <c r="K898" s="6" t="str">
        <v>Namely Inc</v>
      </c>
      <c r="L898" s="7">
        <f>=DATE(2016,3,18)</f>
        <v>42446.99949074074</v>
      </c>
      <c r="W898" s="6" t="str">
        <v>Programming Services;Internet Services &amp; Software</v>
      </c>
      <c r="X898" s="6" t="str">
        <v>Communication/Network Software;Primary Business not Hi-Tech</v>
      </c>
      <c r="Y898" s="6" t="str">
        <v>Communication/Network Software;Primary Business not Hi-Tech</v>
      </c>
      <c r="Z898" s="6" t="str">
        <v>Communication/Network Software;Primary Business not Hi-Tech</v>
      </c>
      <c r="AA898" s="6" t="str">
        <v>Internet Services &amp; Software;Telecommunications Equipment;Programming Services;Computer Consulting Services;Primary Business not Hi-Tech</v>
      </c>
      <c r="AB898" s="6" t="str">
        <v>Internet Services &amp; Software;Programming Services;Telecommunications Equipment;Computer Consulting Services;Primary Business not Hi-Tech</v>
      </c>
    </row>
    <row r="899">
      <c r="A899" s="6" t="str">
        <v>38259P</v>
      </c>
      <c r="B899" s="6" t="str">
        <v>United States</v>
      </c>
      <c r="C899" s="6" t="str">
        <v>Google Inc</v>
      </c>
      <c r="D899" s="6" t="str">
        <v>Alphabet Inc</v>
      </c>
      <c r="F899" s="6" t="str">
        <v>Canada</v>
      </c>
      <c r="G899" s="6" t="str">
        <v>Shopify Inc</v>
      </c>
      <c r="H899" s="6" t="str">
        <v>Prepackaged Software</v>
      </c>
      <c r="I899" s="6" t="str">
        <v>82509L</v>
      </c>
      <c r="J899" s="6" t="str">
        <v>Shopify Inc</v>
      </c>
      <c r="K899" s="6" t="str">
        <v>Shopify Inc</v>
      </c>
      <c r="L899" s="7">
        <f>=DATE(2016,3,18)</f>
        <v>42446.99949074074</v>
      </c>
      <c r="R899" s="8">
        <v>-18.8236144230074</v>
      </c>
      <c r="S899" s="8">
        <v>205.603728593106</v>
      </c>
      <c r="T899" s="8">
        <v>137.854960746</v>
      </c>
      <c r="U899" s="8">
        <v>-83.840213148</v>
      </c>
      <c r="V899" s="8">
        <v>15.755924292</v>
      </c>
      <c r="W899" s="6" t="str">
        <v>Internet Services &amp; Software;Programming Services</v>
      </c>
      <c r="X899" s="6" t="str">
        <v>Internet Services &amp; Software;Other Software (inq. Games)</v>
      </c>
      <c r="Y899" s="6" t="str">
        <v>Internet Services &amp; Software;Other Software (inq. Games)</v>
      </c>
      <c r="Z899" s="6" t="str">
        <v>Internet Services &amp; Software;Other Software (inq. Games)</v>
      </c>
      <c r="AA899" s="6" t="str">
        <v>Programming Services;Primary Business not Hi-Tech;Telecommunications Equipment;Internet Services &amp; Software;Computer Consulting Services</v>
      </c>
      <c r="AB899" s="6" t="str">
        <v>Computer Consulting Services;Programming Services;Internet Services &amp; Software;Primary Business not Hi-Tech;Telecommunications Equipment</v>
      </c>
    </row>
    <row r="900">
      <c r="A900" s="6" t="str">
        <v>38259P</v>
      </c>
      <c r="B900" s="6" t="str">
        <v>United States</v>
      </c>
      <c r="C900" s="6" t="str">
        <v>Google Inc</v>
      </c>
      <c r="D900" s="6" t="str">
        <v>Alphabet Inc</v>
      </c>
      <c r="F900" s="6" t="str">
        <v>United States</v>
      </c>
      <c r="G900" s="6" t="str">
        <v>Xactly Corp</v>
      </c>
      <c r="H900" s="6" t="str">
        <v>Prepackaged Software</v>
      </c>
      <c r="I900" s="6" t="str">
        <v>98386L</v>
      </c>
      <c r="J900" s="6" t="str">
        <v>Xactly Corp</v>
      </c>
      <c r="K900" s="6" t="str">
        <v>Xactly Corp</v>
      </c>
      <c r="L900" s="7">
        <f>=DATE(2016,3,18)</f>
        <v>42446.99949074074</v>
      </c>
      <c r="R900" s="8">
        <v>-24.719</v>
      </c>
      <c r="S900" s="8">
        <v>75.974</v>
      </c>
      <c r="T900" s="8">
        <v>39.418</v>
      </c>
      <c r="U900" s="8">
        <v>-4.298</v>
      </c>
      <c r="V900" s="8">
        <v>-6.364</v>
      </c>
      <c r="W900" s="6" t="str">
        <v>Internet Services &amp; Software;Programming Services</v>
      </c>
      <c r="X900" s="6" t="str">
        <v>Communication/Network Software;Internet Services &amp; Software</v>
      </c>
      <c r="Y900" s="6" t="str">
        <v>Internet Services &amp; Software;Communication/Network Software</v>
      </c>
      <c r="Z900" s="6" t="str">
        <v>Internet Services &amp; Software;Communication/Network Software</v>
      </c>
      <c r="AA900" s="6" t="str">
        <v>Computer Consulting Services;Primary Business not Hi-Tech;Programming Services;Telecommunications Equipment;Internet Services &amp; Software</v>
      </c>
      <c r="AB900" s="6" t="str">
        <v>Computer Consulting Services;Internet Services &amp; Software;Programming Services;Primary Business not Hi-Tech;Telecommunications Equipment</v>
      </c>
    </row>
    <row r="901">
      <c r="A901" s="6" t="str">
        <v>9A0409</v>
      </c>
      <c r="B901" s="6" t="str">
        <v>United States</v>
      </c>
      <c r="C901" s="6" t="str">
        <v>Google Capital 2016 LP</v>
      </c>
      <c r="D901" s="6" t="str">
        <v>Alphabet Inc</v>
      </c>
      <c r="F901" s="6" t="str">
        <v>India</v>
      </c>
      <c r="G901" s="6" t="str">
        <v>Girnar Software Pvt Ltd</v>
      </c>
      <c r="H901" s="6" t="str">
        <v>Business Services</v>
      </c>
      <c r="I901" s="6" t="str">
        <v>1C2589</v>
      </c>
      <c r="J901" s="6" t="str">
        <v>Girnar Software Pvt Ltd</v>
      </c>
      <c r="K901" s="6" t="str">
        <v>Girnar Software Pvt Ltd</v>
      </c>
      <c r="L901" s="7">
        <f>=DATE(2016,3,21)</f>
        <v>42449.99949074074</v>
      </c>
      <c r="M901" s="7">
        <f>=DATE(2016,3,21)</f>
        <v>42449.99949074074</v>
      </c>
      <c r="W901" s="6" t="str">
        <v>Primary Business not Hi-Tech</v>
      </c>
      <c r="X901" s="6" t="str">
        <v>Computer Consulting Services;Other Computer Related Svcs;Other Software (inq. Games);Data Processing Services</v>
      </c>
      <c r="Y901" s="6" t="str">
        <v>Computer Consulting Services;Data Processing Services;Other Computer Related Svcs;Other Software (inq. Games)</v>
      </c>
      <c r="Z901" s="6" t="str">
        <v>Other Software (inq. Games);Other Computer Related Svcs;Data Processing Services;Computer Consulting Services</v>
      </c>
      <c r="AA901" s="6" t="str">
        <v>Programming Services;Internet Services &amp; Software</v>
      </c>
      <c r="AB901" s="6" t="str">
        <v>Internet Services &amp; Software;Telecommunications Equipment;Computer Consulting Services;Primary Business not Hi-Tech;Programming Services</v>
      </c>
    </row>
    <row r="902">
      <c r="A902" s="6" t="str">
        <v>023135</v>
      </c>
      <c r="B902" s="6" t="str">
        <v>United States</v>
      </c>
      <c r="C902" s="6" t="str">
        <v>Amazon.com Inc</v>
      </c>
      <c r="D902" s="6" t="str">
        <v>Amazon.com Inc</v>
      </c>
      <c r="F902" s="6" t="str">
        <v>Germany</v>
      </c>
      <c r="G902" s="6" t="str">
        <v>Nokia Oyj-HERE Business</v>
      </c>
      <c r="H902" s="6" t="str">
        <v>Telecommunications</v>
      </c>
      <c r="I902" s="6" t="str">
        <v>7C2163</v>
      </c>
      <c r="J902" s="6" t="str">
        <v>Nokia Oyj</v>
      </c>
      <c r="K902" s="6" t="str">
        <v>Nokia Oyj</v>
      </c>
      <c r="L902" s="7">
        <f>=DATE(2016,3,31)</f>
        <v>42459.99949074074</v>
      </c>
      <c r="W902" s="6" t="str">
        <v>Primary Business not Hi-Tech</v>
      </c>
      <c r="X902" s="6" t="str">
        <v>Satellite Communications;Communication/Network Software</v>
      </c>
      <c r="Y902" s="6" t="str">
        <v>Other Telecommunications Equip;Satellite Communications;Internet Services &amp; Software;Other Software (inq. Games);Communication/Network Software;Telephone Interconnect Equip</v>
      </c>
      <c r="Z902" s="6" t="str">
        <v>Telephone Interconnect Equip;Other Telecommunications Equip;Communication/Network Software;Internet Services &amp; Software;Other Software (inq. Games);Satellite Communications</v>
      </c>
      <c r="AA902" s="6" t="str">
        <v>Primary Business not Hi-Tech</v>
      </c>
      <c r="AB902" s="6" t="str">
        <v>Primary Business not Hi-Tech</v>
      </c>
    </row>
    <row r="903">
      <c r="A903" s="6" t="str">
        <v>5E5574</v>
      </c>
      <c r="B903" s="6" t="str">
        <v>United States</v>
      </c>
      <c r="C903" s="6" t="str">
        <v>Wickr Inc</v>
      </c>
      <c r="D903" s="6" t="str">
        <v>Wickr Inc</v>
      </c>
      <c r="F903" s="6" t="str">
        <v>United States</v>
      </c>
      <c r="G903" s="6" t="str">
        <v>Net Power &amp; Light Inc</v>
      </c>
      <c r="H903" s="6" t="str">
        <v>Prepackaged Software</v>
      </c>
      <c r="I903" s="6" t="str">
        <v>5E5576</v>
      </c>
      <c r="J903" s="6" t="str">
        <v>Net Power &amp; Light Inc</v>
      </c>
      <c r="K903" s="6" t="str">
        <v>Net Power &amp; Light Inc</v>
      </c>
      <c r="L903" s="7">
        <f>=DATE(2016,4,28)</f>
        <v>42487.99949074074</v>
      </c>
      <c r="M903" s="7">
        <f>=DATE(2016,4,28)</f>
        <v>42487.99949074074</v>
      </c>
      <c r="W903" s="6" t="str">
        <v>Communication/Network Software;Applications Software(Home);Applications Software(Business</v>
      </c>
      <c r="X903" s="6" t="str">
        <v>Applications Software(Business;Applications Software(Home);Communication/Network Software</v>
      </c>
      <c r="Y903" s="6" t="str">
        <v>Communication/Network Software;Applications Software(Business;Applications Software(Home)</v>
      </c>
      <c r="Z903" s="6" t="str">
        <v>Applications Software(Home);Communication/Network Software;Applications Software(Business</v>
      </c>
      <c r="AA903" s="6" t="str">
        <v>Applications Software(Business;Communication/Network Software;Applications Software(Home)</v>
      </c>
      <c r="AB903" s="6" t="str">
        <v>Communication/Network Software;Applications Software(Home);Applications Software(Business</v>
      </c>
    </row>
    <row r="904">
      <c r="A904" s="6" t="str">
        <v>38259P</v>
      </c>
      <c r="B904" s="6" t="str">
        <v>United States</v>
      </c>
      <c r="C904" s="6" t="str">
        <v>Google Inc</v>
      </c>
      <c r="D904" s="6" t="str">
        <v>Alphabet Inc</v>
      </c>
      <c r="F904" s="6" t="str">
        <v>Canada</v>
      </c>
      <c r="G904" s="6" t="str">
        <v>Synergyse</v>
      </c>
      <c r="H904" s="6" t="str">
        <v>Prepackaged Software</v>
      </c>
      <c r="I904" s="6" t="str">
        <v>5E6518</v>
      </c>
      <c r="J904" s="6" t="str">
        <v>Synergyse</v>
      </c>
      <c r="K904" s="6" t="str">
        <v>Synergyse</v>
      </c>
      <c r="L904" s="7">
        <f>=DATE(2016,5,2)</f>
        <v>42491.99949074074</v>
      </c>
      <c r="M904" s="7">
        <f>=DATE(2016,5,2)</f>
        <v>42491.99949074074</v>
      </c>
      <c r="W904" s="6" t="str">
        <v>Programming Services;Internet Services &amp; Software</v>
      </c>
      <c r="X904" s="6" t="str">
        <v>Communication/Network Software</v>
      </c>
      <c r="Y904" s="6" t="str">
        <v>Communication/Network Software</v>
      </c>
      <c r="Z904" s="6" t="str">
        <v>Communication/Network Software</v>
      </c>
      <c r="AA904" s="6" t="str">
        <v>Computer Consulting Services;Primary Business not Hi-Tech;Telecommunications Equipment;Internet Services &amp; Software;Programming Services</v>
      </c>
      <c r="AB904" s="6" t="str">
        <v>Telecommunications Equipment;Primary Business not Hi-Tech;Computer Consulting Services;Programming Services;Internet Services &amp; Software</v>
      </c>
    </row>
    <row r="905">
      <c r="A905" s="6" t="str">
        <v>594918</v>
      </c>
      <c r="B905" s="6" t="str">
        <v>United States</v>
      </c>
      <c r="C905" s="6" t="str">
        <v>Microsoft Corp</v>
      </c>
      <c r="D905" s="6" t="str">
        <v>Microsoft Corp</v>
      </c>
      <c r="F905" s="6" t="str">
        <v>Italy</v>
      </c>
      <c r="G905" s="6" t="str">
        <v>Solair Srl</v>
      </c>
      <c r="H905" s="6" t="str">
        <v>Prepackaged Software</v>
      </c>
      <c r="I905" s="6" t="str">
        <v>5E6430</v>
      </c>
      <c r="J905" s="6" t="str">
        <v>Solair Srl</v>
      </c>
      <c r="K905" s="6" t="str">
        <v>Solair Srl</v>
      </c>
      <c r="L905" s="7">
        <f>=DATE(2016,5,3)</f>
        <v>42492.99949074074</v>
      </c>
      <c r="M905" s="7">
        <f>=DATE(2016,5,3)</f>
        <v>42492.99949074074</v>
      </c>
      <c r="R905" s="8">
        <v>-0.577752196435747</v>
      </c>
      <c r="S905" s="8">
        <v>0.977400332316113</v>
      </c>
      <c r="W905" s="6" t="str">
        <v>Computer Consulting Services;Operating Systems;Other Peripherals;Applications Software(Business;Internet Services &amp; Software;Monitors/Terminals</v>
      </c>
      <c r="X905" s="6" t="str">
        <v>Applications Software(Business;Programming Services</v>
      </c>
      <c r="Y905" s="6" t="str">
        <v>Programming Services;Applications Software(Business</v>
      </c>
      <c r="Z905" s="6" t="str">
        <v>Programming Services;Applications Software(Business</v>
      </c>
      <c r="AA905" s="6" t="str">
        <v>Other Peripherals;Internet Services &amp; Software;Operating Systems;Monitors/Terminals;Computer Consulting Services;Applications Software(Business</v>
      </c>
      <c r="AB905" s="6" t="str">
        <v>Monitors/Terminals;Operating Systems;Other Peripherals;Applications Software(Business;Internet Services &amp; Software;Computer Consulting Services</v>
      </c>
    </row>
    <row r="906">
      <c r="A906" s="6" t="str">
        <v>73959W</v>
      </c>
      <c r="B906" s="6" t="str">
        <v>United States</v>
      </c>
      <c r="C906" s="6" t="str">
        <v>PowerSchool Group LLC</v>
      </c>
      <c r="D906" s="6" t="str">
        <v>PowerSchool Holdings Inc</v>
      </c>
      <c r="F906" s="6" t="str">
        <v>United States</v>
      </c>
      <c r="G906" s="6" t="str">
        <v>TIENET LLC</v>
      </c>
      <c r="H906" s="6" t="str">
        <v>Prepackaged Software</v>
      </c>
      <c r="I906" s="6" t="str">
        <v>8E4622</v>
      </c>
      <c r="J906" s="6" t="str">
        <v>TIENET LLC</v>
      </c>
      <c r="K906" s="6" t="str">
        <v>TIENET LLC</v>
      </c>
      <c r="L906" s="7">
        <f>=DATE(2016,5,10)</f>
        <v>42499.99949074074</v>
      </c>
      <c r="M906" s="7">
        <f>=DATE(2016,5,10)</f>
        <v>42499.99949074074</v>
      </c>
      <c r="W906" s="6" t="str">
        <v>Other Software (inq. Games)</v>
      </c>
      <c r="X906" s="6" t="str">
        <v>Applications Software(Business</v>
      </c>
      <c r="Y906" s="6" t="str">
        <v>Applications Software(Business</v>
      </c>
      <c r="Z906" s="6" t="str">
        <v>Applications Software(Business</v>
      </c>
      <c r="AA906" s="6" t="str">
        <v>Other Software (inq. Games);Applications Software(Home);Utilities/File Mgmt Software;Primary Business not Hi-Tech;Desktop Publishing;Internet Services &amp; Software;Communication/Network Software;Applications Software(Business</v>
      </c>
      <c r="AB906" s="6" t="str">
        <v>Primary Business not Hi-Tech;Applications Software(Home);Desktop Publishing;Other Software (inq. Games);Applications Software(Business;Communication/Network Software;Internet Services &amp; Software;Utilities/File Mgmt Software</v>
      </c>
    </row>
    <row r="907">
      <c r="A907" s="6" t="str">
        <v>30303M</v>
      </c>
      <c r="B907" s="6" t="str">
        <v>United States</v>
      </c>
      <c r="C907" s="6" t="str">
        <v>Facebook Inc</v>
      </c>
      <c r="D907" s="6" t="str">
        <v>Facebook Inc</v>
      </c>
      <c r="F907" s="6" t="str">
        <v>United Kingdom</v>
      </c>
      <c r="G907" s="6" t="str">
        <v>Two Big Ears Ltd</v>
      </c>
      <c r="H907" s="6" t="str">
        <v>Business Services</v>
      </c>
      <c r="I907" s="6" t="str">
        <v>6E3915</v>
      </c>
      <c r="J907" s="6" t="str">
        <v>Two Big Ears Ltd</v>
      </c>
      <c r="K907" s="6" t="str">
        <v>Two Big Ears Ltd</v>
      </c>
      <c r="L907" s="7">
        <f>=DATE(2016,5,23)</f>
        <v>42512.99949074074</v>
      </c>
      <c r="M907" s="7">
        <f>=DATE(2016,5,23)</f>
        <v>42512.99949074074</v>
      </c>
      <c r="W907" s="6" t="str">
        <v>Internet Services &amp; Software</v>
      </c>
      <c r="X907" s="6" t="str">
        <v>Computer Consulting Services;Communication/Network Software</v>
      </c>
      <c r="Y907" s="6" t="str">
        <v>Computer Consulting Services;Communication/Network Software</v>
      </c>
      <c r="Z907" s="6" t="str">
        <v>Communication/Network Software;Computer Consulting Services</v>
      </c>
      <c r="AA907" s="6" t="str">
        <v>Internet Services &amp; Software</v>
      </c>
      <c r="AB907" s="6" t="str">
        <v>Internet Services &amp; Software</v>
      </c>
    </row>
    <row r="908">
      <c r="A908" s="6" t="str">
        <v>037833</v>
      </c>
      <c r="B908" s="6" t="str">
        <v>United States</v>
      </c>
      <c r="C908" s="6" t="str">
        <v>Apple Inc</v>
      </c>
      <c r="D908" s="6" t="str">
        <v>Apple Inc</v>
      </c>
      <c r="F908" s="6" t="str">
        <v>United States</v>
      </c>
      <c r="G908" s="6" t="str">
        <v>Apple Inc</v>
      </c>
      <c r="H908" s="6" t="str">
        <v>Computer and Office Equipment</v>
      </c>
      <c r="I908" s="6" t="str">
        <v>037833</v>
      </c>
      <c r="J908" s="6" t="str">
        <v>Apple Inc</v>
      </c>
      <c r="K908" s="6" t="str">
        <v>Apple Inc</v>
      </c>
      <c r="L908" s="7">
        <f>=DATE(2016,5,31)</f>
        <v>42520.99949074074</v>
      </c>
      <c r="M908" s="7">
        <f>=DATE(2016,5,31)</f>
        <v>42520.99949074074</v>
      </c>
      <c r="N908" s="8">
        <v>6000</v>
      </c>
      <c r="O908" s="8">
        <v>6000</v>
      </c>
      <c r="P908" s="8" t="str">
        <v>559,404.36</v>
      </c>
      <c r="R908" s="8">
        <v>50678</v>
      </c>
      <c r="S908" s="8">
        <v>227535</v>
      </c>
      <c r="T908" s="8">
        <v>-13614</v>
      </c>
      <c r="U908" s="8">
        <v>-46888</v>
      </c>
      <c r="V908" s="8">
        <v>67527</v>
      </c>
      <c r="W908" s="6" t="str">
        <v>Monitors/Terminals;Other Software (inq. Games);Micro-Computers (PCs);Mainframes &amp; Super Computers;Other Peripherals;Portable Computers;Printers;Disk Drives</v>
      </c>
      <c r="X908" s="6" t="str">
        <v>Other Software (inq. Games);Printers;Monitors/Terminals;Micro-Computers (PCs);Portable Computers;Disk Drives;Other Peripherals;Mainframes &amp; Super Computers</v>
      </c>
      <c r="Y908" s="6" t="str">
        <v>Other Software (inq. Games);Printers;Mainframes &amp; Super Computers;Micro-Computers (PCs);Disk Drives;Monitors/Terminals;Other Peripherals;Portable Computers</v>
      </c>
      <c r="Z908" s="6" t="str">
        <v>Disk Drives;Monitors/Terminals;Other Peripherals;Printers;Other Software (inq. Games);Mainframes &amp; Super Computers;Micro-Computers (PCs);Portable Computers</v>
      </c>
      <c r="AA908" s="6" t="str">
        <v>Printers;Micro-Computers (PCs);Monitors/Terminals;Other Software (inq. Games);Mainframes &amp; Super Computers;Other Peripherals;Portable Computers;Disk Drives</v>
      </c>
      <c r="AB908" s="6" t="str">
        <v>Other Software (inq. Games);Disk Drives;Micro-Computers (PCs);Portable Computers;Printers;Monitors/Terminals;Mainframes &amp; Super Computers;Other Peripherals</v>
      </c>
      <c r="AC908" s="8">
        <v>6000</v>
      </c>
      <c r="AD908" s="7">
        <f>=DATE(2016,5,31)</f>
        <v>42520.99949074074</v>
      </c>
      <c r="AF908" s="8" t="str">
        <v>559,404.36</v>
      </c>
      <c r="AG908" s="8" t="str">
        <v>559,404.36</v>
      </c>
      <c r="AH908" s="8" t="str">
        <v>534,815.36</v>
      </c>
      <c r="AI908" s="8" t="str">
        <v>534,815.36</v>
      </c>
      <c r="AJ908" s="8" t="str">
        <v>6,000.00</v>
      </c>
      <c r="AK908" s="6" t="str">
        <v>US Dollar</v>
      </c>
      <c r="AL908" s="8">
        <v>6000</v>
      </c>
    </row>
    <row r="909">
      <c r="A909" s="6" t="str">
        <v>73959W</v>
      </c>
      <c r="B909" s="6" t="str">
        <v>United States</v>
      </c>
      <c r="C909" s="6" t="str">
        <v>PowerSchool Group LLC</v>
      </c>
      <c r="D909" s="6" t="str">
        <v>PowerSchool Holdings Inc</v>
      </c>
      <c r="F909" s="6" t="str">
        <v>United States</v>
      </c>
      <c r="G909" s="6" t="str">
        <v>Haiku Learning Systems Inc</v>
      </c>
      <c r="H909" s="6" t="str">
        <v>Prepackaged Software</v>
      </c>
      <c r="I909" s="6" t="str">
        <v>6E8421</v>
      </c>
      <c r="J909" s="6" t="str">
        <v>Haiku Learning Systems Inc</v>
      </c>
      <c r="K909" s="6" t="str">
        <v>Haiku Learning Systems Inc</v>
      </c>
      <c r="L909" s="7">
        <f>=DATE(2016,6,6)</f>
        <v>42526.99949074074</v>
      </c>
      <c r="M909" s="7">
        <f>=DATE(2016,6,6)</f>
        <v>42526.99949074074</v>
      </c>
      <c r="W909" s="6" t="str">
        <v>Other Software (inq. Games)</v>
      </c>
      <c r="X909" s="6" t="str">
        <v>Communication/Network Software</v>
      </c>
      <c r="Y909" s="6" t="str">
        <v>Communication/Network Software</v>
      </c>
      <c r="Z909" s="6" t="str">
        <v>Communication/Network Software</v>
      </c>
      <c r="AA909" s="6" t="str">
        <v>Desktop Publishing;Communication/Network Software;Applications Software(Business;Primary Business not Hi-Tech;Internet Services &amp; Software;Other Software (inq. Games);Utilities/File Mgmt Software;Applications Software(Home)</v>
      </c>
      <c r="AB909" s="6" t="str">
        <v>Applications Software(Business;Applications Software(Home);Desktop Publishing;Primary Business not Hi-Tech;Utilities/File Mgmt Software;Other Software (inq. Games);Communication/Network Software;Internet Services &amp; Software</v>
      </c>
    </row>
    <row r="910">
      <c r="A910" s="6" t="str">
        <v>594918</v>
      </c>
      <c r="B910" s="6" t="str">
        <v>United States</v>
      </c>
      <c r="C910" s="6" t="str">
        <v>Microsoft Corp</v>
      </c>
      <c r="D910" s="6" t="str">
        <v>Microsoft Corp</v>
      </c>
      <c r="F910" s="6" t="str">
        <v>United States</v>
      </c>
      <c r="G910" s="6" t="str">
        <v>LinkedIn Corp</v>
      </c>
      <c r="H910" s="6" t="str">
        <v>Business Services</v>
      </c>
      <c r="I910" s="6" t="str">
        <v>53578A</v>
      </c>
      <c r="J910" s="6" t="str">
        <v>LinkedIn Corp</v>
      </c>
      <c r="K910" s="6" t="str">
        <v>LinkedIn Corp</v>
      </c>
      <c r="L910" s="7">
        <f>=DATE(2016,6,13)</f>
        <v>42533.99949074074</v>
      </c>
      <c r="M910" s="7">
        <f>=DATE(2016,12,8)</f>
        <v>42711.99949074074</v>
      </c>
      <c r="N910" s="8">
        <v>26638.847</v>
      </c>
      <c r="O910" s="8">
        <v>26638.847</v>
      </c>
      <c r="P910" s="8" t="str">
        <v>24,420.47</v>
      </c>
      <c r="R910" s="8">
        <v>-167.638</v>
      </c>
      <c r="S910" s="8">
        <v>3213.874</v>
      </c>
      <c r="T910" s="8">
        <v>51.2</v>
      </c>
      <c r="U910" s="8">
        <v>-1204.8</v>
      </c>
      <c r="V910" s="8">
        <v>894.03</v>
      </c>
      <c r="W910" s="6" t="str">
        <v>Internet Services &amp; Software;Operating Systems;Applications Software(Business;Computer Consulting Services;Monitors/Terminals;Other Peripherals</v>
      </c>
      <c r="X910" s="6" t="str">
        <v>Internet Services &amp; Software</v>
      </c>
      <c r="Y910" s="6" t="str">
        <v>Internet Services &amp; Software</v>
      </c>
      <c r="Z910" s="6" t="str">
        <v>Internet Services &amp; Software</v>
      </c>
      <c r="AA910" s="6" t="str">
        <v>Internet Services &amp; Software;Other Peripherals;Computer Consulting Services;Operating Systems;Applications Software(Business;Monitors/Terminals</v>
      </c>
      <c r="AB910" s="6" t="str">
        <v>Internet Services &amp; Software;Other Peripherals;Applications Software(Business;Operating Systems;Monitors/Terminals;Computer Consulting Services</v>
      </c>
      <c r="AC910" s="8">
        <v>26638.847</v>
      </c>
      <c r="AD910" s="7">
        <f>=DATE(2016,6,13)</f>
        <v>42533.99949074074</v>
      </c>
      <c r="AE910" s="8">
        <v>26895.878912</v>
      </c>
      <c r="AF910" s="8" t="str">
        <v>24,617.47</v>
      </c>
      <c r="AG910" s="8" t="str">
        <v>24,393.15</v>
      </c>
      <c r="AH910" s="8" t="str">
        <v>26,414.52</v>
      </c>
      <c r="AI910" s="8" t="str">
        <v>26,638.85</v>
      </c>
      <c r="AJ910" s="8" t="str">
        <v>;239.79</v>
      </c>
      <c r="AK910" s="6" t="str">
        <v>US Dollar;US Dollar;US Dollar</v>
      </c>
      <c r="AL910" s="8">
        <v>26638.847</v>
      </c>
    </row>
    <row r="911">
      <c r="A911" s="6" t="str">
        <v>594918</v>
      </c>
      <c r="B911" s="6" t="str">
        <v>United States</v>
      </c>
      <c r="C911" s="6" t="str">
        <v>Microsoft Corp</v>
      </c>
      <c r="D911" s="6" t="str">
        <v>Microsoft Corp</v>
      </c>
      <c r="F911" s="6" t="str">
        <v>United States</v>
      </c>
      <c r="G911" s="6" t="str">
        <v>Wand Labs Inc</v>
      </c>
      <c r="H911" s="6" t="str">
        <v>Business Services</v>
      </c>
      <c r="I911" s="6" t="str">
        <v>6E6694</v>
      </c>
      <c r="J911" s="6" t="str">
        <v>Wand Labs Inc</v>
      </c>
      <c r="K911" s="6" t="str">
        <v>Wand Labs Inc</v>
      </c>
      <c r="L911" s="7">
        <f>=DATE(2016,6,16)</f>
        <v>42536.99949074074</v>
      </c>
      <c r="W911" s="6" t="str">
        <v>Other Peripherals;Applications Software(Business;Operating Systems;Internet Services &amp; Software;Monitors/Terminals;Computer Consulting Services</v>
      </c>
      <c r="X911" s="6" t="str">
        <v>Programming Services;Other Computer Related Svcs;Computer Consulting Services</v>
      </c>
      <c r="Y911" s="6" t="str">
        <v>Other Computer Related Svcs;Computer Consulting Services;Programming Services</v>
      </c>
      <c r="Z911" s="6" t="str">
        <v>Computer Consulting Services;Programming Services;Other Computer Related Svcs</v>
      </c>
      <c r="AA911" s="6" t="str">
        <v>Operating Systems;Computer Consulting Services;Monitors/Terminals;Other Peripherals;Applications Software(Business;Internet Services &amp; Software</v>
      </c>
      <c r="AB911" s="6" t="str">
        <v>Operating Systems;Other Peripherals;Computer Consulting Services;Internet Services &amp; Software;Applications Software(Business;Monitors/Terminals</v>
      </c>
    </row>
    <row r="912">
      <c r="A912" s="6" t="str">
        <v>6E8666</v>
      </c>
      <c r="B912" s="6" t="str">
        <v>United States</v>
      </c>
      <c r="C912" s="6" t="str">
        <v>Google Fiber Inc</v>
      </c>
      <c r="D912" s="6" t="str">
        <v>Alphabet Inc</v>
      </c>
      <c r="F912" s="6" t="str">
        <v>United States</v>
      </c>
      <c r="G912" s="6" t="str">
        <v>Webpass Inc</v>
      </c>
      <c r="H912" s="6" t="str">
        <v>Telecommunications</v>
      </c>
      <c r="I912" s="6" t="str">
        <v>6E8669</v>
      </c>
      <c r="J912" s="6" t="str">
        <v>Webpass Inc</v>
      </c>
      <c r="K912" s="6" t="str">
        <v>Webpass Inc</v>
      </c>
      <c r="L912" s="7">
        <f>=DATE(2016,6,22)</f>
        <v>42542.99949074074</v>
      </c>
      <c r="M912" s="7">
        <f>=DATE(2016,10,3)</f>
        <v>42645.99949074074</v>
      </c>
      <c r="W912" s="6" t="str">
        <v>Telecommunications Equipment</v>
      </c>
      <c r="X912" s="6" t="str">
        <v>Telecommunications Equipment</v>
      </c>
      <c r="Y912" s="6" t="str">
        <v>Telecommunications Equipment</v>
      </c>
      <c r="Z912" s="6" t="str">
        <v>Telecommunications Equipment</v>
      </c>
      <c r="AA912" s="6" t="str">
        <v>Internet Services &amp; Software;Programming Services</v>
      </c>
      <c r="AB912" s="6" t="str">
        <v>Computer Consulting Services;Telecommunications Equipment;Primary Business not Hi-Tech;Programming Services;Internet Services &amp; Software</v>
      </c>
    </row>
    <row r="913">
      <c r="A913" s="6" t="str">
        <v>037833</v>
      </c>
      <c r="B913" s="6" t="str">
        <v>United States</v>
      </c>
      <c r="C913" s="6" t="str">
        <v>Apple Inc</v>
      </c>
      <c r="D913" s="6" t="str">
        <v>Apple Inc</v>
      </c>
      <c r="F913" s="6" t="str">
        <v>Sweden</v>
      </c>
      <c r="G913" s="6" t="str">
        <v>Aspiro AB</v>
      </c>
      <c r="H913" s="6" t="str">
        <v>Business Services</v>
      </c>
      <c r="I913" s="6" t="str">
        <v>04555R</v>
      </c>
      <c r="J913" s="6" t="str">
        <v>S Carter Enterprises LLC</v>
      </c>
      <c r="K913" s="6" t="str">
        <v>Project Panther Bidco Ltd</v>
      </c>
      <c r="L913" s="7">
        <f>=DATE(2016,6,30)</f>
        <v>42550.99949074074</v>
      </c>
      <c r="R913" s="8">
        <v>-21.2122189829805</v>
      </c>
      <c r="S913" s="8">
        <v>0.691955797794499</v>
      </c>
      <c r="W913" s="6" t="str">
        <v>Disk Drives;Other Software (inq. Games);Monitors/Terminals;Micro-Computers (PCs);Mainframes &amp; Super Computers;Printers;Portable Computers;Other Peripherals</v>
      </c>
      <c r="X913" s="6" t="str">
        <v>Data Processing Services;Other Computer Related Svcs;Internet Services &amp; Software</v>
      </c>
      <c r="Y913" s="6" t="str">
        <v>Primary Business not Hi-Tech</v>
      </c>
      <c r="Z913" s="6" t="str">
        <v>Primary Business not Hi-Tech</v>
      </c>
      <c r="AA913" s="6" t="str">
        <v>Portable Computers;Monitors/Terminals;Micro-Computers (PCs);Disk Drives;Other Software (inq. Games);Other Peripherals;Printers;Mainframes &amp; Super Computers</v>
      </c>
      <c r="AB913" s="6" t="str">
        <v>Mainframes &amp; Super Computers;Monitors/Terminals;Printers;Micro-Computers (PCs);Disk Drives;Other Software (inq. Games);Other Peripherals;Portable Computers</v>
      </c>
    </row>
    <row r="914">
      <c r="A914" s="6" t="str">
        <v>38259P</v>
      </c>
      <c r="B914" s="6" t="str">
        <v>United States</v>
      </c>
      <c r="C914" s="6" t="str">
        <v>Google Inc</v>
      </c>
      <c r="D914" s="6" t="str">
        <v>Alphabet Inc</v>
      </c>
      <c r="F914" s="6" t="str">
        <v>United States</v>
      </c>
      <c r="G914" s="6" t="str">
        <v>Anvato Inc</v>
      </c>
      <c r="H914" s="6" t="str">
        <v>Prepackaged Software</v>
      </c>
      <c r="I914" s="6" t="str">
        <v>7E3034</v>
      </c>
      <c r="J914" s="6" t="str">
        <v>Anvato Inc</v>
      </c>
      <c r="K914" s="6" t="str">
        <v>Anvato Inc</v>
      </c>
      <c r="L914" s="7">
        <f>=DATE(2016,7,8)</f>
        <v>42558.99949074074</v>
      </c>
      <c r="M914" s="7">
        <f>=DATE(2016,7,8)</f>
        <v>42558.99949074074</v>
      </c>
      <c r="W914" s="6" t="str">
        <v>Internet Services &amp; Software;Programming Services</v>
      </c>
      <c r="X914" s="6" t="str">
        <v>Communication/Network Software;Primary Business not Hi-Tech</v>
      </c>
      <c r="Y914" s="6" t="str">
        <v>Primary Business not Hi-Tech;Communication/Network Software</v>
      </c>
      <c r="Z914" s="6" t="str">
        <v>Communication/Network Software;Primary Business not Hi-Tech</v>
      </c>
      <c r="AA914" s="6" t="str">
        <v>Primary Business not Hi-Tech;Telecommunications Equipment;Programming Services;Internet Services &amp; Software;Computer Consulting Services</v>
      </c>
      <c r="AB914" s="6" t="str">
        <v>Primary Business not Hi-Tech;Programming Services;Computer Consulting Services;Internet Services &amp; Software;Telecommunications Equipment</v>
      </c>
    </row>
    <row r="915">
      <c r="A915" s="6" t="str">
        <v>38259P</v>
      </c>
      <c r="B915" s="6" t="str">
        <v>United States</v>
      </c>
      <c r="C915" s="6" t="str">
        <v>Google Inc</v>
      </c>
      <c r="D915" s="6" t="str">
        <v>Alphabet Inc</v>
      </c>
      <c r="F915" s="6" t="str">
        <v>United States</v>
      </c>
      <c r="G915" s="6" t="str">
        <v>FortyTwo Inc</v>
      </c>
      <c r="H915" s="6" t="str">
        <v>Prepackaged Software</v>
      </c>
      <c r="I915" s="6" t="str">
        <v>9E1083</v>
      </c>
      <c r="J915" s="6" t="str">
        <v>FortyTwo Inc</v>
      </c>
      <c r="K915" s="6" t="str">
        <v>FortyTwo Inc</v>
      </c>
      <c r="L915" s="7">
        <f>=DATE(2016,7,12)</f>
        <v>42562.99949074074</v>
      </c>
      <c r="M915" s="7">
        <f>=DATE(2016,7,12)</f>
        <v>42562.99949074074</v>
      </c>
      <c r="W915" s="6" t="str">
        <v>Programming Services;Internet Services &amp; Software</v>
      </c>
      <c r="X915" s="6" t="str">
        <v>Programming Services;Communication/Network Software</v>
      </c>
      <c r="Y915" s="6" t="str">
        <v>Programming Services;Communication/Network Software</v>
      </c>
      <c r="Z915" s="6" t="str">
        <v>Communication/Network Software;Programming Services</v>
      </c>
      <c r="AA915" s="6" t="str">
        <v>Computer Consulting Services;Telecommunications Equipment;Programming Services;Internet Services &amp; Software;Primary Business not Hi-Tech</v>
      </c>
      <c r="AB915" s="6" t="str">
        <v>Internet Services &amp; Software;Telecommunications Equipment;Primary Business not Hi-Tech;Computer Consulting Services;Programming Services</v>
      </c>
    </row>
    <row r="916">
      <c r="A916" s="6" t="str">
        <v>023135</v>
      </c>
      <c r="B916" s="6" t="str">
        <v>United States</v>
      </c>
      <c r="C916" s="6" t="str">
        <v>Amazon.com Inc</v>
      </c>
      <c r="D916" s="6" t="str">
        <v>Amazon.com Inc</v>
      </c>
      <c r="F916" s="6" t="str">
        <v>United States</v>
      </c>
      <c r="G916" s="6" t="str">
        <v>Cloud9 IDE Inc</v>
      </c>
      <c r="H916" s="6" t="str">
        <v>Prepackaged Software</v>
      </c>
      <c r="I916" s="6" t="str">
        <v>9E0142</v>
      </c>
      <c r="J916" s="6" t="str">
        <v>Cloud9 IDE Inc</v>
      </c>
      <c r="K916" s="6" t="str">
        <v>Cloud9 IDE Inc</v>
      </c>
      <c r="L916" s="7">
        <f>=DATE(2016,7,14)</f>
        <v>42564.99949074074</v>
      </c>
      <c r="M916" s="7">
        <f>=DATE(2016,7,14)</f>
        <v>42564.99949074074</v>
      </c>
      <c r="W916" s="6" t="str">
        <v>Primary Business not Hi-Tech</v>
      </c>
      <c r="X916" s="6" t="str">
        <v>Programming Services;Communication/Network Software</v>
      </c>
      <c r="Y916" s="6" t="str">
        <v>Programming Services;Communication/Network Software</v>
      </c>
      <c r="Z916" s="6" t="str">
        <v>Communication/Network Software;Programming Services</v>
      </c>
      <c r="AA916" s="6" t="str">
        <v>Primary Business not Hi-Tech</v>
      </c>
      <c r="AB916" s="6" t="str">
        <v>Primary Business not Hi-Tech</v>
      </c>
    </row>
    <row r="917">
      <c r="A917" s="6" t="str">
        <v>67020Y</v>
      </c>
      <c r="B917" s="6" t="str">
        <v>United States</v>
      </c>
      <c r="C917" s="6" t="str">
        <v>Nuance Communications Inc</v>
      </c>
      <c r="D917" s="6" t="str">
        <v>Nuance Communications Inc</v>
      </c>
      <c r="F917" s="6" t="str">
        <v>United States</v>
      </c>
      <c r="G917" s="6" t="str">
        <v>TouchCommerce Inc</v>
      </c>
      <c r="H917" s="6" t="str">
        <v>Prepackaged Software</v>
      </c>
      <c r="I917" s="6" t="str">
        <v>7E5310</v>
      </c>
      <c r="J917" s="6" t="str">
        <v>TouchCommerce Inc</v>
      </c>
      <c r="K917" s="6" t="str">
        <v>TouchCommerce Inc</v>
      </c>
      <c r="L917" s="7">
        <f>=DATE(2016,7,20)</f>
        <v>42570.99949074074</v>
      </c>
      <c r="M917" s="7">
        <f>=DATE(2016,8,16)</f>
        <v>42597.99949074074</v>
      </c>
      <c r="N917" s="8">
        <v>215</v>
      </c>
      <c r="O917" s="8">
        <v>215</v>
      </c>
      <c r="S917" s="8">
        <v>12.138</v>
      </c>
      <c r="W917" s="6" t="str">
        <v>Computer Consulting Services;Internet Services &amp; Software;Database Software/Programming;Desktop Publishing;Utilities/File Mgmt Software;Applications Software(Business;Primary Business not Hi-Tech;Other Software (inq. Games);Programming Services;Networking Systems (LAN,WAN);Applications Software(Home);Other Computer Related Svcs;Communication/Network Software</v>
      </c>
      <c r="X917" s="6" t="str">
        <v>Internet Services &amp; Software;Communication/Network Software</v>
      </c>
      <c r="Y917" s="6" t="str">
        <v>Internet Services &amp; Software;Communication/Network Software</v>
      </c>
      <c r="Z917" s="6" t="str">
        <v>Communication/Network Software;Internet Services &amp; Software</v>
      </c>
      <c r="AA917" s="6" t="str">
        <v>Programming Services;Desktop Publishing;Internet Services &amp; Software;Computer Consulting Services;Applications Software(Home);Other Computer Related Svcs;Primary Business not Hi-Tech;Networking Systems (LAN,WAN);Utilities/File Mgmt Software;Other Software (inq. Games);Communication/Network Software;Database Software/Programming;Applications Software(Business</v>
      </c>
      <c r="AB917" s="6" t="str">
        <v>Other Software (inq. Games);Applications Software(Business;Desktop Publishing;Internet Services &amp; Software;Utilities/File Mgmt Software;Communication/Network Software;Programming Services;Database Software/Programming;Networking Systems (LAN,WAN);Applications Software(Home);Primary Business not Hi-Tech;Other Computer Related Svcs;Computer Consulting Services</v>
      </c>
      <c r="AC917" s="8">
        <v>215</v>
      </c>
      <c r="AD917" s="7">
        <f>=DATE(2016,7,20)</f>
        <v>42570.99949074074</v>
      </c>
      <c r="AJ917" s="8" t="str">
        <v>215.00;110.00;105.00</v>
      </c>
      <c r="AK917" s="6" t="str">
        <v>US Dollar;US Dollar;US Dollar</v>
      </c>
      <c r="AL917" s="8">
        <v>215</v>
      </c>
    </row>
    <row r="918">
      <c r="A918" s="6" t="str">
        <v>53578A</v>
      </c>
      <c r="B918" s="6" t="str">
        <v>United States</v>
      </c>
      <c r="C918" s="6" t="str">
        <v>LinkedIn Corp</v>
      </c>
      <c r="D918" s="6" t="str">
        <v>LinkedIn Corp</v>
      </c>
      <c r="F918" s="6" t="str">
        <v>United States</v>
      </c>
      <c r="G918" s="6" t="str">
        <v>PointDrive Holdings LLC</v>
      </c>
      <c r="H918" s="6" t="str">
        <v>Prepackaged Software</v>
      </c>
      <c r="I918" s="6" t="str">
        <v>8E2769</v>
      </c>
      <c r="J918" s="6" t="str">
        <v>PointDrive Holdings LLC</v>
      </c>
      <c r="K918" s="6" t="str">
        <v>PointDrive Holdings LLC</v>
      </c>
      <c r="L918" s="7">
        <f>=DATE(2016,7,22)</f>
        <v>42572.99949074074</v>
      </c>
      <c r="M918" s="7">
        <f>=DATE(2016,7,22)</f>
        <v>42572.99949074074</v>
      </c>
      <c r="W918" s="6" t="str">
        <v>Internet Services &amp; Software</v>
      </c>
      <c r="X918" s="6" t="str">
        <v>Other Software (inq. Games)</v>
      </c>
      <c r="Y918" s="6" t="str">
        <v>Other Software (inq. Games)</v>
      </c>
      <c r="Z918" s="6" t="str">
        <v>Other Software (inq. Games)</v>
      </c>
      <c r="AA918" s="6" t="str">
        <v>Internet Services &amp; Software</v>
      </c>
      <c r="AB918" s="6" t="str">
        <v>Internet Services &amp; Software</v>
      </c>
    </row>
    <row r="919">
      <c r="A919" s="6" t="str">
        <v>037833</v>
      </c>
      <c r="B919" s="6" t="str">
        <v>United States</v>
      </c>
      <c r="C919" s="6" t="str">
        <v>Apple Inc</v>
      </c>
      <c r="D919" s="6" t="str">
        <v>Apple Inc</v>
      </c>
      <c r="F919" s="6" t="str">
        <v>United States</v>
      </c>
      <c r="G919" s="6" t="str">
        <v>Booklamp</v>
      </c>
      <c r="H919" s="6" t="str">
        <v>Prepackaged Software</v>
      </c>
      <c r="I919" s="6" t="str">
        <v>0L2663</v>
      </c>
      <c r="J919" s="6" t="str">
        <v>Booklamp</v>
      </c>
      <c r="K919" s="6" t="str">
        <v>Booklamp</v>
      </c>
      <c r="L919" s="7">
        <f>=DATE(2016,7,26)</f>
        <v>42576.99949074074</v>
      </c>
      <c r="M919" s="7">
        <f>=DATE(2016,7,26)</f>
        <v>42576.99949074074</v>
      </c>
      <c r="W919" s="6" t="str">
        <v>Portable Computers;Other Software (inq. Games);Disk Drives;Mainframes &amp; Super Computers;Printers;Micro-Computers (PCs);Monitors/Terminals;Other Peripherals</v>
      </c>
      <c r="X919" s="6" t="str">
        <v>Other Software (inq. Games);Internet Services &amp; Software;Communication/Network Software;Utilities/File Mgmt Software;Applications Software(Business;Applications Software(Home);Desktop Publishing</v>
      </c>
      <c r="Y919" s="6" t="str">
        <v>Utilities/File Mgmt Software;Applications Software(Business;Communication/Network Software;Applications Software(Home);Desktop Publishing;Other Software (inq. Games);Internet Services &amp; Software</v>
      </c>
      <c r="Z919" s="6" t="str">
        <v>Desktop Publishing;Internet Services &amp; Software;Communication/Network Software;Applications Software(Business;Utilities/File Mgmt Software;Applications Software(Home);Other Software (inq. Games)</v>
      </c>
      <c r="AA919" s="6" t="str">
        <v>Printers;Monitors/Terminals;Portable Computers;Micro-Computers (PCs);Other Peripherals;Disk Drives;Mainframes &amp; Super Computers;Other Software (inq. Games)</v>
      </c>
      <c r="AB919" s="6" t="str">
        <v>Disk Drives;Printers;Other Software (inq. Games);Other Peripherals;Portable Computers;Mainframes &amp; Super Computers;Micro-Computers (PCs);Monitors/Terminals</v>
      </c>
    </row>
    <row r="920">
      <c r="A920" s="6" t="str">
        <v>037833</v>
      </c>
      <c r="B920" s="6" t="str">
        <v>United States</v>
      </c>
      <c r="C920" s="6" t="str">
        <v>Apple Inc</v>
      </c>
      <c r="D920" s="6" t="str">
        <v>Apple Inc</v>
      </c>
      <c r="F920" s="6" t="str">
        <v>United States</v>
      </c>
      <c r="G920" s="6" t="str">
        <v>Apple Inc</v>
      </c>
      <c r="H920" s="6" t="str">
        <v>Computer and Office Equipment</v>
      </c>
      <c r="I920" s="6" t="str">
        <v>037833</v>
      </c>
      <c r="J920" s="6" t="str">
        <v>Apple Inc</v>
      </c>
      <c r="K920" s="6" t="str">
        <v>Apple Inc</v>
      </c>
      <c r="L920" s="7">
        <f>=DATE(2016,8,1)</f>
        <v>42582.99949074074</v>
      </c>
      <c r="M920" s="7">
        <f>=DATE(2016,11,1)</f>
        <v>42674.99949074074</v>
      </c>
      <c r="N920" s="8">
        <v>3000</v>
      </c>
      <c r="O920" s="8">
        <v>3000</v>
      </c>
      <c r="P920" s="8" t="str">
        <v>625,239.67</v>
      </c>
      <c r="R920" s="8">
        <v>47797</v>
      </c>
      <c r="S920" s="8">
        <v>220288</v>
      </c>
      <c r="T920" s="8">
        <v>-20300</v>
      </c>
      <c r="U920" s="8">
        <v>-39955</v>
      </c>
      <c r="V920" s="8">
        <v>63173</v>
      </c>
      <c r="W920" s="6" t="str">
        <v>Disk Drives;Monitors/Terminals;Printers;Other Peripherals;Other Software (inq. Games);Micro-Computers (PCs);Portable Computers;Mainframes &amp; Super Computers</v>
      </c>
      <c r="X920" s="6" t="str">
        <v>Printers;Micro-Computers (PCs);Disk Drives;Other Peripherals;Monitors/Terminals;Portable Computers;Other Software (inq. Games);Mainframes &amp; Super Computers</v>
      </c>
      <c r="Y920" s="6" t="str">
        <v>Printers;Mainframes &amp; Super Computers;Other Peripherals;Other Software (inq. Games);Disk Drives;Micro-Computers (PCs);Monitors/Terminals;Portable Computers</v>
      </c>
      <c r="Z920" s="6" t="str">
        <v>Disk Drives;Printers;Other Software (inq. Games);Mainframes &amp; Super Computers;Other Peripherals;Portable Computers;Monitors/Terminals;Micro-Computers (PCs)</v>
      </c>
      <c r="AA920" s="6" t="str">
        <v>Micro-Computers (PCs);Portable Computers;Mainframes &amp; Super Computers;Monitors/Terminals;Other Software (inq. Games);Disk Drives;Printers;Other Peripherals</v>
      </c>
      <c r="AB920" s="6" t="str">
        <v>Monitors/Terminals;Other Peripherals;Other Software (inq. Games);Printers;Portable Computers;Mainframes &amp; Super Computers;Disk Drives;Micro-Computers (PCs)</v>
      </c>
      <c r="AC920" s="8">
        <v>3000</v>
      </c>
      <c r="AD920" s="7">
        <f>=DATE(2016,8,1)</f>
        <v>42582.99949074074</v>
      </c>
      <c r="AF920" s="8" t="str">
        <v>625,239.67</v>
      </c>
      <c r="AG920" s="8" t="str">
        <v>625,239.67</v>
      </c>
      <c r="AH920" s="8" t="str">
        <v>602,060.67</v>
      </c>
      <c r="AI920" s="8" t="str">
        <v>602,060.67</v>
      </c>
      <c r="AJ920" s="8" t="str">
        <v>3,000.00</v>
      </c>
      <c r="AK920" s="6" t="str">
        <v>US Dollar</v>
      </c>
      <c r="AL920" s="8">
        <v>3000</v>
      </c>
    </row>
    <row r="921">
      <c r="A921" s="6" t="str">
        <v>67020Y</v>
      </c>
      <c r="B921" s="6" t="str">
        <v>United States</v>
      </c>
      <c r="C921" s="6" t="str">
        <v>Nuance Communications Inc</v>
      </c>
      <c r="D921" s="6" t="str">
        <v>Nuance Communications Inc</v>
      </c>
      <c r="F921" s="6" t="str">
        <v>United States</v>
      </c>
      <c r="G921" s="6" t="str">
        <v>Montage Healthcare Solutions Inc</v>
      </c>
      <c r="H921" s="6" t="str">
        <v>Prepackaged Software</v>
      </c>
      <c r="I921" s="6" t="str">
        <v>60616V</v>
      </c>
      <c r="J921" s="6" t="str">
        <v>Montage Healthcare Solutions Inc</v>
      </c>
      <c r="K921" s="6" t="str">
        <v>Montage Healthcare Solutions Inc</v>
      </c>
      <c r="L921" s="7">
        <f>=DATE(2016,8,3)</f>
        <v>42584.99949074074</v>
      </c>
      <c r="M921" s="7">
        <f>=DATE(2016,8,3)</f>
        <v>42584.99949074074</v>
      </c>
      <c r="W921" s="6" t="str">
        <v>Applications Software(Business;Utilities/File Mgmt Software;Desktop Publishing;Communication/Network Software;Database Software/Programming;Other Software (inq. Games);Primary Business not Hi-Tech;Other Computer Related Svcs;Applications Software(Home);Internet Services &amp; Software;Networking Systems (LAN,WAN);Programming Services;Computer Consulting Services</v>
      </c>
      <c r="X921" s="6" t="str">
        <v>Internet Services &amp; Software</v>
      </c>
      <c r="Y921" s="6" t="str">
        <v>Internet Services &amp; Software</v>
      </c>
      <c r="Z921" s="6" t="str">
        <v>Internet Services &amp; Software</v>
      </c>
      <c r="AA921" s="6" t="str">
        <v>Other Computer Related Svcs;Utilities/File Mgmt Software;Communication/Network Software;Applications Software(Business;Desktop Publishing;Other Software (inq. Games);Programming Services;Internet Services &amp; Software;Database Software/Programming;Applications Software(Home);Networking Systems (LAN,WAN);Computer Consulting Services;Primary Business not Hi-Tech</v>
      </c>
      <c r="AB921" s="6" t="str">
        <v>Communication/Network Software;Primary Business not Hi-Tech;Desktop Publishing;Applications Software(Business;Other Software (inq. Games);Utilities/File Mgmt Software;Networking Systems (LAN,WAN);Internet Services &amp; Software;Computer Consulting Services;Database Software/Programming;Other Computer Related Svcs;Applications Software(Home);Programming Services</v>
      </c>
    </row>
    <row r="922">
      <c r="A922" s="6" t="str">
        <v>037833</v>
      </c>
      <c r="B922" s="6" t="str">
        <v>United States</v>
      </c>
      <c r="C922" s="6" t="str">
        <v>Apple Inc</v>
      </c>
      <c r="D922" s="6" t="str">
        <v>Apple Inc</v>
      </c>
      <c r="F922" s="6" t="str">
        <v>United States</v>
      </c>
      <c r="G922" s="6" t="str">
        <v>Turi</v>
      </c>
      <c r="H922" s="6" t="str">
        <v>Prepackaged Software</v>
      </c>
      <c r="I922" s="6" t="str">
        <v>7E9472</v>
      </c>
      <c r="J922" s="6" t="str">
        <v>Turi</v>
      </c>
      <c r="K922" s="6" t="str">
        <v>Turi</v>
      </c>
      <c r="L922" s="7">
        <f>=DATE(2016,8,8)</f>
        <v>42589.99949074074</v>
      </c>
      <c r="M922" s="7">
        <f>=DATE(2016,8,8)</f>
        <v>42589.99949074074</v>
      </c>
      <c r="W922" s="6" t="str">
        <v>Other Software (inq. Games);Monitors/Terminals;Disk Drives;Mainframes &amp; Super Computers;Micro-Computers (PCs);Printers;Portable Computers;Other Peripherals</v>
      </c>
      <c r="X922" s="6" t="str">
        <v>Other Software (inq. Games)</v>
      </c>
      <c r="Y922" s="6" t="str">
        <v>Other Software (inq. Games)</v>
      </c>
      <c r="Z922" s="6" t="str">
        <v>Other Software (inq. Games)</v>
      </c>
      <c r="AA922" s="6" t="str">
        <v>Other Software (inq. Games);Monitors/Terminals;Other Peripherals;Disk Drives;Micro-Computers (PCs);Printers;Portable Computers;Mainframes &amp; Super Computers</v>
      </c>
      <c r="AB922" s="6" t="str">
        <v>Monitors/Terminals;Printers;Other Peripherals;Micro-Computers (PCs);Other Software (inq. Games);Mainframes &amp; Super Computers;Portable Computers;Disk Drives</v>
      </c>
    </row>
    <row r="923">
      <c r="A923" s="6" t="str">
        <v>38259P</v>
      </c>
      <c r="B923" s="6" t="str">
        <v>United States</v>
      </c>
      <c r="C923" s="6" t="str">
        <v>Google Inc</v>
      </c>
      <c r="D923" s="6" t="str">
        <v>Alphabet Inc</v>
      </c>
      <c r="F923" s="6" t="str">
        <v>United States</v>
      </c>
      <c r="G923" s="6" t="str">
        <v>Orbitera Inc</v>
      </c>
      <c r="H923" s="6" t="str">
        <v>Business Services</v>
      </c>
      <c r="I923" s="6" t="str">
        <v>8E2750</v>
      </c>
      <c r="J923" s="6" t="str">
        <v>Orbitera Inc</v>
      </c>
      <c r="K923" s="6" t="str">
        <v>Orbitera Inc</v>
      </c>
      <c r="L923" s="7">
        <f>=DATE(2016,8,8)</f>
        <v>42589.99949074074</v>
      </c>
      <c r="M923" s="7">
        <f>=DATE(2016,8,8)</f>
        <v>42589.99949074074</v>
      </c>
      <c r="W923" s="6" t="str">
        <v>Programming Services;Internet Services &amp; Software</v>
      </c>
      <c r="X923" s="6" t="str">
        <v>Internet Services &amp; Software</v>
      </c>
      <c r="Y923" s="6" t="str">
        <v>Internet Services &amp; Software</v>
      </c>
      <c r="Z923" s="6" t="str">
        <v>Internet Services &amp; Software</v>
      </c>
      <c r="AA923" s="6" t="str">
        <v>Computer Consulting Services;Programming Services;Primary Business not Hi-Tech;Telecommunications Equipment;Internet Services &amp; Software</v>
      </c>
      <c r="AB923" s="6" t="str">
        <v>Computer Consulting Services;Primary Business not Hi-Tech;Telecommunications Equipment;Programming Services;Internet Services &amp; Software</v>
      </c>
    </row>
    <row r="924">
      <c r="A924" s="6" t="str">
        <v>73959W</v>
      </c>
      <c r="B924" s="6" t="str">
        <v>United States</v>
      </c>
      <c r="C924" s="6" t="str">
        <v>PowerSchool Group LLC</v>
      </c>
      <c r="D924" s="6" t="str">
        <v>PowerSchool Holdings Inc</v>
      </c>
      <c r="F924" s="6" t="str">
        <v>Canada</v>
      </c>
      <c r="G924" s="6" t="str">
        <v>SRB Education Solutions Inc</v>
      </c>
      <c r="H924" s="6" t="str">
        <v>Prepackaged Software</v>
      </c>
      <c r="I924" s="6" t="str">
        <v>78805Z</v>
      </c>
      <c r="J924" s="6" t="str">
        <v>SRB Education Solutions Inc</v>
      </c>
      <c r="K924" s="6" t="str">
        <v>SRB Education Solutions Inc</v>
      </c>
      <c r="L924" s="7">
        <f>=DATE(2016,8,9)</f>
        <v>42590.99949074074</v>
      </c>
      <c r="M924" s="7">
        <f>=DATE(2016,8,9)</f>
        <v>42590.99949074074</v>
      </c>
      <c r="S924" s="8">
        <v>18.3539273068863</v>
      </c>
      <c r="W924" s="6" t="str">
        <v>Other Software (inq. Games)</v>
      </c>
      <c r="X924" s="6" t="str">
        <v>Internet Services &amp; Software;Other Software (inq. Games);Communication/Network Software</v>
      </c>
      <c r="Y924" s="6" t="str">
        <v>Other Software (inq. Games);Internet Services &amp; Software;Communication/Network Software</v>
      </c>
      <c r="Z924" s="6" t="str">
        <v>Other Software (inq. Games);Communication/Network Software;Internet Services &amp; Software</v>
      </c>
      <c r="AA924" s="6" t="str">
        <v>Communication/Network Software;Desktop Publishing;Utilities/File Mgmt Software;Primary Business not Hi-Tech;Applications Software(Home);Applications Software(Business;Other Software (inq. Games);Internet Services &amp; Software</v>
      </c>
      <c r="AB924" s="6" t="str">
        <v>Utilities/File Mgmt Software;Internet Services &amp; Software;Applications Software(Business;Applications Software(Home);Primary Business not Hi-Tech;Desktop Publishing;Communication/Network Software;Other Software (inq. Games)</v>
      </c>
    </row>
    <row r="925">
      <c r="A925" s="6" t="str">
        <v>594918</v>
      </c>
      <c r="B925" s="6" t="str">
        <v>United States</v>
      </c>
      <c r="C925" s="6" t="str">
        <v>Microsoft Corp</v>
      </c>
      <c r="D925" s="6" t="str">
        <v>Microsoft Corp</v>
      </c>
      <c r="F925" s="6" t="str">
        <v>United States</v>
      </c>
      <c r="G925" s="6" t="str">
        <v>Beam</v>
      </c>
      <c r="H925" s="6" t="str">
        <v>Business Services</v>
      </c>
      <c r="I925" s="6" t="str">
        <v>7E9836</v>
      </c>
      <c r="J925" s="6" t="str">
        <v>Beam</v>
      </c>
      <c r="K925" s="6" t="str">
        <v>Beam</v>
      </c>
      <c r="L925" s="7">
        <f>=DATE(2016,8,12)</f>
        <v>42593.99949074074</v>
      </c>
      <c r="M925" s="7">
        <f>=DATE(2016,8,12)</f>
        <v>42593.99949074074</v>
      </c>
      <c r="W925" s="6" t="str">
        <v>Computer Consulting Services;Applications Software(Business;Operating Systems;Internet Services &amp; Software;Other Peripherals;Monitors/Terminals</v>
      </c>
      <c r="X925" s="6" t="str">
        <v>Applications Software(Business;Internet Services &amp; Software;Programming Services;Applications Software(Home)</v>
      </c>
      <c r="Y925" s="6" t="str">
        <v>Programming Services;Applications Software(Business;Applications Software(Home);Internet Services &amp; Software</v>
      </c>
      <c r="Z925" s="6" t="str">
        <v>Applications Software(Business;Applications Software(Home);Programming Services;Internet Services &amp; Software</v>
      </c>
      <c r="AA925" s="6" t="str">
        <v>Other Peripherals;Computer Consulting Services;Operating Systems;Internet Services &amp; Software;Monitors/Terminals;Applications Software(Business</v>
      </c>
      <c r="AB925" s="6" t="str">
        <v>Applications Software(Business;Monitors/Terminals;Internet Services &amp; Software;Other Peripherals;Operating Systems;Computer Consulting Services</v>
      </c>
    </row>
    <row r="926">
      <c r="A926" s="6" t="str">
        <v>0C6551</v>
      </c>
      <c r="B926" s="6" t="str">
        <v>United States</v>
      </c>
      <c r="C926" s="6" t="str">
        <v>Twitch Interactive Inc</v>
      </c>
      <c r="D926" s="6" t="str">
        <v>Amazon.com Inc</v>
      </c>
      <c r="F926" s="6" t="str">
        <v>United States</v>
      </c>
      <c r="G926" s="6" t="str">
        <v>Curse Inc</v>
      </c>
      <c r="H926" s="6" t="str">
        <v>Prepackaged Software</v>
      </c>
      <c r="I926" s="6" t="str">
        <v>8E0356</v>
      </c>
      <c r="J926" s="6" t="str">
        <v>Curse Inc</v>
      </c>
      <c r="K926" s="6" t="str">
        <v>Curse Inc</v>
      </c>
      <c r="L926" s="7">
        <f>=DATE(2016,8,16)</f>
        <v>42597.99949074074</v>
      </c>
      <c r="M926" s="7">
        <f>=DATE(2016,8,16)</f>
        <v>42597.99949074074</v>
      </c>
      <c r="S926" s="8">
        <v>19.859</v>
      </c>
      <c r="W926" s="6" t="str">
        <v>Internet Services &amp; Software</v>
      </c>
      <c r="X926" s="6" t="str">
        <v>Primary Business not Hi-Tech;Communication/Network Software</v>
      </c>
      <c r="Y926" s="6" t="str">
        <v>Primary Business not Hi-Tech;Communication/Network Software</v>
      </c>
      <c r="Z926" s="6" t="str">
        <v>Communication/Network Software;Primary Business not Hi-Tech</v>
      </c>
      <c r="AA926" s="6" t="str">
        <v>Primary Business not Hi-Tech</v>
      </c>
      <c r="AB926" s="6" t="str">
        <v>Primary Business not Hi-Tech</v>
      </c>
    </row>
    <row r="927">
      <c r="A927" s="6" t="str">
        <v>037833</v>
      </c>
      <c r="B927" s="6" t="str">
        <v>United States</v>
      </c>
      <c r="C927" s="6" t="str">
        <v>Apple Inc</v>
      </c>
      <c r="D927" s="6" t="str">
        <v>Apple Inc</v>
      </c>
      <c r="F927" s="6" t="str">
        <v>United States</v>
      </c>
      <c r="G927" s="6" t="str">
        <v>Gliimpse</v>
      </c>
      <c r="H927" s="6" t="str">
        <v>Prepackaged Software</v>
      </c>
      <c r="I927" s="6" t="str">
        <v>0L2629</v>
      </c>
      <c r="J927" s="6" t="str">
        <v>Gliimpse</v>
      </c>
      <c r="K927" s="6" t="str">
        <v>Gliimpse</v>
      </c>
      <c r="L927" s="7">
        <f>=DATE(2016,8,22)</f>
        <v>42603.99949074074</v>
      </c>
      <c r="M927" s="7">
        <f>=DATE(2016,8,22)</f>
        <v>42603.99949074074</v>
      </c>
      <c r="W927" s="6" t="str">
        <v>Other Software (inq. Games);Portable Computers;Monitors/Terminals;Printers;Micro-Computers (PCs);Other Peripherals;Disk Drives;Mainframes &amp; Super Computers</v>
      </c>
      <c r="X927" s="6" t="str">
        <v>Other Software (inq. Games);Internet Services &amp; Software;Desktop Publishing;Applications Software(Home);Applications Software(Business;Utilities/File Mgmt Software;Communication/Network Software</v>
      </c>
      <c r="Y927" s="6" t="str">
        <v>Other Software (inq. Games);Applications Software(Business;Communication/Network Software;Desktop Publishing;Internet Services &amp; Software;Utilities/File Mgmt Software;Applications Software(Home)</v>
      </c>
      <c r="Z927" s="6" t="str">
        <v>Communication/Network Software;Desktop Publishing;Internet Services &amp; Software;Applications Software(Home);Other Software (inq. Games);Utilities/File Mgmt Software;Applications Software(Business</v>
      </c>
      <c r="AA927" s="6" t="str">
        <v>Disk Drives;Printers;Monitors/Terminals;Micro-Computers (PCs);Mainframes &amp; Super Computers;Other Software (inq. Games);Portable Computers;Other Peripherals</v>
      </c>
      <c r="AB927" s="6" t="str">
        <v>Other Peripherals;Other Software (inq. Games);Monitors/Terminals;Printers;Portable Computers;Micro-Computers (PCs);Disk Drives;Mainframes &amp; Super Computers</v>
      </c>
    </row>
    <row r="928">
      <c r="A928" s="6" t="str">
        <v>594918</v>
      </c>
      <c r="B928" s="6" t="str">
        <v>United States</v>
      </c>
      <c r="C928" s="6" t="str">
        <v>Microsoft Corp</v>
      </c>
      <c r="D928" s="6" t="str">
        <v>Microsoft Corp</v>
      </c>
      <c r="F928" s="6" t="str">
        <v>United States</v>
      </c>
      <c r="G928" s="6" t="str">
        <v>Genee Inc</v>
      </c>
      <c r="H928" s="6" t="str">
        <v>Business Services</v>
      </c>
      <c r="I928" s="6" t="str">
        <v>8E3375</v>
      </c>
      <c r="J928" s="6" t="str">
        <v>Genee Inc</v>
      </c>
      <c r="K928" s="6" t="str">
        <v>Genee Inc</v>
      </c>
      <c r="L928" s="7">
        <f>=DATE(2016,8,22)</f>
        <v>42603.99949074074</v>
      </c>
      <c r="W928" s="6" t="str">
        <v>Computer Consulting Services;Operating Systems;Other Peripherals;Applications Software(Business;Internet Services &amp; Software;Monitors/Terminals</v>
      </c>
      <c r="X928" s="6" t="str">
        <v>Programming Services</v>
      </c>
      <c r="Y928" s="6" t="str">
        <v>Programming Services</v>
      </c>
      <c r="Z928" s="6" t="str">
        <v>Programming Services</v>
      </c>
      <c r="AA928" s="6" t="str">
        <v>Internet Services &amp; Software;Other Peripherals;Computer Consulting Services;Monitors/Terminals;Operating Systems;Applications Software(Business</v>
      </c>
      <c r="AB928" s="6" t="str">
        <v>Monitors/Terminals;Other Peripherals;Operating Systems;Internet Services &amp; Software;Computer Consulting Services;Applications Software(Business</v>
      </c>
    </row>
    <row r="929">
      <c r="A929" s="6" t="str">
        <v>38259P</v>
      </c>
      <c r="B929" s="6" t="str">
        <v>United States</v>
      </c>
      <c r="C929" s="6" t="str">
        <v>Google Inc</v>
      </c>
      <c r="D929" s="6" t="str">
        <v>Alphabet Inc</v>
      </c>
      <c r="F929" s="6" t="str">
        <v>United States</v>
      </c>
      <c r="G929" s="6" t="str">
        <v>Apigee Corp</v>
      </c>
      <c r="H929" s="6" t="str">
        <v>Prepackaged Software</v>
      </c>
      <c r="I929" s="6" t="str">
        <v>03765N</v>
      </c>
      <c r="J929" s="6" t="str">
        <v>Apigee Corp</v>
      </c>
      <c r="K929" s="6" t="str">
        <v>Apigee Corp</v>
      </c>
      <c r="L929" s="7">
        <f>=DATE(2016,9,8)</f>
        <v>42620.99949074074</v>
      </c>
      <c r="M929" s="7">
        <f>=DATE(2016,11,10)</f>
        <v>42683.99949074074</v>
      </c>
      <c r="N929" s="8">
        <v>624.326</v>
      </c>
      <c r="O929" s="8">
        <v>624.326</v>
      </c>
      <c r="P929" s="8" t="str">
        <v>513.47</v>
      </c>
      <c r="R929" s="8">
        <v>-41.512</v>
      </c>
      <c r="S929" s="8">
        <v>92.027</v>
      </c>
      <c r="T929" s="8">
        <v>0.677</v>
      </c>
      <c r="U929" s="8">
        <v>-0.241</v>
      </c>
      <c r="V929" s="8">
        <v>-21.695</v>
      </c>
      <c r="W929" s="6" t="str">
        <v>Internet Services &amp; Software;Programming Services</v>
      </c>
      <c r="X929" s="6" t="str">
        <v>Internet Services &amp; Software;Programming Services;Applications Software(Business</v>
      </c>
      <c r="Y929" s="6" t="str">
        <v>Applications Software(Business;Internet Services &amp; Software;Programming Services</v>
      </c>
      <c r="Z929" s="6" t="str">
        <v>Programming Services;Applications Software(Business;Internet Services &amp; Software</v>
      </c>
      <c r="AA929" s="6" t="str">
        <v>Primary Business not Hi-Tech;Internet Services &amp; Software;Computer Consulting Services;Programming Services;Telecommunications Equipment</v>
      </c>
      <c r="AB929" s="6" t="str">
        <v>Computer Consulting Services;Telecommunications Equipment;Primary Business not Hi-Tech;Programming Services;Internet Services &amp; Software</v>
      </c>
      <c r="AC929" s="8">
        <v>624.326</v>
      </c>
      <c r="AD929" s="7">
        <f>=DATE(2016,9,8)</f>
        <v>42620.99949074074</v>
      </c>
      <c r="AE929" s="8">
        <v>653.2884636</v>
      </c>
      <c r="AF929" s="8" t="str">
        <v>513.88</v>
      </c>
      <c r="AG929" s="8" t="str">
        <v>513.47</v>
      </c>
      <c r="AH929" s="8" t="str">
        <v>579.57</v>
      </c>
      <c r="AI929" s="8" t="str">
        <v>579.99</v>
      </c>
      <c r="AJ929" s="8" t="str">
        <v>49.90;;</v>
      </c>
      <c r="AK929" s="6" t="str">
        <v>US Dollar;US Dollar;US Dollar</v>
      </c>
      <c r="AL929" s="8">
        <v>624.326</v>
      </c>
    </row>
    <row r="930">
      <c r="A930" s="6" t="str">
        <v>38259P</v>
      </c>
      <c r="B930" s="6" t="str">
        <v>United States</v>
      </c>
      <c r="C930" s="6" t="str">
        <v>Google Inc</v>
      </c>
      <c r="D930" s="6" t="str">
        <v>Alphabet Inc</v>
      </c>
      <c r="F930" s="6" t="str">
        <v>United States</v>
      </c>
      <c r="G930" s="6" t="str">
        <v>Urban Engines Inc</v>
      </c>
      <c r="H930" s="6" t="str">
        <v>Prepackaged Software</v>
      </c>
      <c r="I930" s="6" t="str">
        <v>9E1906</v>
      </c>
      <c r="J930" s="6" t="str">
        <v>Urban Engines Inc</v>
      </c>
      <c r="K930" s="6" t="str">
        <v>Urban Engines Inc</v>
      </c>
      <c r="L930" s="7">
        <f>=DATE(2016,9,16)</f>
        <v>42628.99949074074</v>
      </c>
      <c r="M930" s="7">
        <f>=DATE(2016,9,16)</f>
        <v>42628.99949074074</v>
      </c>
      <c r="W930" s="6" t="str">
        <v>Programming Services;Internet Services &amp; Software</v>
      </c>
      <c r="X930" s="6" t="str">
        <v>Applications Software(Business</v>
      </c>
      <c r="Y930" s="6" t="str">
        <v>Applications Software(Business</v>
      </c>
      <c r="Z930" s="6" t="str">
        <v>Applications Software(Business</v>
      </c>
      <c r="AA930" s="6" t="str">
        <v>Computer Consulting Services;Primary Business not Hi-Tech;Programming Services;Telecommunications Equipment;Internet Services &amp; Software</v>
      </c>
      <c r="AB930" s="6" t="str">
        <v>Computer Consulting Services;Primary Business not Hi-Tech;Internet Services &amp; Software;Programming Services;Telecommunications Equipment</v>
      </c>
    </row>
    <row r="931">
      <c r="A931" s="6" t="str">
        <v>30303M</v>
      </c>
      <c r="B931" s="6" t="str">
        <v>United States</v>
      </c>
      <c r="C931" s="6" t="str">
        <v>Facebook Inc</v>
      </c>
      <c r="D931" s="6" t="str">
        <v>Facebook Inc</v>
      </c>
      <c r="F931" s="6" t="str">
        <v>United States</v>
      </c>
      <c r="G931" s="6" t="str">
        <v>Nascent Objects Inc</v>
      </c>
      <c r="H931" s="6" t="str">
        <v>Electronic and Electrical Equipment</v>
      </c>
      <c r="I931" s="6" t="str">
        <v>9E2028</v>
      </c>
      <c r="J931" s="6" t="str">
        <v>Nascent Objects Inc</v>
      </c>
      <c r="K931" s="6" t="str">
        <v>Nascent Objects Inc</v>
      </c>
      <c r="L931" s="7">
        <f>=DATE(2016,9,19)</f>
        <v>42631.99949074074</v>
      </c>
      <c r="M931" s="7">
        <f>=DATE(2016,9,20)</f>
        <v>42632.99949074074</v>
      </c>
      <c r="W931" s="6" t="str">
        <v>Internet Services &amp; Software</v>
      </c>
      <c r="X931" s="6" t="str">
        <v>Robotics;Primary Business not Hi-Tech;Lasers(Excluding Medical)</v>
      </c>
      <c r="Y931" s="6" t="str">
        <v>Robotics;Lasers(Excluding Medical);Primary Business not Hi-Tech</v>
      </c>
      <c r="Z931" s="6" t="str">
        <v>Lasers(Excluding Medical);Primary Business not Hi-Tech;Robotics</v>
      </c>
      <c r="AA931" s="6" t="str">
        <v>Internet Services &amp; Software</v>
      </c>
      <c r="AB931" s="6" t="str">
        <v>Internet Services &amp; Software</v>
      </c>
    </row>
    <row r="932">
      <c r="A932" s="6" t="str">
        <v>594918</v>
      </c>
      <c r="B932" s="6" t="str">
        <v>United States</v>
      </c>
      <c r="C932" s="6" t="str">
        <v>Microsoft Corp</v>
      </c>
      <c r="D932" s="6" t="str">
        <v>Microsoft Corp</v>
      </c>
      <c r="F932" s="6" t="str">
        <v>United States</v>
      </c>
      <c r="G932" s="6" t="str">
        <v>Microsoft Corp</v>
      </c>
      <c r="H932" s="6" t="str">
        <v>Prepackaged Software</v>
      </c>
      <c r="I932" s="6" t="str">
        <v>594918</v>
      </c>
      <c r="J932" s="6" t="str">
        <v>Microsoft Corp</v>
      </c>
      <c r="K932" s="6" t="str">
        <v>Microsoft Corp</v>
      </c>
      <c r="L932" s="7">
        <f>=DATE(2016,9,20)</f>
        <v>42632.99949074074</v>
      </c>
      <c r="M932" s="7">
        <f>=DATE(2020,2,1)</f>
        <v>43861.99949074074</v>
      </c>
      <c r="N932" s="8">
        <v>40000</v>
      </c>
      <c r="O932" s="8">
        <v>40000</v>
      </c>
      <c r="P932" s="8" t="str">
        <v>770,532.98</v>
      </c>
      <c r="R932" s="8">
        <v>16798</v>
      </c>
      <c r="S932" s="8">
        <v>85320</v>
      </c>
      <c r="T932" s="8">
        <v>-8393</v>
      </c>
      <c r="U932" s="8">
        <v>-23950</v>
      </c>
      <c r="V932" s="8">
        <v>33325</v>
      </c>
      <c r="W932" s="6" t="str">
        <v>Monitors/Terminals;Other Peripherals;Computer Consulting Services;Internet Services &amp; Software;Operating Systems;Applications Software(Business</v>
      </c>
      <c r="X932" s="6" t="str">
        <v>Other Peripherals;Monitors/Terminals;Computer Consulting Services;Operating Systems;Internet Services &amp; Software;Applications Software(Business</v>
      </c>
      <c r="Y932" s="6" t="str">
        <v>Monitors/Terminals;Computer Consulting Services;Internet Services &amp; Software;Other Peripherals;Operating Systems;Applications Software(Business</v>
      </c>
      <c r="Z932" s="6" t="str">
        <v>Other Peripherals;Computer Consulting Services;Monitors/Terminals;Internet Services &amp; Software;Applications Software(Business;Operating Systems</v>
      </c>
      <c r="AA932" s="6" t="str">
        <v>Applications Software(Business;Operating Systems;Internet Services &amp; Software;Computer Consulting Services;Other Peripherals;Monitors/Terminals</v>
      </c>
      <c r="AB932" s="6" t="str">
        <v>Internet Services &amp; Software;Computer Consulting Services;Operating Systems;Monitors/Terminals;Applications Software(Business;Other Peripherals</v>
      </c>
      <c r="AC932" s="8">
        <v>40000</v>
      </c>
      <c r="AD932" s="7">
        <f>=DATE(2016,9,20)</f>
        <v>42632.99949074074</v>
      </c>
      <c r="AF932" s="8" t="str">
        <v>770,532.98</v>
      </c>
      <c r="AG932" s="8" t="str">
        <v>770,532.98</v>
      </c>
      <c r="AH932" s="8" t="str">
        <v>830,012.98</v>
      </c>
      <c r="AI932" s="8" t="str">
        <v>830,012.98</v>
      </c>
      <c r="AJ932" s="8" t="str">
        <v>40,000.00</v>
      </c>
      <c r="AK932" s="6" t="str">
        <v>US Dollar</v>
      </c>
      <c r="AL932" s="8">
        <v>40000</v>
      </c>
    </row>
    <row r="933">
      <c r="A933" s="6" t="str">
        <v>037833</v>
      </c>
      <c r="B933" s="6" t="str">
        <v>United States</v>
      </c>
      <c r="C933" s="6" t="str">
        <v>Apple Inc</v>
      </c>
      <c r="D933" s="6" t="str">
        <v>Apple Inc</v>
      </c>
      <c r="F933" s="6" t="str">
        <v>India</v>
      </c>
      <c r="G933" s="6" t="str">
        <v>Tuplejump Software Pvt Ltd</v>
      </c>
      <c r="H933" s="6" t="str">
        <v>Prepackaged Software</v>
      </c>
      <c r="I933" s="6" t="str">
        <v>9E0466</v>
      </c>
      <c r="J933" s="6" t="str">
        <v>Tuplejump Software Pvt Ltd</v>
      </c>
      <c r="K933" s="6" t="str">
        <v>Tuplejump Software Pvt Ltd</v>
      </c>
      <c r="L933" s="7">
        <f>=DATE(2016,9,22)</f>
        <v>42634.99949074074</v>
      </c>
      <c r="M933" s="7">
        <f>=DATE(2016,9,22)</f>
        <v>42634.99949074074</v>
      </c>
      <c r="W933" s="6" t="str">
        <v>Disk Drives;Monitors/Terminals;Mainframes &amp; Super Computers;Portable Computers;Other Software (inq. Games);Micro-Computers (PCs);Printers;Other Peripherals</v>
      </c>
      <c r="X933" s="6" t="str">
        <v>Other Software (inq. Games)</v>
      </c>
      <c r="Y933" s="6" t="str">
        <v>Other Software (inq. Games)</v>
      </c>
      <c r="Z933" s="6" t="str">
        <v>Other Software (inq. Games)</v>
      </c>
      <c r="AA933" s="6" t="str">
        <v>Portable Computers;Disk Drives;Mainframes &amp; Super Computers;Printers;Other Software (inq. Games);Other Peripherals;Monitors/Terminals;Micro-Computers (PCs)</v>
      </c>
      <c r="AB933" s="6" t="str">
        <v>Disk Drives;Other Peripherals;Monitors/Terminals;Micro-Computers (PCs);Other Software (inq. Games);Mainframes &amp; Super Computers;Printers;Portable Computers</v>
      </c>
    </row>
    <row r="934">
      <c r="A934" s="6" t="str">
        <v>6E8666</v>
      </c>
      <c r="B934" s="6" t="str">
        <v>United States</v>
      </c>
      <c r="C934" s="6" t="str">
        <v>Google Fiber Inc</v>
      </c>
      <c r="D934" s="6" t="str">
        <v>Alphabet Inc</v>
      </c>
      <c r="F934" s="6" t="str">
        <v>United States</v>
      </c>
      <c r="G934" s="6" t="str">
        <v>Webpass Telecommunications LLC</v>
      </c>
      <c r="H934" s="6" t="str">
        <v>Telecommunications</v>
      </c>
      <c r="I934" s="6" t="str">
        <v>3F8406</v>
      </c>
      <c r="J934" s="6" t="str">
        <v>Webpass Telecommunications LLC</v>
      </c>
      <c r="K934" s="6" t="str">
        <v>Webpass Telecommunications LLC</v>
      </c>
      <c r="L934" s="7">
        <f>=DATE(2016,10,3)</f>
        <v>42645.99949074074</v>
      </c>
      <c r="M934" s="7">
        <f>=DATE(2017,3,23)</f>
        <v>42816.99949074074</v>
      </c>
      <c r="W934" s="6" t="str">
        <v>Telecommunications Equipment</v>
      </c>
      <c r="X934" s="6" t="str">
        <v>Telecommunications Equipment;Satellite Communications</v>
      </c>
      <c r="Y934" s="6" t="str">
        <v>Satellite Communications;Telecommunications Equipment</v>
      </c>
      <c r="Z934" s="6" t="str">
        <v>Satellite Communications;Telecommunications Equipment</v>
      </c>
      <c r="AA934" s="6" t="str">
        <v>Internet Services &amp; Software;Programming Services</v>
      </c>
      <c r="AB934" s="6" t="str">
        <v>Telecommunications Equipment;Programming Services;Computer Consulting Services;Internet Services &amp; Software;Primary Business not Hi-Tech</v>
      </c>
    </row>
    <row r="935">
      <c r="A935" s="6" t="str">
        <v>38259P</v>
      </c>
      <c r="B935" s="6" t="str">
        <v>United States</v>
      </c>
      <c r="C935" s="6" t="str">
        <v>Google Inc</v>
      </c>
      <c r="D935" s="6" t="str">
        <v>Alphabet Inc</v>
      </c>
      <c r="F935" s="6" t="str">
        <v>Canada</v>
      </c>
      <c r="G935" s="6" t="str">
        <v>FameBit Inc</v>
      </c>
      <c r="H935" s="6" t="str">
        <v>Business Services</v>
      </c>
      <c r="I935" s="6" t="str">
        <v>6C8750</v>
      </c>
      <c r="J935" s="6" t="str">
        <v>FameBit Inc</v>
      </c>
      <c r="K935" s="6" t="str">
        <v>FameBit Inc</v>
      </c>
      <c r="L935" s="7">
        <f>=DATE(2016,10,11)</f>
        <v>42653.99949074074</v>
      </c>
      <c r="M935" s="7">
        <f>=DATE(2016,10,11)</f>
        <v>42653.99949074074</v>
      </c>
      <c r="W935" s="6" t="str">
        <v>Programming Services;Internet Services &amp; Software</v>
      </c>
      <c r="X935" s="6" t="str">
        <v>Internet Services &amp; Software</v>
      </c>
      <c r="Y935" s="6" t="str">
        <v>Internet Services &amp; Software</v>
      </c>
      <c r="Z935" s="6" t="str">
        <v>Internet Services &amp; Software</v>
      </c>
      <c r="AA935" s="6" t="str">
        <v>Programming Services;Internet Services &amp; Software;Telecommunications Equipment;Primary Business not Hi-Tech;Computer Consulting Services</v>
      </c>
      <c r="AB935" s="6" t="str">
        <v>Telecommunications Equipment;Computer Consulting Services;Programming Services;Internet Services &amp; Software;Primary Business not Hi-Tech</v>
      </c>
    </row>
    <row r="936">
      <c r="A936" s="6" t="str">
        <v>73959W</v>
      </c>
      <c r="B936" s="6" t="str">
        <v>United States</v>
      </c>
      <c r="C936" s="6" t="str">
        <v>PowerSchool Group LLC</v>
      </c>
      <c r="D936" s="6" t="str">
        <v>PowerSchool Holdings Inc</v>
      </c>
      <c r="F936" s="6" t="str">
        <v>United States</v>
      </c>
      <c r="G936" s="6" t="str">
        <v>Chalkable Inc</v>
      </c>
      <c r="H936" s="6" t="str">
        <v>Prepackaged Software</v>
      </c>
      <c r="I936" s="6" t="str">
        <v>7A6736</v>
      </c>
      <c r="J936" s="6" t="str">
        <v>STI</v>
      </c>
      <c r="K936" s="6" t="str">
        <v>STI</v>
      </c>
      <c r="L936" s="7">
        <f>=DATE(2016,10,12)</f>
        <v>42654.99949074074</v>
      </c>
      <c r="M936" s="7">
        <f>=DATE(2016,10,12)</f>
        <v>42654.99949074074</v>
      </c>
      <c r="W936" s="6" t="str">
        <v>Other Software (inq. Games)</v>
      </c>
      <c r="X936" s="6" t="str">
        <v>Primary Business not Hi-Tech;Other Software (inq. Games);Communication/Network Software</v>
      </c>
      <c r="Y936" s="6" t="str">
        <v>Other Software (inq. Games)</v>
      </c>
      <c r="Z936" s="6" t="str">
        <v>Other Software (inq. Games)</v>
      </c>
      <c r="AA936" s="6" t="str">
        <v>Utilities/File Mgmt Software;Applications Software(Business;Primary Business not Hi-Tech;Internet Services &amp; Software;Communication/Network Software;Applications Software(Home);Other Software (inq. Games);Desktop Publishing</v>
      </c>
      <c r="AB936" s="6" t="str">
        <v>Desktop Publishing;Internet Services &amp; Software;Utilities/File Mgmt Software;Other Software (inq. Games);Primary Business not Hi-Tech;Communication/Network Software;Applications Software(Home);Applications Software(Business</v>
      </c>
    </row>
    <row r="937">
      <c r="A937" s="6" t="str">
        <v>9A6770</v>
      </c>
      <c r="B937" s="6" t="str">
        <v>United States</v>
      </c>
      <c r="C937" s="6" t="str">
        <v>Oculus VR LLC(NOW 8J8006)</v>
      </c>
      <c r="D937" s="6" t="str">
        <v>Facebook Inc</v>
      </c>
      <c r="F937" s="6" t="str">
        <v>Ireland</v>
      </c>
      <c r="G937" s="6" t="str">
        <v>InfiniLED Ltd</v>
      </c>
      <c r="H937" s="6" t="str">
        <v>Electronic and Electrical Equipment</v>
      </c>
      <c r="I937" s="6" t="str">
        <v>9E7078</v>
      </c>
      <c r="J937" s="6" t="str">
        <v>InfiniLED Ltd</v>
      </c>
      <c r="K937" s="6" t="str">
        <v>InfiniLED Ltd</v>
      </c>
      <c r="L937" s="7">
        <f>=DATE(2016,10,13)</f>
        <v>42655.99949074074</v>
      </c>
      <c r="M937" s="7">
        <f>=DATE(2016,10,13)</f>
        <v>42655.99949074074</v>
      </c>
      <c r="W937" s="6" t="str">
        <v>Communication/Network Software;Programming Services;Applications Software(Home);Applications Software(Business</v>
      </c>
      <c r="X937" s="6" t="str">
        <v>Lasers(Excluding Medical);Disk Drives</v>
      </c>
      <c r="Y937" s="6" t="str">
        <v>Disk Drives;Lasers(Excluding Medical)</v>
      </c>
      <c r="Z937" s="6" t="str">
        <v>Disk Drives;Lasers(Excluding Medical)</v>
      </c>
      <c r="AA937" s="6" t="str">
        <v>Internet Services &amp; Software</v>
      </c>
      <c r="AB937" s="6" t="str">
        <v>Internet Services &amp; Software</v>
      </c>
    </row>
    <row r="938">
      <c r="A938" s="6" t="str">
        <v>67020Y</v>
      </c>
      <c r="B938" s="6" t="str">
        <v>United States</v>
      </c>
      <c r="C938" s="6" t="str">
        <v>Nuance Communications Inc</v>
      </c>
      <c r="D938" s="6" t="str">
        <v>Nuance Communications Inc</v>
      </c>
      <c r="F938" s="6" t="str">
        <v>Spain</v>
      </c>
      <c r="G938" s="6" t="str">
        <v>Agnitio SL</v>
      </c>
      <c r="H938" s="6" t="str">
        <v>Telecommunications</v>
      </c>
      <c r="I938" s="6" t="str">
        <v>00186P</v>
      </c>
      <c r="J938" s="6" t="str">
        <v>Agnitio SL</v>
      </c>
      <c r="K938" s="6" t="str">
        <v>Agnitio SL</v>
      </c>
      <c r="L938" s="7">
        <f>=DATE(2016,10,19)</f>
        <v>42661.99949074074</v>
      </c>
      <c r="M938" s="7">
        <f>=DATE(2016,10,19)</f>
        <v>42661.99949074074</v>
      </c>
      <c r="R938" s="8">
        <v>-0.514699271779196</v>
      </c>
      <c r="S938" s="8">
        <v>3.53321945518295</v>
      </c>
      <c r="W938" s="6" t="str">
        <v>Primary Business not Hi-Tech;Database Software/Programming;Desktop Publishing;Applications Software(Business;Networking Systems (LAN,WAN);Utilities/File Mgmt Software;Applications Software(Home);Other Computer Related Svcs;Computer Consulting Services;Communication/Network Software;Internet Services &amp; Software;Other Software (inq. Games);Programming Services</v>
      </c>
      <c r="X938" s="6" t="str">
        <v>Internet Services &amp; Software;Primary Business not Hi-Tech</v>
      </c>
      <c r="Y938" s="6" t="str">
        <v>Internet Services &amp; Software;Primary Business not Hi-Tech</v>
      </c>
      <c r="Z938" s="6" t="str">
        <v>Primary Business not Hi-Tech;Internet Services &amp; Software</v>
      </c>
      <c r="AA938" s="6" t="str">
        <v>Applications Software(Home);Database Software/Programming;Desktop Publishing;Applications Software(Business;Primary Business not Hi-Tech;Communication/Network Software;Programming Services;Internet Services &amp; Software;Other Computer Related Svcs;Other Software (inq. Games);Networking Systems (LAN,WAN);Utilities/File Mgmt Software;Computer Consulting Services</v>
      </c>
      <c r="AB938" s="6" t="str">
        <v>Applications Software(Home);Computer Consulting Services;Utilities/File Mgmt Software;Programming Services;Networking Systems (LAN,WAN);Internet Services &amp; Software;Desktop Publishing;Communication/Network Software;Other Software (inq. Games);Applications Software(Business;Other Computer Related Svcs;Primary Business not Hi-Tech;Database Software/Programming</v>
      </c>
    </row>
    <row r="939">
      <c r="A939" s="6" t="str">
        <v>38259P</v>
      </c>
      <c r="B939" s="6" t="str">
        <v>United States</v>
      </c>
      <c r="C939" s="6" t="str">
        <v>Google Inc</v>
      </c>
      <c r="D939" s="6" t="str">
        <v>Alphabet Inc</v>
      </c>
      <c r="F939" s="6" t="str">
        <v>United States</v>
      </c>
      <c r="G939" s="6" t="str">
        <v>Eyefluence Inc</v>
      </c>
      <c r="H939" s="6" t="str">
        <v>Retail Trade-Home Furnishings</v>
      </c>
      <c r="I939" s="6" t="str">
        <v>9E7746</v>
      </c>
      <c r="J939" s="6" t="str">
        <v>Eyefluence Inc</v>
      </c>
      <c r="K939" s="6" t="str">
        <v>Eyefluence Inc</v>
      </c>
      <c r="L939" s="7">
        <f>=DATE(2016,10,24)</f>
        <v>42666.99949074074</v>
      </c>
      <c r="M939" s="7">
        <f>=DATE(2016,10,24)</f>
        <v>42666.99949074074</v>
      </c>
      <c r="W939" s="6" t="str">
        <v>Programming Services;Internet Services &amp; Software</v>
      </c>
      <c r="X939" s="6" t="str">
        <v>Programming Services;Communication/Network Software;Primary Business not Hi-Tech</v>
      </c>
      <c r="Y939" s="6" t="str">
        <v>Programming Services;Primary Business not Hi-Tech;Communication/Network Software</v>
      </c>
      <c r="Z939" s="6" t="str">
        <v>Primary Business not Hi-Tech;Programming Services;Communication/Network Software</v>
      </c>
      <c r="AA939" s="6" t="str">
        <v>Telecommunications Equipment;Programming Services;Primary Business not Hi-Tech;Computer Consulting Services;Internet Services &amp; Software</v>
      </c>
      <c r="AB939" s="6" t="str">
        <v>Primary Business not Hi-Tech;Telecommunications Equipment;Computer Consulting Services;Programming Services;Internet Services &amp; Software</v>
      </c>
    </row>
    <row r="940">
      <c r="A940" s="6" t="str">
        <v>037833</v>
      </c>
      <c r="B940" s="6" t="str">
        <v>United States</v>
      </c>
      <c r="C940" s="6" t="str">
        <v>Apple Inc</v>
      </c>
      <c r="D940" s="6" t="str">
        <v>Apple Inc</v>
      </c>
      <c r="F940" s="6" t="str">
        <v>United States</v>
      </c>
      <c r="G940" s="6" t="str">
        <v>Apple Inc</v>
      </c>
      <c r="H940" s="6" t="str">
        <v>Computer and Office Equipment</v>
      </c>
      <c r="I940" s="6" t="str">
        <v>037833</v>
      </c>
      <c r="J940" s="6" t="str">
        <v>Apple Inc</v>
      </c>
      <c r="K940" s="6" t="str">
        <v>Apple Inc</v>
      </c>
      <c r="L940" s="7">
        <f>=DATE(2016,11,1)</f>
        <v>42674.99949074074</v>
      </c>
      <c r="M940" s="7">
        <f>=DATE(2017,2,28)</f>
        <v>42793.99949074074</v>
      </c>
      <c r="N940" s="8">
        <v>6000</v>
      </c>
      <c r="O940" s="8">
        <v>6000</v>
      </c>
      <c r="P940" s="8" t="str">
        <v>645,282.67</v>
      </c>
      <c r="R940" s="8">
        <v>45687</v>
      </c>
      <c r="S940" s="8">
        <v>215639</v>
      </c>
      <c r="T940" s="8">
        <v>-20483</v>
      </c>
      <c r="U940" s="8">
        <v>-45977</v>
      </c>
      <c r="V940" s="8">
        <v>65824</v>
      </c>
      <c r="W940" s="6" t="str">
        <v>Monitors/Terminals;Other Software (inq. Games);Other Peripherals;Mainframes &amp; Super Computers;Micro-Computers (PCs);Printers;Portable Computers;Disk Drives</v>
      </c>
      <c r="X940" s="6" t="str">
        <v>Other Software (inq. Games);Other Peripherals;Disk Drives;Printers;Monitors/Terminals;Portable Computers;Micro-Computers (PCs);Mainframes &amp; Super Computers</v>
      </c>
      <c r="Y940" s="6" t="str">
        <v>Micro-Computers (PCs);Printers;Other Software (inq. Games);Other Peripherals;Portable Computers;Disk Drives;Mainframes &amp; Super Computers;Monitors/Terminals</v>
      </c>
      <c r="Z940" s="6" t="str">
        <v>Other Peripherals;Mainframes &amp; Super Computers;Other Software (inq. Games);Micro-Computers (PCs);Disk Drives;Portable Computers;Monitors/Terminals;Printers</v>
      </c>
      <c r="AA940" s="6" t="str">
        <v>Portable Computers;Monitors/Terminals;Other Software (inq. Games);Disk Drives;Mainframes &amp; Super Computers;Printers;Other Peripherals;Micro-Computers (PCs)</v>
      </c>
      <c r="AB940" s="6" t="str">
        <v>Monitors/Terminals;Other Peripherals;Disk Drives;Printers;Portable Computers;Other Software (inq. Games);Mainframes &amp; Super Computers;Micro-Computers (PCs)</v>
      </c>
      <c r="AC940" s="8">
        <v>6000</v>
      </c>
      <c r="AD940" s="7">
        <f>=DATE(2016,11,1)</f>
        <v>42674.99949074074</v>
      </c>
      <c r="AF940" s="8" t="str">
        <v>645,282.67</v>
      </c>
      <c r="AG940" s="8" t="str">
        <v>645,282.67</v>
      </c>
      <c r="AH940" s="8" t="str">
        <v>625,405.67</v>
      </c>
      <c r="AI940" s="8" t="str">
        <v>625,405.67</v>
      </c>
      <c r="AJ940" s="8" t="str">
        <v>6,000.00</v>
      </c>
      <c r="AK940" s="6" t="str">
        <v>US Dollar</v>
      </c>
      <c r="AL940" s="8">
        <v>6000</v>
      </c>
    </row>
    <row r="941">
      <c r="A941" s="6" t="str">
        <v>30303M</v>
      </c>
      <c r="B941" s="6" t="str">
        <v>United States</v>
      </c>
      <c r="C941" s="6" t="str">
        <v>Facebook Inc</v>
      </c>
      <c r="D941" s="6" t="str">
        <v>Facebook Inc</v>
      </c>
      <c r="F941" s="6" t="str">
        <v>United States</v>
      </c>
      <c r="G941" s="6" t="str">
        <v>CrowdTangle Inc</v>
      </c>
      <c r="H941" s="6" t="str">
        <v>Business Services</v>
      </c>
      <c r="I941" s="6" t="str">
        <v>0F3675</v>
      </c>
      <c r="J941" s="6" t="str">
        <v>CrowdTangle Inc</v>
      </c>
      <c r="K941" s="6" t="str">
        <v>CrowdTangle Inc</v>
      </c>
      <c r="L941" s="7">
        <f>=DATE(2016,11,11)</f>
        <v>42684.99949074074</v>
      </c>
      <c r="M941" s="7">
        <f>=DATE(2016,11,11)</f>
        <v>42684.99949074074</v>
      </c>
      <c r="W941" s="6" t="str">
        <v>Internet Services &amp; Software</v>
      </c>
      <c r="X941" s="6" t="str">
        <v>Data Processing Services;Networking Systems (LAN,WAN)</v>
      </c>
      <c r="Y941" s="6" t="str">
        <v>Networking Systems (LAN,WAN);Data Processing Services</v>
      </c>
      <c r="Z941" s="6" t="str">
        <v>Data Processing Services;Networking Systems (LAN,WAN)</v>
      </c>
      <c r="AA941" s="6" t="str">
        <v>Internet Services &amp; Software</v>
      </c>
      <c r="AB941" s="6" t="str">
        <v>Internet Services &amp; Software</v>
      </c>
    </row>
    <row r="942">
      <c r="A942" s="6" t="str">
        <v>38259P</v>
      </c>
      <c r="B942" s="6" t="str">
        <v>United States</v>
      </c>
      <c r="C942" s="6" t="str">
        <v>Google Inc</v>
      </c>
      <c r="D942" s="6" t="str">
        <v>Alphabet Inc</v>
      </c>
      <c r="F942" s="6" t="str">
        <v>United States</v>
      </c>
      <c r="G942" s="6" t="str">
        <v>Undecidable Labs Inc</v>
      </c>
      <c r="H942" s="6" t="str">
        <v>Prepackaged Software</v>
      </c>
      <c r="I942" s="6" t="str">
        <v>0F5999</v>
      </c>
      <c r="J942" s="6" t="str">
        <v>Undecidable Labs Inc</v>
      </c>
      <c r="K942" s="6" t="str">
        <v>Undecidable Labs Inc</v>
      </c>
      <c r="L942" s="7">
        <f>=DATE(2016,11,14)</f>
        <v>42687.99949074074</v>
      </c>
      <c r="W942" s="6" t="str">
        <v>Programming Services;Internet Services &amp; Software</v>
      </c>
      <c r="X942" s="6" t="str">
        <v>Applications Software(Business</v>
      </c>
      <c r="Y942" s="6" t="str">
        <v>Applications Software(Business</v>
      </c>
      <c r="Z942" s="6" t="str">
        <v>Applications Software(Business</v>
      </c>
      <c r="AA942" s="6" t="str">
        <v>Telecommunications Equipment;Primary Business not Hi-Tech;Computer Consulting Services;Programming Services;Internet Services &amp; Software</v>
      </c>
      <c r="AB942" s="6" t="str">
        <v>Primary Business not Hi-Tech;Internet Services &amp; Software;Computer Consulting Services;Telecommunications Equipment;Programming Services</v>
      </c>
    </row>
    <row r="943">
      <c r="A943" s="6" t="str">
        <v>30303M</v>
      </c>
      <c r="B943" s="6" t="str">
        <v>United States</v>
      </c>
      <c r="C943" s="6" t="str">
        <v>Facebook Inc</v>
      </c>
      <c r="D943" s="6" t="str">
        <v>Facebook Inc</v>
      </c>
      <c r="F943" s="6" t="str">
        <v>United States</v>
      </c>
      <c r="G943" s="6" t="str">
        <v>FacioMetrics LLC</v>
      </c>
      <c r="H943" s="6" t="str">
        <v>Prepackaged Software</v>
      </c>
      <c r="I943" s="6" t="str">
        <v>0F7072</v>
      </c>
      <c r="J943" s="6" t="str">
        <v>FacioMetrics LLC</v>
      </c>
      <c r="K943" s="6" t="str">
        <v>FacioMetrics LLC</v>
      </c>
      <c r="L943" s="7">
        <f>=DATE(2016,11,16)</f>
        <v>42689.99949074074</v>
      </c>
      <c r="M943" s="7">
        <f>=DATE(2016,11,16)</f>
        <v>42689.99949074074</v>
      </c>
      <c r="W943" s="6" t="str">
        <v>Internet Services &amp; Software</v>
      </c>
      <c r="X943" s="6" t="str">
        <v>Communication/Network Software</v>
      </c>
      <c r="Y943" s="6" t="str">
        <v>Communication/Network Software</v>
      </c>
      <c r="Z943" s="6" t="str">
        <v>Communication/Network Software</v>
      </c>
      <c r="AA943" s="6" t="str">
        <v>Internet Services &amp; Software</v>
      </c>
      <c r="AB943" s="6" t="str">
        <v>Internet Services &amp; Software</v>
      </c>
    </row>
    <row r="944">
      <c r="A944" s="6" t="str">
        <v>30303M</v>
      </c>
      <c r="B944" s="6" t="str">
        <v>United States</v>
      </c>
      <c r="C944" s="6" t="str">
        <v>Facebook Inc</v>
      </c>
      <c r="D944" s="6" t="str">
        <v>Facebook Inc</v>
      </c>
      <c r="F944" s="6" t="str">
        <v>United States</v>
      </c>
      <c r="G944" s="6" t="str">
        <v>Facebook Inc</v>
      </c>
      <c r="H944" s="6" t="str">
        <v>Business Services</v>
      </c>
      <c r="I944" s="6" t="str">
        <v>30303M</v>
      </c>
      <c r="J944" s="6" t="str">
        <v>Facebook Inc</v>
      </c>
      <c r="K944" s="6" t="str">
        <v>Facebook Inc</v>
      </c>
      <c r="L944" s="7">
        <f>=DATE(2016,11,18)</f>
        <v>42691.99949074074</v>
      </c>
      <c r="N944" s="8">
        <v>149000</v>
      </c>
      <c r="O944" s="8">
        <v>149000</v>
      </c>
      <c r="R944" s="8">
        <v>23561</v>
      </c>
      <c r="S944" s="8">
        <v>116609</v>
      </c>
      <c r="T944" s="8">
        <v>-22136</v>
      </c>
      <c r="U944" s="8">
        <v>-28970</v>
      </c>
      <c r="V944" s="8">
        <v>50475</v>
      </c>
      <c r="W944" s="6" t="str">
        <v>Internet Services &amp; Software</v>
      </c>
      <c r="X944" s="6" t="str">
        <v>Internet Services &amp; Software</v>
      </c>
      <c r="Y944" s="6" t="str">
        <v>Internet Services &amp; Software</v>
      </c>
      <c r="Z944" s="6" t="str">
        <v>Internet Services &amp; Software</v>
      </c>
      <c r="AA944" s="6" t="str">
        <v>Internet Services &amp; Software</v>
      </c>
      <c r="AB944" s="6" t="str">
        <v>Internet Services &amp; Software</v>
      </c>
      <c r="AC944" s="8">
        <v>149000</v>
      </c>
      <c r="AD944" s="7">
        <f>=DATE(2023,2,1)</f>
        <v>44957.99949074074</v>
      </c>
      <c r="AJ944" s="8" t="str">
        <v>149,000.00</v>
      </c>
      <c r="AK944" s="6" t="str">
        <v>US Dollar</v>
      </c>
      <c r="AL944" s="8">
        <v>149000</v>
      </c>
    </row>
    <row r="945">
      <c r="A945" s="6" t="str">
        <v>38259P</v>
      </c>
      <c r="B945" s="6" t="str">
        <v>United States</v>
      </c>
      <c r="C945" s="6" t="str">
        <v>Google Inc</v>
      </c>
      <c r="D945" s="6" t="str">
        <v>Alphabet Inc</v>
      </c>
      <c r="F945" s="6" t="str">
        <v>United States</v>
      </c>
      <c r="G945" s="6" t="str">
        <v>Qwiklabs Inc</v>
      </c>
      <c r="H945" s="6" t="str">
        <v>Business Services</v>
      </c>
      <c r="I945" s="6" t="str">
        <v>0F6708</v>
      </c>
      <c r="J945" s="6" t="str">
        <v>Qwiklabs Inc</v>
      </c>
      <c r="K945" s="6" t="str">
        <v>Qwiklabs Inc</v>
      </c>
      <c r="L945" s="7">
        <f>=DATE(2016,11,21)</f>
        <v>42694.99949074074</v>
      </c>
      <c r="M945" s="7">
        <f>=DATE(2016,11,21)</f>
        <v>42694.99949074074</v>
      </c>
      <c r="W945" s="6" t="str">
        <v>Programming Services;Internet Services &amp; Software</v>
      </c>
      <c r="X945" s="6" t="str">
        <v>Other Computer Related Svcs;Data Processing Services;Other Software (inq. Games);Computer Consulting Services</v>
      </c>
      <c r="Y945" s="6" t="str">
        <v>Data Processing Services;Computer Consulting Services;Other Computer Related Svcs;Other Software (inq. Games)</v>
      </c>
      <c r="Z945" s="6" t="str">
        <v>Other Software (inq. Games);Data Processing Services;Computer Consulting Services;Other Computer Related Svcs</v>
      </c>
      <c r="AA945" s="6" t="str">
        <v>Telecommunications Equipment;Programming Services;Primary Business not Hi-Tech;Internet Services &amp; Software;Computer Consulting Services</v>
      </c>
      <c r="AB945" s="6" t="str">
        <v>Computer Consulting Services;Internet Services &amp; Software;Programming Services;Telecommunications Equipment;Primary Business not Hi-Tech</v>
      </c>
    </row>
    <row r="946">
      <c r="A946" s="6" t="str">
        <v>037833</v>
      </c>
      <c r="B946" s="6" t="str">
        <v>United States</v>
      </c>
      <c r="C946" s="6" t="str">
        <v>Apple Inc</v>
      </c>
      <c r="D946" s="6" t="str">
        <v>Apple Inc</v>
      </c>
      <c r="F946" s="6" t="str">
        <v>Finland</v>
      </c>
      <c r="G946" s="6" t="str">
        <v>Indoor.io</v>
      </c>
      <c r="H946" s="6" t="str">
        <v>Prepackaged Software</v>
      </c>
      <c r="I946" s="6" t="str">
        <v>0L1763</v>
      </c>
      <c r="J946" s="6" t="str">
        <v>Indoor.io</v>
      </c>
      <c r="K946" s="6" t="str">
        <v>Indoor.io</v>
      </c>
      <c r="L946" s="7">
        <f>=DATE(2016,12,1)</f>
        <v>42704.99949074074</v>
      </c>
      <c r="M946" s="7">
        <f>=DATE(2016,12,1)</f>
        <v>42704.99949074074</v>
      </c>
      <c r="W946" s="6" t="str">
        <v>Micro-Computers (PCs);Disk Drives;Monitors/Terminals;Other Peripherals;Printers;Other Software (inq. Games);Portable Computers;Mainframes &amp; Super Computers</v>
      </c>
      <c r="X946" s="6" t="str">
        <v>Applications Software(Business;Applications Software(Home);Internet Services &amp; Software;Utilities/File Mgmt Software;Other Software (inq. Games);Communication/Network Software;Desktop Publishing</v>
      </c>
      <c r="Y946" s="6" t="str">
        <v>Other Software (inq. Games);Applications Software(Home);Applications Software(Business;Communication/Network Software;Utilities/File Mgmt Software;Desktop Publishing;Internet Services &amp; Software</v>
      </c>
      <c r="Z946" s="6" t="str">
        <v>Desktop Publishing;Applications Software(Home);Other Software (inq. Games);Internet Services &amp; Software;Applications Software(Business;Utilities/File Mgmt Software;Communication/Network Software</v>
      </c>
      <c r="AA946" s="6" t="str">
        <v>Micro-Computers (PCs);Other Software (inq. Games);Monitors/Terminals;Portable Computers;Mainframes &amp; Super Computers;Printers;Other Peripherals;Disk Drives</v>
      </c>
      <c r="AB946" s="6" t="str">
        <v>Disk Drives;Monitors/Terminals;Other Software (inq. Games);Micro-Computers (PCs);Other Peripherals;Portable Computers;Printers;Mainframes &amp; Super Computers</v>
      </c>
    </row>
    <row r="947">
      <c r="A947" s="6" t="str">
        <v>9A6770</v>
      </c>
      <c r="B947" s="6" t="str">
        <v>United States</v>
      </c>
      <c r="C947" s="6" t="str">
        <v>Oculus VR LLC(NOW 8J8006)</v>
      </c>
      <c r="D947" s="6" t="str">
        <v>Facebook Inc</v>
      </c>
      <c r="F947" s="6" t="str">
        <v>Denmark</v>
      </c>
      <c r="G947" s="6" t="str">
        <v>The Eye Tribe ApS</v>
      </c>
      <c r="H947" s="6" t="str">
        <v>Prepackaged Software</v>
      </c>
      <c r="I947" s="6" t="str">
        <v>1F6886</v>
      </c>
      <c r="J947" s="6" t="str">
        <v>The Eye Tribe ApS</v>
      </c>
      <c r="K947" s="6" t="str">
        <v>The Eye Tribe ApS</v>
      </c>
      <c r="L947" s="7">
        <f>=DATE(2016,12,29)</f>
        <v>42732.99949074074</v>
      </c>
      <c r="M947" s="7">
        <f>=DATE(2016,12,29)</f>
        <v>42732.99949074074</v>
      </c>
      <c r="W947" s="6" t="str">
        <v>Applications Software(Business;Applications Software(Home);Programming Services;Communication/Network Software</v>
      </c>
      <c r="X947" s="6" t="str">
        <v>Process Control Systems;Communication/Network Software</v>
      </c>
      <c r="Y947" s="6" t="str">
        <v>Communication/Network Software;Process Control Systems</v>
      </c>
      <c r="Z947" s="6" t="str">
        <v>Communication/Network Software;Process Control Systems</v>
      </c>
      <c r="AA947" s="6" t="str">
        <v>Internet Services &amp; Software</v>
      </c>
      <c r="AB947" s="6" t="str">
        <v>Internet Services &amp; Software</v>
      </c>
    </row>
    <row r="948">
      <c r="A948" s="6" t="str">
        <v>38259P</v>
      </c>
      <c r="B948" s="6" t="str">
        <v>United States</v>
      </c>
      <c r="C948" s="6" t="str">
        <v>Google Inc</v>
      </c>
      <c r="D948" s="6" t="str">
        <v>Alphabet Inc</v>
      </c>
      <c r="F948" s="6" t="str">
        <v>Germany</v>
      </c>
      <c r="G948" s="6" t="str">
        <v>SoundCloud Global Ltd &amp; Co KG</v>
      </c>
      <c r="H948" s="6" t="str">
        <v>Business Services</v>
      </c>
      <c r="I948" s="6" t="str">
        <v>0C6873</v>
      </c>
      <c r="J948" s="6" t="str">
        <v>SoundCloud Global Ltd &amp; Co KG</v>
      </c>
      <c r="K948" s="6" t="str">
        <v>SoundCloud Global Ltd &amp; Co KG</v>
      </c>
      <c r="L948" s="7">
        <f>=DATE(2017,1,3)</f>
        <v>42737.99949074074</v>
      </c>
      <c r="R948" s="8">
        <v>-51.9010463920644</v>
      </c>
      <c r="S948" s="8">
        <v>23.00852839775</v>
      </c>
      <c r="W948" s="6" t="str">
        <v>Programming Services;Internet Services &amp; Software</v>
      </c>
      <c r="X948" s="6" t="str">
        <v>Communication/Network Software;Internet Services &amp; Software</v>
      </c>
      <c r="Y948" s="6" t="str">
        <v>Internet Services &amp; Software;Communication/Network Software</v>
      </c>
      <c r="Z948" s="6" t="str">
        <v>Communication/Network Software;Internet Services &amp; Software</v>
      </c>
      <c r="AA948" s="6" t="str">
        <v>Primary Business not Hi-Tech;Internet Services &amp; Software;Computer Consulting Services;Programming Services;Telecommunications Equipment</v>
      </c>
      <c r="AB948" s="6" t="str">
        <v>Computer Consulting Services;Primary Business not Hi-Tech;Telecommunications Equipment;Internet Services &amp; Software;Programming Services</v>
      </c>
      <c r="AD948" s="7">
        <f>=DATE(2017,1,3)</f>
        <v>42737.99949074074</v>
      </c>
    </row>
    <row r="949">
      <c r="A949" s="6" t="str">
        <v>38259P</v>
      </c>
      <c r="B949" s="6" t="str">
        <v>United States</v>
      </c>
      <c r="C949" s="6" t="str">
        <v>Google Inc</v>
      </c>
      <c r="D949" s="6" t="str">
        <v>Alphabet Inc</v>
      </c>
      <c r="F949" s="6" t="str">
        <v>Sweden</v>
      </c>
      <c r="G949" s="6" t="str">
        <v>Limes Audio AB</v>
      </c>
      <c r="H949" s="6" t="str">
        <v>Prepackaged Software</v>
      </c>
      <c r="I949" s="6" t="str">
        <v>2F0355</v>
      </c>
      <c r="J949" s="6" t="str">
        <v>Limes Audio AB</v>
      </c>
      <c r="K949" s="6" t="str">
        <v>Limes Audio AB</v>
      </c>
      <c r="L949" s="7">
        <f>=DATE(2017,1,5)</f>
        <v>42739.99949074074</v>
      </c>
      <c r="M949" s="7">
        <f>=DATE(2017,1,5)</f>
        <v>42739.99949074074</v>
      </c>
      <c r="W949" s="6" t="str">
        <v>Programming Services;Internet Services &amp; Software</v>
      </c>
      <c r="X949" s="6" t="str">
        <v>Internet Services &amp; Software;Communication/Network Software</v>
      </c>
      <c r="Y949" s="6" t="str">
        <v>Internet Services &amp; Software;Communication/Network Software</v>
      </c>
      <c r="Z949" s="6" t="str">
        <v>Internet Services &amp; Software;Communication/Network Software</v>
      </c>
      <c r="AA949" s="6" t="str">
        <v>Primary Business not Hi-Tech;Computer Consulting Services;Telecommunications Equipment;Programming Services;Internet Services &amp; Software</v>
      </c>
      <c r="AB949" s="6" t="str">
        <v>Primary Business not Hi-Tech;Computer Consulting Services;Telecommunications Equipment;Internet Services &amp; Software;Programming Services</v>
      </c>
    </row>
    <row r="950">
      <c r="A950" s="6" t="str">
        <v>594918</v>
      </c>
      <c r="B950" s="6" t="str">
        <v>United States</v>
      </c>
      <c r="C950" s="6" t="str">
        <v>Microsoft Corp</v>
      </c>
      <c r="D950" s="6" t="str">
        <v>Microsoft Corp</v>
      </c>
      <c r="F950" s="6" t="str">
        <v>Canada</v>
      </c>
      <c r="G950" s="6" t="str">
        <v>Maluuba Inc</v>
      </c>
      <c r="H950" s="6" t="str">
        <v>Prepackaged Software</v>
      </c>
      <c r="I950" s="6" t="str">
        <v>2F1503</v>
      </c>
      <c r="J950" s="6" t="str">
        <v>Maluuba Inc</v>
      </c>
      <c r="K950" s="6" t="str">
        <v>Maluuba Inc</v>
      </c>
      <c r="L950" s="7">
        <f>=DATE(2017,1,13)</f>
        <v>42747.99949074074</v>
      </c>
      <c r="W950" s="6" t="str">
        <v>Internet Services &amp; Software;Computer Consulting Services;Other Peripherals;Operating Systems;Monitors/Terminals;Applications Software(Business</v>
      </c>
      <c r="X950" s="6" t="str">
        <v>Other Software (inq. Games)</v>
      </c>
      <c r="Y950" s="6" t="str">
        <v>Other Software (inq. Games)</v>
      </c>
      <c r="Z950" s="6" t="str">
        <v>Other Software (inq. Games)</v>
      </c>
      <c r="AA950" s="6" t="str">
        <v>Operating Systems;Other Peripherals;Internet Services &amp; Software;Computer Consulting Services;Monitors/Terminals;Applications Software(Business</v>
      </c>
      <c r="AB950" s="6" t="str">
        <v>Other Peripherals;Computer Consulting Services;Monitors/Terminals;Applications Software(Business;Internet Services &amp; Software;Operating Systems</v>
      </c>
    </row>
    <row r="951">
      <c r="A951" s="6" t="str">
        <v>594918</v>
      </c>
      <c r="B951" s="6" t="str">
        <v>United States</v>
      </c>
      <c r="C951" s="6" t="str">
        <v>Microsoft Corp</v>
      </c>
      <c r="D951" s="6" t="str">
        <v>Microsoft Corp</v>
      </c>
      <c r="F951" s="6" t="str">
        <v>Sweden</v>
      </c>
      <c r="G951" s="6" t="str">
        <v>Donya Labs AB</v>
      </c>
      <c r="H951" s="6" t="str">
        <v>Prepackaged Software</v>
      </c>
      <c r="I951" s="6" t="str">
        <v>5A1030</v>
      </c>
      <c r="J951" s="6" t="str">
        <v>Donya Labs AB</v>
      </c>
      <c r="K951" s="6" t="str">
        <v>Donya Labs AB</v>
      </c>
      <c r="L951" s="7">
        <f>=DATE(2017,1,17)</f>
        <v>42751.99949074074</v>
      </c>
      <c r="M951" s="7">
        <f>=DATE(2017,1,17)</f>
        <v>42751.99949074074</v>
      </c>
      <c r="W951" s="6" t="str">
        <v>Other Peripherals;Internet Services &amp; Software;Operating Systems;Applications Software(Business;Computer Consulting Services;Monitors/Terminals</v>
      </c>
      <c r="X951" s="6" t="str">
        <v>Other Software (inq. Games)</v>
      </c>
      <c r="Y951" s="6" t="str">
        <v>Other Software (inq. Games)</v>
      </c>
      <c r="Z951" s="6" t="str">
        <v>Other Software (inq. Games)</v>
      </c>
      <c r="AA951" s="6" t="str">
        <v>Other Peripherals;Operating Systems;Computer Consulting Services;Monitors/Terminals;Applications Software(Business;Internet Services &amp; Software</v>
      </c>
      <c r="AB951" s="6" t="str">
        <v>Operating Systems;Computer Consulting Services;Internet Services &amp; Software;Other Peripherals;Monitors/Terminals;Applications Software(Business</v>
      </c>
    </row>
    <row r="952">
      <c r="A952" s="6" t="str">
        <v>38259P</v>
      </c>
      <c r="B952" s="6" t="str">
        <v>United States</v>
      </c>
      <c r="C952" s="6" t="str">
        <v>Google Inc</v>
      </c>
      <c r="D952" s="6" t="str">
        <v>Alphabet Inc</v>
      </c>
      <c r="F952" s="6" t="str">
        <v>United States</v>
      </c>
      <c r="G952" s="6" t="str">
        <v>Twitter Inc-Fabric Software</v>
      </c>
      <c r="H952" s="6" t="str">
        <v>Prepackaged Software</v>
      </c>
      <c r="I952" s="6" t="str">
        <v>2F2495</v>
      </c>
      <c r="J952" s="6" t="str">
        <v>Twitter Inc</v>
      </c>
      <c r="K952" s="6" t="str">
        <v>Twitter Inc</v>
      </c>
      <c r="L952" s="7">
        <f>=DATE(2017,1,18)</f>
        <v>42752.99949074074</v>
      </c>
      <c r="M952" s="7">
        <f>=DATE(2017,1,18)</f>
        <v>42752.99949074074</v>
      </c>
      <c r="W952" s="6" t="str">
        <v>Internet Services &amp; Software;Programming Services</v>
      </c>
      <c r="X952" s="6" t="str">
        <v>Communication/Network Software</v>
      </c>
      <c r="Y952" s="6" t="str">
        <v>Internet Services &amp; Software</v>
      </c>
      <c r="Z952" s="6" t="str">
        <v>Internet Services &amp; Software</v>
      </c>
      <c r="AA952" s="6" t="str">
        <v>Computer Consulting Services;Internet Services &amp; Software;Telecommunications Equipment;Programming Services;Primary Business not Hi-Tech</v>
      </c>
      <c r="AB952" s="6" t="str">
        <v>Internet Services &amp; Software;Programming Services;Computer Consulting Services;Telecommunications Equipment;Primary Business not Hi-Tech</v>
      </c>
    </row>
    <row r="953">
      <c r="A953" s="6" t="str">
        <v>00507V</v>
      </c>
      <c r="B953" s="6" t="str">
        <v>United States</v>
      </c>
      <c r="C953" s="6" t="str">
        <v>Activision Blizzard Inc</v>
      </c>
      <c r="D953" s="6" t="str">
        <v>Activision Blizzard Inc</v>
      </c>
      <c r="F953" s="6" t="str">
        <v>United States</v>
      </c>
      <c r="G953" s="6" t="str">
        <v>Omniata Inc</v>
      </c>
      <c r="H953" s="6" t="str">
        <v>Business Services</v>
      </c>
      <c r="I953" s="6" t="str">
        <v>6N6336</v>
      </c>
      <c r="J953" s="6" t="str">
        <v>Omniata Inc</v>
      </c>
      <c r="K953" s="6" t="str">
        <v>Omniata Inc</v>
      </c>
      <c r="L953" s="7">
        <f>=DATE(2017,1,25)</f>
        <v>42759.99949074074</v>
      </c>
      <c r="M953" s="7">
        <f>=DATE(2017,1,25)</f>
        <v>42759.99949074074</v>
      </c>
      <c r="W953" s="6" t="str">
        <v>Other Software (inq. Games);Operating Systems;Other Computer Systems</v>
      </c>
      <c r="X953" s="6" t="str">
        <v>Computer Consulting Services;Data Processing Services;Applications Software(Business;Other Computer Related Svcs;Applications Software(Home);Networking Systems (LAN,WAN);Internet Services &amp; Software;Desktop Publishing;Utilities/File Mgmt Software;Other Software (inq. Games);Primary Business not Hi-Tech;Communication/Network Software</v>
      </c>
      <c r="Y953" s="6" t="str">
        <v>Other Computer Related Svcs;Internet Services &amp; Software;Applications Software(Business;Primary Business not Hi-Tech;Utilities/File Mgmt Software;Applications Software(Home);Communication/Network Software;Networking Systems (LAN,WAN);Desktop Publishing;Data Processing Services;Computer Consulting Services;Other Software (inq. Games)</v>
      </c>
      <c r="Z953" s="6" t="str">
        <v>Applications Software(Home);Applications Software(Business;Other Computer Related Svcs;Other Software (inq. Games);Internet Services &amp; Software;Data Processing Services;Utilities/File Mgmt Software;Desktop Publishing;Communication/Network Software;Networking Systems (LAN,WAN);Primary Business not Hi-Tech;Computer Consulting Services</v>
      </c>
      <c r="AA953" s="6" t="str">
        <v>Operating Systems;Other Computer Systems;Other Software (inq. Games)</v>
      </c>
      <c r="AB953" s="6" t="str">
        <v>Other Computer Systems;Operating Systems;Other Software (inq. Games)</v>
      </c>
    </row>
    <row r="954">
      <c r="A954" s="6" t="str">
        <v>98967F</v>
      </c>
      <c r="B954" s="6" t="str">
        <v>United States</v>
      </c>
      <c r="C954" s="6" t="str">
        <v>ZeniMax Media Inc</v>
      </c>
      <c r="D954" s="6" t="str">
        <v>ZeniMax Media Inc</v>
      </c>
      <c r="F954" s="6" t="str">
        <v>United States</v>
      </c>
      <c r="G954" s="6" t="str">
        <v>Escalation Studios</v>
      </c>
      <c r="H954" s="6" t="str">
        <v>Prepackaged Software</v>
      </c>
      <c r="I954" s="6" t="str">
        <v>30680R</v>
      </c>
      <c r="J954" s="6" t="str">
        <v>6Waves Lolapps Inc</v>
      </c>
      <c r="K954" s="6" t="str">
        <v>6Waves Lolapps Inc</v>
      </c>
      <c r="L954" s="7">
        <f>=DATE(2017,2,1)</f>
        <v>42766.99949074074</v>
      </c>
      <c r="M954" s="7">
        <f>=DATE(2017,2,1)</f>
        <v>42766.99949074074</v>
      </c>
      <c r="S954" s="8">
        <v>3.047</v>
      </c>
      <c r="W954" s="6" t="str">
        <v>Other Software (inq. Games)</v>
      </c>
      <c r="X954" s="6" t="str">
        <v>Primary Business not Hi-Tech;Applications Software(Business;Other Software (inq. Games);Communication/Network Software</v>
      </c>
      <c r="Y954" s="6" t="str">
        <v>Other Software (inq. Games)</v>
      </c>
      <c r="Z954" s="6" t="str">
        <v>Other Software (inq. Games)</v>
      </c>
      <c r="AA954" s="6" t="str">
        <v>Other Software (inq. Games)</v>
      </c>
      <c r="AB954" s="6" t="str">
        <v>Other Software (inq. Games)</v>
      </c>
    </row>
    <row r="955">
      <c r="A955" s="6" t="str">
        <v>00507V</v>
      </c>
      <c r="B955" s="6" t="str">
        <v>United States</v>
      </c>
      <c r="C955" s="6" t="str">
        <v>Activision Blizzard Inc</v>
      </c>
      <c r="D955" s="6" t="str">
        <v>Activision Blizzard Inc</v>
      </c>
      <c r="F955" s="6" t="str">
        <v>United States</v>
      </c>
      <c r="G955" s="6" t="str">
        <v>Activision Blizzard Inc</v>
      </c>
      <c r="H955" s="6" t="str">
        <v>Prepackaged Software</v>
      </c>
      <c r="I955" s="6" t="str">
        <v>00507V</v>
      </c>
      <c r="J955" s="6" t="str">
        <v>Activision Blizzard Inc</v>
      </c>
      <c r="K955" s="6" t="str">
        <v>Activision Blizzard Inc</v>
      </c>
      <c r="L955" s="7">
        <f>=DATE(2017,2,9)</f>
        <v>42774.99949074074</v>
      </c>
      <c r="N955" s="8">
        <v>1000</v>
      </c>
      <c r="O955" s="8">
        <v>1000</v>
      </c>
      <c r="R955" s="8">
        <v>966</v>
      </c>
      <c r="S955" s="8">
        <v>6608</v>
      </c>
      <c r="T955" s="8">
        <v>500</v>
      </c>
      <c r="U955" s="8">
        <v>-1177</v>
      </c>
      <c r="V955" s="8">
        <v>2155</v>
      </c>
      <c r="W955" s="6" t="str">
        <v>Other Software (inq. Games);Operating Systems;Other Computer Systems</v>
      </c>
      <c r="X955" s="6" t="str">
        <v>Other Software (inq. Games);Operating Systems;Other Computer Systems</v>
      </c>
      <c r="Y955" s="6" t="str">
        <v>Other Computer Systems;Other Software (inq. Games);Operating Systems</v>
      </c>
      <c r="Z955" s="6" t="str">
        <v>Other Computer Systems;Other Software (inq. Games);Operating Systems</v>
      </c>
      <c r="AA955" s="6" t="str">
        <v>Operating Systems;Other Computer Systems;Other Software (inq. Games)</v>
      </c>
      <c r="AB955" s="6" t="str">
        <v>Other Computer Systems;Operating Systems;Other Software (inq. Games)</v>
      </c>
      <c r="AC955" s="8">
        <v>1000</v>
      </c>
      <c r="AD955" s="7">
        <f>=DATE(2017,2,9)</f>
        <v>42774.99949074074</v>
      </c>
      <c r="AJ955" s="8" t="str">
        <v>1,000.00</v>
      </c>
      <c r="AK955" s="6" t="str">
        <v>US Dollar</v>
      </c>
      <c r="AL955" s="8">
        <v>1000</v>
      </c>
    </row>
    <row r="956">
      <c r="A956" s="6" t="str">
        <v>037833</v>
      </c>
      <c r="B956" s="6" t="str">
        <v>United States</v>
      </c>
      <c r="C956" s="6" t="str">
        <v>Apple Inc</v>
      </c>
      <c r="D956" s="6" t="str">
        <v>Apple Inc</v>
      </c>
      <c r="F956" s="6" t="str">
        <v>Israel</v>
      </c>
      <c r="G956" s="6" t="str">
        <v>RealFace</v>
      </c>
      <c r="H956" s="6" t="str">
        <v>Business Services</v>
      </c>
      <c r="I956" s="6" t="str">
        <v>3F0770</v>
      </c>
      <c r="J956" s="6" t="str">
        <v>RealFace</v>
      </c>
      <c r="K956" s="6" t="str">
        <v>RealFace</v>
      </c>
      <c r="L956" s="7">
        <f>=DATE(2017,2,19)</f>
        <v>42784.99949074074</v>
      </c>
      <c r="W956" s="6" t="str">
        <v>Portable Computers;Micro-Computers (PCs);Other Software (inq. Games);Monitors/Terminals;Printers;Other Peripherals;Disk Drives;Mainframes &amp; Super Computers</v>
      </c>
      <c r="X956" s="6" t="str">
        <v>Programming Services;Communication/Network Software</v>
      </c>
      <c r="Y956" s="6" t="str">
        <v>Communication/Network Software;Programming Services</v>
      </c>
      <c r="Z956" s="6" t="str">
        <v>Communication/Network Software;Programming Services</v>
      </c>
      <c r="AA956" s="6" t="str">
        <v>Micro-Computers (PCs);Mainframes &amp; Super Computers;Portable Computers;Other Software (inq. Games);Monitors/Terminals;Other Peripherals;Disk Drives;Printers</v>
      </c>
      <c r="AB956" s="6" t="str">
        <v>Micro-Computers (PCs);Other Peripherals;Printers;Disk Drives;Mainframes &amp; Super Computers;Monitors/Terminals;Other Software (inq. Games);Portable Computers</v>
      </c>
      <c r="AD956" s="7">
        <f>=DATE(2017,2,19)</f>
        <v>42784.99949074074</v>
      </c>
    </row>
    <row r="957">
      <c r="A957" s="6" t="str">
        <v>037833</v>
      </c>
      <c r="B957" s="6" t="str">
        <v>United States</v>
      </c>
      <c r="C957" s="6" t="str">
        <v>Apple Inc</v>
      </c>
      <c r="D957" s="6" t="str">
        <v>Apple Inc</v>
      </c>
      <c r="F957" s="6" t="str">
        <v>United States</v>
      </c>
      <c r="G957" s="6" t="str">
        <v>Icloud.Net</v>
      </c>
      <c r="H957" s="6" t="str">
        <v>Prepackaged Software</v>
      </c>
      <c r="I957" s="6" t="str">
        <v>0L2641</v>
      </c>
      <c r="J957" s="6" t="str">
        <v>Icloud.Net</v>
      </c>
      <c r="K957" s="6" t="str">
        <v>Icloud.Net</v>
      </c>
      <c r="L957" s="7">
        <f>=DATE(2017,2,22)</f>
        <v>42787.99949074074</v>
      </c>
      <c r="M957" s="7">
        <f>=DATE(2017,2,22)</f>
        <v>42787.99949074074</v>
      </c>
      <c r="W957" s="6" t="str">
        <v>Portable Computers;Mainframes &amp; Super Computers;Other Software (inq. Games);Disk Drives;Printers;Monitors/Terminals;Other Peripherals;Micro-Computers (PCs)</v>
      </c>
      <c r="X957" s="6" t="str">
        <v>Applications Software(Home);Other Software (inq. Games);Communication/Network Software;Utilities/File Mgmt Software;Applications Software(Business;Desktop Publishing;Internet Services &amp; Software</v>
      </c>
      <c r="Y957" s="6" t="str">
        <v>Other Software (inq. Games);Internet Services &amp; Software;Applications Software(Business;Desktop Publishing;Utilities/File Mgmt Software;Applications Software(Home);Communication/Network Software</v>
      </c>
      <c r="Z957" s="6" t="str">
        <v>Communication/Network Software;Desktop Publishing;Internet Services &amp; Software;Applications Software(Home);Applications Software(Business;Utilities/File Mgmt Software;Other Software (inq. Games)</v>
      </c>
      <c r="AA957" s="6" t="str">
        <v>Printers;Mainframes &amp; Super Computers;Monitors/Terminals;Micro-Computers (PCs);Portable Computers;Other Software (inq. Games);Other Peripherals;Disk Drives</v>
      </c>
      <c r="AB957" s="6" t="str">
        <v>Other Peripherals;Monitors/Terminals;Printers;Micro-Computers (PCs);Other Software (inq. Games);Disk Drives;Mainframes &amp; Super Computers;Portable Computers</v>
      </c>
    </row>
    <row r="958">
      <c r="A958" s="6" t="str">
        <v>037833</v>
      </c>
      <c r="B958" s="6" t="str">
        <v>United States</v>
      </c>
      <c r="C958" s="6" t="str">
        <v>Apple Inc</v>
      </c>
      <c r="D958" s="6" t="str">
        <v>Apple Inc</v>
      </c>
      <c r="F958" s="6" t="str">
        <v>United States</v>
      </c>
      <c r="G958" s="6" t="str">
        <v>Apple Inc</v>
      </c>
      <c r="H958" s="6" t="str">
        <v>Computer and Office Equipment</v>
      </c>
      <c r="I958" s="6" t="str">
        <v>037833</v>
      </c>
      <c r="J958" s="6" t="str">
        <v>Apple Inc</v>
      </c>
      <c r="K958" s="6" t="str">
        <v>Apple Inc</v>
      </c>
      <c r="L958" s="7">
        <f>=DATE(2017,2,28)</f>
        <v>42793.99949074074</v>
      </c>
      <c r="M958" s="7">
        <f>=DATE(2017,5,31)</f>
        <v>42885.99949074074</v>
      </c>
      <c r="N958" s="8">
        <v>3000</v>
      </c>
      <c r="O958" s="8">
        <v>3000</v>
      </c>
      <c r="W958" s="6" t="str">
        <v>Portable Computers;Other Peripherals;Monitors/Terminals;Mainframes &amp; Super Computers;Disk Drives;Printers;Micro-Computers (PCs);Other Software (inq. Games)</v>
      </c>
      <c r="X958" s="6" t="str">
        <v>Micro-Computers (PCs);Monitors/Terminals;Mainframes &amp; Super Computers;Other Software (inq. Games);Printers;Disk Drives;Portable Computers;Other Peripherals</v>
      </c>
      <c r="Y958" s="6" t="str">
        <v>Monitors/Terminals;Portable Computers;Micro-Computers (PCs);Other Software (inq. Games);Printers;Mainframes &amp; Super Computers;Other Peripherals;Disk Drives</v>
      </c>
      <c r="Z958" s="6" t="str">
        <v>Disk Drives;Portable Computers;Micro-Computers (PCs);Other Peripherals;Monitors/Terminals;Mainframes &amp; Super Computers;Printers;Other Software (inq. Games)</v>
      </c>
      <c r="AA958" s="6" t="str">
        <v>Other Software (inq. Games);Mainframes &amp; Super Computers;Disk Drives;Monitors/Terminals;Printers;Other Peripherals;Micro-Computers (PCs);Portable Computers</v>
      </c>
      <c r="AB958" s="6" t="str">
        <v>Monitors/Terminals;Printers;Other Software (inq. Games);Portable Computers;Disk Drives;Mainframes &amp; Super Computers;Other Peripherals;Micro-Computers (PCs)</v>
      </c>
      <c r="AC958" s="8">
        <v>3000</v>
      </c>
      <c r="AD958" s="7">
        <f>=DATE(2017,2,28)</f>
        <v>42793.99949074074</v>
      </c>
      <c r="AF958" s="8" t="str">
        <v>746,647.57</v>
      </c>
      <c r="AG958" s="8" t="str">
        <v>746,647.57</v>
      </c>
      <c r="AH958" s="8" t="str">
        <v>746,647.57</v>
      </c>
      <c r="AI958" s="8" t="str">
        <v>746,647.57</v>
      </c>
      <c r="AJ958" s="8" t="str">
        <v>3,000.00</v>
      </c>
      <c r="AK958" s="6" t="str">
        <v>US Dollar</v>
      </c>
      <c r="AL958" s="8">
        <v>3000</v>
      </c>
    </row>
    <row r="959">
      <c r="A959" s="6" t="str">
        <v>01864J</v>
      </c>
      <c r="B959" s="6" t="str">
        <v>United States</v>
      </c>
      <c r="C959" s="6" t="str">
        <v>Avanade Inc</v>
      </c>
      <c r="D959" s="6" t="str">
        <v>Accenture PLC</v>
      </c>
      <c r="F959" s="6" t="str">
        <v>United States</v>
      </c>
      <c r="G959" s="6" t="str">
        <v>Infusion Inc</v>
      </c>
      <c r="H959" s="6" t="str">
        <v>Prepackaged Software</v>
      </c>
      <c r="I959" s="6" t="str">
        <v>3F1802</v>
      </c>
      <c r="J959" s="6" t="str">
        <v>Infusion Inc</v>
      </c>
      <c r="K959" s="6" t="str">
        <v>Infusion Inc</v>
      </c>
      <c r="L959" s="7">
        <f>=DATE(2017,2,28)</f>
        <v>42793.99949074074</v>
      </c>
      <c r="M959" s="7">
        <f>=DATE(2017,2,28)</f>
        <v>42793.99949074074</v>
      </c>
      <c r="W959" s="6" t="str">
        <v>Other Software (inq. Games);Other Computer Related Svcs;Computer Consulting Services</v>
      </c>
      <c r="X959" s="6" t="str">
        <v>Computer Consulting Services;CAD/CAM/CAE/Graphics Systems;Other Software (inq. Games)</v>
      </c>
      <c r="Y959" s="6" t="str">
        <v>Computer Consulting Services;CAD/CAM/CAE/Graphics Systems;Other Software (inq. Games)</v>
      </c>
      <c r="Z959" s="6" t="str">
        <v>CAD/CAM/CAE/Graphics Systems;Computer Consulting Services;Other Software (inq. Games)</v>
      </c>
      <c r="AA959" s="6" t="str">
        <v>Internet Services &amp; Software;Desktop Publishing;Utilities/File Mgmt Software;Other Computer Systems;Communication/Network Software;Operating Systems;Other Computer Related Svcs;Applications Software(Home);Applications Software(Business;Networking Systems (LAN,WAN);Other Software (inq. Games);Data Commun(Exclude networking;CAD/CAM/CAE/Graphics Systems;Turnkey Systems;Computer Consulting Services;Data Processing Services;Primary Business not Hi-Tech;Workstations</v>
      </c>
      <c r="AB959" s="6" t="str">
        <v>Workstations;Internet Services &amp; Software;Desktop Publishing;Networking Systems (LAN,WAN);Other Computer Related Svcs;Other Computer Systems;Data Commun(Exclude networking;CAD/CAM/CAE/Graphics Systems;Computer Consulting Services;Primary Business not Hi-Tech;Operating Systems;Utilities/File Mgmt Software;Data Processing Services;Applications Software(Business;Turnkey Systems;Communication/Network Software;Applications Software(Home);Other Software (inq. Games)</v>
      </c>
    </row>
    <row r="960">
      <c r="A960" s="6" t="str">
        <v>3F2082</v>
      </c>
      <c r="B960" s="6" t="str">
        <v>United States</v>
      </c>
      <c r="C960" s="6" t="str">
        <v>Microsoft Ventures Inc</v>
      </c>
      <c r="D960" s="6" t="str">
        <v>Microsoft Corp</v>
      </c>
      <c r="F960" s="6" t="str">
        <v>Sweden</v>
      </c>
      <c r="G960" s="6" t="str">
        <v>Pickit</v>
      </c>
      <c r="H960" s="6" t="str">
        <v>Business Services</v>
      </c>
      <c r="I960" s="6" t="str">
        <v>3F2084</v>
      </c>
      <c r="J960" s="6" t="str">
        <v>Pickit</v>
      </c>
      <c r="K960" s="6" t="str">
        <v>Pickit</v>
      </c>
      <c r="L960" s="7">
        <f>=DATE(2017,3,1)</f>
        <v>42794.99949074074</v>
      </c>
      <c r="W960" s="6" t="str">
        <v>Primary Business not Hi-Tech</v>
      </c>
      <c r="X960" s="6" t="str">
        <v>Internet Services &amp; Software;Communication/Network Software</v>
      </c>
      <c r="Y960" s="6" t="str">
        <v>Internet Services &amp; Software;Communication/Network Software</v>
      </c>
      <c r="Z960" s="6" t="str">
        <v>Internet Services &amp; Software;Communication/Network Software</v>
      </c>
      <c r="AA960" s="6" t="str">
        <v>Monitors/Terminals;Operating Systems;Internet Services &amp; Software;Other Peripherals;Applications Software(Business;Computer Consulting Services</v>
      </c>
      <c r="AB960" s="6" t="str">
        <v>Internet Services &amp; Software;Other Peripherals;Computer Consulting Services;Operating Systems;Monitors/Terminals;Applications Software(Business</v>
      </c>
    </row>
    <row r="961">
      <c r="A961" s="6" t="str">
        <v>4C7902</v>
      </c>
      <c r="B961" s="6" t="str">
        <v>United States</v>
      </c>
      <c r="C961" s="6" t="str">
        <v>Amazon Web Services Inc</v>
      </c>
      <c r="D961" s="6" t="str">
        <v>Amazon.com Inc</v>
      </c>
      <c r="F961" s="6" t="str">
        <v>Canada</v>
      </c>
      <c r="G961" s="6" t="str">
        <v>Thinkbox Software Inc</v>
      </c>
      <c r="H961" s="6" t="str">
        <v>Prepackaged Software</v>
      </c>
      <c r="I961" s="6" t="str">
        <v>3F3843</v>
      </c>
      <c r="J961" s="6" t="str">
        <v>Thinkbox Software Inc</v>
      </c>
      <c r="K961" s="6" t="str">
        <v>Thinkbox Software Inc</v>
      </c>
      <c r="L961" s="7">
        <f>=DATE(2017,3,7)</f>
        <v>42800.99949074074</v>
      </c>
      <c r="M961" s="7">
        <f>=DATE(2017,3,7)</f>
        <v>42800.99949074074</v>
      </c>
      <c r="W961" s="6" t="str">
        <v>Other Computer Related Svcs;Data Processing Services;Computer Consulting Services;Internet Services &amp; Software;Primary Business not Hi-Tech</v>
      </c>
      <c r="X961" s="6" t="str">
        <v>Communication/Network Software</v>
      </c>
      <c r="Y961" s="6" t="str">
        <v>Communication/Network Software</v>
      </c>
      <c r="Z961" s="6" t="str">
        <v>Communication/Network Software</v>
      </c>
      <c r="AA961" s="6" t="str">
        <v>Primary Business not Hi-Tech</v>
      </c>
      <c r="AB961" s="6" t="str">
        <v>Primary Business not Hi-Tech</v>
      </c>
    </row>
    <row r="962">
      <c r="A962" s="6" t="str">
        <v>38259P</v>
      </c>
      <c r="B962" s="6" t="str">
        <v>United States</v>
      </c>
      <c r="C962" s="6" t="str">
        <v>Google Inc</v>
      </c>
      <c r="D962" s="6" t="str">
        <v>Alphabet Inc</v>
      </c>
      <c r="F962" s="6" t="str">
        <v>United States</v>
      </c>
      <c r="G962" s="6" t="str">
        <v>Kaggle Inc</v>
      </c>
      <c r="H962" s="6" t="str">
        <v>Business Services</v>
      </c>
      <c r="I962" s="6" t="str">
        <v>3F4095</v>
      </c>
      <c r="J962" s="6" t="str">
        <v>Alphabet Inc</v>
      </c>
      <c r="K962" s="6" t="str">
        <v>Google Inc</v>
      </c>
      <c r="L962" s="7">
        <f>=DATE(2017,3,8)</f>
        <v>42801.99949074074</v>
      </c>
      <c r="M962" s="7">
        <f>=DATE(2017,3,8)</f>
        <v>42801.99949074074</v>
      </c>
      <c r="W962" s="6" t="str">
        <v>Internet Services &amp; Software;Programming Services</v>
      </c>
      <c r="X962" s="6" t="str">
        <v>Data Processing Services</v>
      </c>
      <c r="Y962" s="6" t="str">
        <v>Programming Services;Internet Services &amp; Software</v>
      </c>
      <c r="Z962" s="6" t="str">
        <v>Programming Services;Primary Business not Hi-Tech;Internet Services &amp; Software;Computer Consulting Services;Telecommunications Equipment</v>
      </c>
      <c r="AA962" s="6" t="str">
        <v>Programming Services;Telecommunications Equipment;Primary Business not Hi-Tech;Internet Services &amp; Software;Computer Consulting Services</v>
      </c>
      <c r="AB962" s="6" t="str">
        <v>Internet Services &amp; Software;Computer Consulting Services;Primary Business not Hi-Tech;Telecommunications Equipment;Programming Services</v>
      </c>
    </row>
    <row r="963">
      <c r="A963" s="6" t="str">
        <v>3F8100</v>
      </c>
      <c r="B963" s="6" t="str">
        <v>United States</v>
      </c>
      <c r="C963" s="6" t="str">
        <v>GV Management Co LLC</v>
      </c>
      <c r="D963" s="6" t="str">
        <v>Alphabet Inc</v>
      </c>
      <c r="F963" s="6" t="str">
        <v>United Kingdom</v>
      </c>
      <c r="G963" s="6" t="str">
        <v>The Currency Cloud Ltd</v>
      </c>
      <c r="H963" s="6" t="str">
        <v>Prepackaged Software</v>
      </c>
      <c r="I963" s="6" t="str">
        <v>6J6727</v>
      </c>
      <c r="J963" s="6" t="str">
        <v>The Currency Cloud Ltd</v>
      </c>
      <c r="K963" s="6" t="str">
        <v>The Currency Cloud Ltd</v>
      </c>
      <c r="L963" s="7">
        <f>=DATE(2017,3,9)</f>
        <v>42802.99949074074</v>
      </c>
      <c r="M963" s="7">
        <f>=DATE(2017,3,9)</f>
        <v>42802.99949074074</v>
      </c>
      <c r="N963" s="8">
        <v>24.3359332221992</v>
      </c>
      <c r="O963" s="8">
        <v>24.3359332221992</v>
      </c>
      <c r="R963" s="8">
        <v>-12.2569821375703</v>
      </c>
      <c r="S963" s="8">
        <v>9.25441626369289</v>
      </c>
      <c r="W963" s="6" t="str">
        <v>Primary Business not Hi-Tech</v>
      </c>
      <c r="X963" s="6" t="str">
        <v>Desktop Publishing;Communication/Network Software;Primary Business not Hi-Tech;Applications Software(Home);Other Software (inq. Games);Utilities/File Mgmt Software;Internet Services &amp; Software;Applications Software(Business;Networking Systems (LAN,WAN)</v>
      </c>
      <c r="Y963" s="6" t="str">
        <v>Other Software (inq. Games);Networking Systems (LAN,WAN);Communication/Network Software;Internet Services &amp; Software;Utilities/File Mgmt Software;Desktop Publishing;Primary Business not Hi-Tech;Applications Software(Business;Applications Software(Home)</v>
      </c>
      <c r="Z963" s="6" t="str">
        <v>Communication/Network Software;Other Software (inq. Games);Utilities/File Mgmt Software;Primary Business not Hi-Tech;Internet Services &amp; Software;Applications Software(Home);Applications Software(Business;Networking Systems (LAN,WAN);Desktop Publishing</v>
      </c>
      <c r="AA963" s="6" t="str">
        <v>Programming Services;Internet Services &amp; Software</v>
      </c>
      <c r="AB963" s="6" t="str">
        <v>Internet Services &amp; Software;Primary Business not Hi-Tech;Computer Consulting Services;Programming Services;Telecommunications Equipment</v>
      </c>
      <c r="AC963" s="8">
        <v>24.3359332221992</v>
      </c>
      <c r="AD963" s="7">
        <f>=DATE(2017,3,9)</f>
        <v>42802.99949074074</v>
      </c>
      <c r="AL963" s="8">
        <v>24.3359332221992</v>
      </c>
    </row>
    <row r="964">
      <c r="A964" s="6" t="str">
        <v>38259P</v>
      </c>
      <c r="B964" s="6" t="str">
        <v>United States</v>
      </c>
      <c r="C964" s="6" t="str">
        <v>Google Inc</v>
      </c>
      <c r="D964" s="6" t="str">
        <v>Alphabet Inc</v>
      </c>
      <c r="F964" s="6" t="str">
        <v>Canada</v>
      </c>
      <c r="G964" s="6" t="str">
        <v>AppBridge Software Inc</v>
      </c>
      <c r="H964" s="6" t="str">
        <v>Business Services</v>
      </c>
      <c r="I964" s="6" t="str">
        <v>3F5419</v>
      </c>
      <c r="J964" s="6" t="str">
        <v>AppBridge Software Inc</v>
      </c>
      <c r="K964" s="6" t="str">
        <v>AppBridge Software Inc</v>
      </c>
      <c r="L964" s="7">
        <f>=DATE(2017,3,10)</f>
        <v>42803.99949074074</v>
      </c>
      <c r="M964" s="7">
        <f>=DATE(2017,3,10)</f>
        <v>42803.99949074074</v>
      </c>
      <c r="W964" s="6" t="str">
        <v>Programming Services;Internet Services &amp; Software</v>
      </c>
      <c r="X964" s="6" t="str">
        <v>Communication/Network Software;Programming Services;Primary Business not Hi-Tech</v>
      </c>
      <c r="Y964" s="6" t="str">
        <v>Communication/Network Software;Programming Services;Primary Business not Hi-Tech</v>
      </c>
      <c r="Z964" s="6" t="str">
        <v>Programming Services;Communication/Network Software;Primary Business not Hi-Tech</v>
      </c>
      <c r="AA964" s="6" t="str">
        <v>Programming Services;Computer Consulting Services;Primary Business not Hi-Tech;Internet Services &amp; Software;Telecommunications Equipment</v>
      </c>
      <c r="AB964" s="6" t="str">
        <v>Primary Business not Hi-Tech;Computer Consulting Services;Internet Services &amp; Software;Programming Services;Telecommunications Equipment</v>
      </c>
    </row>
    <row r="965">
      <c r="A965" s="6" t="str">
        <v>3F2082</v>
      </c>
      <c r="B965" s="6" t="str">
        <v>United States</v>
      </c>
      <c r="C965" s="6" t="str">
        <v>Microsoft Ventures Inc</v>
      </c>
      <c r="D965" s="6" t="str">
        <v>Microsoft Corp</v>
      </c>
      <c r="F965" s="6" t="str">
        <v>United States</v>
      </c>
      <c r="G965" s="6" t="str">
        <v>CNEX Labs Inc</v>
      </c>
      <c r="H965" s="6" t="str">
        <v>Electronic and Electrical Equipment</v>
      </c>
      <c r="I965" s="6" t="str">
        <v>3F8098</v>
      </c>
      <c r="J965" s="6" t="str">
        <v>CNEX Labs Inc</v>
      </c>
      <c r="K965" s="6" t="str">
        <v>CNEX Labs Inc</v>
      </c>
      <c r="L965" s="7">
        <f>=DATE(2017,3,15)</f>
        <v>42808.99949074074</v>
      </c>
      <c r="M965" s="7">
        <f>=DATE(2017,3,15)</f>
        <v>42808.99949074074</v>
      </c>
      <c r="N965" s="8">
        <v>60</v>
      </c>
      <c r="O965" s="8">
        <v>60</v>
      </c>
      <c r="W965" s="6" t="str">
        <v>Primary Business not Hi-Tech</v>
      </c>
      <c r="X965" s="6" t="str">
        <v>Lasers(Excluding Medical);Programming Services</v>
      </c>
      <c r="Y965" s="6" t="str">
        <v>Programming Services;Lasers(Excluding Medical)</v>
      </c>
      <c r="Z965" s="6" t="str">
        <v>Programming Services;Lasers(Excluding Medical)</v>
      </c>
      <c r="AA965" s="6" t="str">
        <v>Applications Software(Business;Other Peripherals;Computer Consulting Services;Internet Services &amp; Software;Monitors/Terminals;Operating Systems</v>
      </c>
      <c r="AB965" s="6" t="str">
        <v>Internet Services &amp; Software;Monitors/Terminals;Other Peripherals;Operating Systems;Computer Consulting Services;Applications Software(Business</v>
      </c>
      <c r="AC965" s="8">
        <v>60</v>
      </c>
      <c r="AD965" s="7">
        <f>=DATE(2017,3,15)</f>
        <v>42808.99949074074</v>
      </c>
      <c r="AL965" s="8">
        <v>60</v>
      </c>
    </row>
    <row r="966">
      <c r="A966" s="6" t="str">
        <v>037833</v>
      </c>
      <c r="B966" s="6" t="str">
        <v>United States</v>
      </c>
      <c r="C966" s="6" t="str">
        <v>Apple Inc</v>
      </c>
      <c r="D966" s="6" t="str">
        <v>Apple Inc</v>
      </c>
      <c r="F966" s="6" t="str">
        <v>United States</v>
      </c>
      <c r="G966" s="6" t="str">
        <v>DeskConnect LLC</v>
      </c>
      <c r="H966" s="6" t="str">
        <v>Prepackaged Software</v>
      </c>
      <c r="I966" s="6" t="str">
        <v>2H2569</v>
      </c>
      <c r="J966" s="6" t="str">
        <v>DeskConnect LLC</v>
      </c>
      <c r="K966" s="6" t="str">
        <v>DeskConnect LLC</v>
      </c>
      <c r="L966" s="7">
        <f>=DATE(2017,3,22)</f>
        <v>42815.99949074074</v>
      </c>
      <c r="M966" s="7">
        <f>=DATE(2017,3,22)</f>
        <v>42815.99949074074</v>
      </c>
      <c r="W966" s="6" t="str">
        <v>Printers;Micro-Computers (PCs);Portable Computers;Monitors/Terminals;Mainframes &amp; Super Computers;Disk Drives;Other Software (inq. Games);Other Peripherals</v>
      </c>
      <c r="X966" s="6" t="str">
        <v>Applications Software(Home);Applications Software(Business;Utilities/File Mgmt Software;Other Software (inq. Games);Internet Services &amp; Software;Desktop Publishing;Communication/Network Software</v>
      </c>
      <c r="Y966" s="6" t="str">
        <v>Communication/Network Software;Desktop Publishing;Applications Software(Home);Internet Services &amp; Software;Applications Software(Business;Other Software (inq. Games);Utilities/File Mgmt Software</v>
      </c>
      <c r="Z966" s="6" t="str">
        <v>Internet Services &amp; Software;Desktop Publishing;Other Software (inq. Games);Communication/Network Software;Utilities/File Mgmt Software;Applications Software(Home);Applications Software(Business</v>
      </c>
      <c r="AA966" s="6" t="str">
        <v>Micro-Computers (PCs);Monitors/Terminals;Mainframes &amp; Super Computers;Printers;Other Software (inq. Games);Disk Drives;Portable Computers;Other Peripherals</v>
      </c>
      <c r="AB966" s="6" t="str">
        <v>Mainframes &amp; Super Computers;Monitors/Terminals;Printers;Portable Computers;Other Peripherals;Disk Drives;Other Software (inq. Games);Micro-Computers (PCs)</v>
      </c>
    </row>
    <row r="967">
      <c r="A967" s="6" t="str">
        <v>023135</v>
      </c>
      <c r="B967" s="6" t="str">
        <v>United States</v>
      </c>
      <c r="C967" s="6" t="str">
        <v>Amazon.com Inc</v>
      </c>
      <c r="D967" s="6" t="str">
        <v>Amazon.com Inc</v>
      </c>
      <c r="F967" s="6" t="str">
        <v>United Arab Emirates</v>
      </c>
      <c r="G967" s="6" t="str">
        <v>Souq.com</v>
      </c>
      <c r="H967" s="6" t="str">
        <v>Miscellaneous Retail Trade</v>
      </c>
      <c r="I967" s="6" t="str">
        <v>84233N</v>
      </c>
      <c r="J967" s="6" t="str">
        <v>Yahoo! Inc</v>
      </c>
      <c r="K967" s="6" t="str">
        <v>Jabbar Internet Group</v>
      </c>
      <c r="L967" s="7">
        <f>=DATE(2017,3,28)</f>
        <v>42821.99949074074</v>
      </c>
      <c r="M967" s="7">
        <f>=DATE(2017,7,3)</f>
        <v>42918.99949074074</v>
      </c>
      <c r="N967" s="8">
        <v>580.093954248366</v>
      </c>
      <c r="O967" s="8">
        <v>580.093954248366</v>
      </c>
      <c r="W967" s="6" t="str">
        <v>Primary Business not Hi-Tech</v>
      </c>
      <c r="X967" s="6" t="str">
        <v>Internet Services &amp; Software</v>
      </c>
      <c r="Y967" s="6" t="str">
        <v>Internet Services &amp; Software</v>
      </c>
      <c r="Z967" s="6" t="str">
        <v>Internet Services &amp; Software</v>
      </c>
      <c r="AA967" s="6" t="str">
        <v>Primary Business not Hi-Tech</v>
      </c>
      <c r="AB967" s="6" t="str">
        <v>Primary Business not Hi-Tech</v>
      </c>
      <c r="AC967" s="8">
        <v>580.093954248366</v>
      </c>
      <c r="AD967" s="7">
        <f>=DATE(2017,7,3)</f>
        <v>42918.99949074074</v>
      </c>
      <c r="AF967" s="8" t="str">
        <v>580.03</v>
      </c>
      <c r="AG967" s="8" t="str">
        <v>580.00</v>
      </c>
      <c r="AH967" s="8" t="str">
        <v>580.00</v>
      </c>
      <c r="AI967" s="8" t="str">
        <v>580.03</v>
      </c>
      <c r="AJ967" s="8" t="str">
        <v>580.00</v>
      </c>
      <c r="AK967" s="6" t="str">
        <v>US Dollar</v>
      </c>
      <c r="AL967" s="8">
        <v>580.093954248366</v>
      </c>
    </row>
    <row r="968">
      <c r="A968" s="6" t="str">
        <v>023135</v>
      </c>
      <c r="B968" s="6" t="str">
        <v>United States</v>
      </c>
      <c r="C968" s="6" t="str">
        <v>Amazon.com Inc</v>
      </c>
      <c r="D968" s="6" t="str">
        <v>Amazon.com Inc</v>
      </c>
      <c r="F968" s="6" t="str">
        <v>United States</v>
      </c>
      <c r="G968" s="6" t="str">
        <v>Plug Power Inc</v>
      </c>
      <c r="H968" s="6" t="str">
        <v>Electronic and Electrical Equipment</v>
      </c>
      <c r="I968" s="6" t="str">
        <v>72919P</v>
      </c>
      <c r="J968" s="6" t="str">
        <v>Plug Power Inc</v>
      </c>
      <c r="K968" s="6" t="str">
        <v>Plug Power Inc</v>
      </c>
      <c r="L968" s="7">
        <f>=DATE(2017,4,6)</f>
        <v>42830.99949074074</v>
      </c>
      <c r="R968" s="8">
        <v>-69.772</v>
      </c>
      <c r="S968" s="8">
        <v>85.831</v>
      </c>
      <c r="T968" s="8">
        <v>45.703</v>
      </c>
      <c r="U968" s="8">
        <v>-54.078</v>
      </c>
      <c r="V968" s="8">
        <v>-46.579</v>
      </c>
      <c r="W968" s="6" t="str">
        <v>Primary Business not Hi-Tech</v>
      </c>
      <c r="X968" s="6" t="str">
        <v>Other Software (inq. Games);Primary Business not Hi-Tech;Other High Technology Industry;Other Electronics</v>
      </c>
      <c r="Y968" s="6" t="str">
        <v>Other High Technology Industry;Primary Business not Hi-Tech;Other Electronics;Other Software (inq. Games)</v>
      </c>
      <c r="Z968" s="6" t="str">
        <v>Other High Technology Industry;Other Software (inq. Games);Other Electronics;Primary Business not Hi-Tech</v>
      </c>
      <c r="AA968" s="6" t="str">
        <v>Primary Business not Hi-Tech</v>
      </c>
      <c r="AB968" s="6" t="str">
        <v>Primary Business not Hi-Tech</v>
      </c>
    </row>
    <row r="969">
      <c r="A969" s="6" t="str">
        <v>594918</v>
      </c>
      <c r="B969" s="6" t="str">
        <v>United States</v>
      </c>
      <c r="C969" s="6" t="str">
        <v>Microsoft Corp</v>
      </c>
      <c r="D969" s="6" t="str">
        <v>Microsoft Corp</v>
      </c>
      <c r="F969" s="6" t="str">
        <v>United States</v>
      </c>
      <c r="G969" s="6" t="str">
        <v>Intentional Software Corp</v>
      </c>
      <c r="H969" s="6" t="str">
        <v>Prepackaged Software</v>
      </c>
      <c r="I969" s="6" t="str">
        <v>4F5671</v>
      </c>
      <c r="J969" s="6" t="str">
        <v>Intentional Software Corp</v>
      </c>
      <c r="K969" s="6" t="str">
        <v>Intentional Software Corp</v>
      </c>
      <c r="L969" s="7">
        <f>=DATE(2017,4,18)</f>
        <v>42842.99949074074</v>
      </c>
      <c r="M969" s="7">
        <f>=DATE(2017,5,5)</f>
        <v>42859.99949074074</v>
      </c>
      <c r="S969" s="8">
        <v>6.722</v>
      </c>
      <c r="W969" s="6" t="str">
        <v>Monitors/Terminals;Computer Consulting Services;Operating Systems;Internet Services &amp; Software;Applications Software(Business;Other Peripherals</v>
      </c>
      <c r="X969" s="6" t="str">
        <v>Other Software (inq. Games)</v>
      </c>
      <c r="Y969" s="6" t="str">
        <v>Other Software (inq. Games)</v>
      </c>
      <c r="Z969" s="6" t="str">
        <v>Other Software (inq. Games)</v>
      </c>
      <c r="AA969" s="6" t="str">
        <v>Applications Software(Business;Monitors/Terminals;Computer Consulting Services;Other Peripherals;Operating Systems;Internet Services &amp; Software</v>
      </c>
      <c r="AB969" s="6" t="str">
        <v>Operating Systems;Other Peripherals;Internet Services &amp; Software;Monitors/Terminals;Applications Software(Business;Computer Consulting Services</v>
      </c>
    </row>
    <row r="970">
      <c r="A970" s="6" t="str">
        <v>037833</v>
      </c>
      <c r="B970" s="6" t="str">
        <v>United States</v>
      </c>
      <c r="C970" s="6" t="str">
        <v>Apple Inc</v>
      </c>
      <c r="D970" s="6" t="str">
        <v>Apple Inc</v>
      </c>
      <c r="F970" s="6" t="str">
        <v>Finland</v>
      </c>
      <c r="G970" s="6" t="str">
        <v>Beddit Oy</v>
      </c>
      <c r="H970" s="6" t="str">
        <v>Measuring, Medical, Photo Equipment; Clocks</v>
      </c>
      <c r="I970" s="6" t="str">
        <v>5F0320</v>
      </c>
      <c r="J970" s="6" t="str">
        <v>Beddit Oy</v>
      </c>
      <c r="K970" s="6" t="str">
        <v>Beddit Oy</v>
      </c>
      <c r="L970" s="7">
        <f>=DATE(2017,5,8)</f>
        <v>42862.99949074074</v>
      </c>
      <c r="M970" s="7">
        <f>=DATE(2017,5,8)</f>
        <v>42862.99949074074</v>
      </c>
      <c r="W970" s="6" t="str">
        <v>Micro-Computers (PCs);Disk Drives;Printers;Portable Computers;Mainframes &amp; Super Computers;Other Software (inq. Games);Other Peripherals;Monitors/Terminals</v>
      </c>
      <c r="X970" s="6" t="str">
        <v>General Med. Instruments/Supp.;Process Control Systems;Communication/Network Software</v>
      </c>
      <c r="Y970" s="6" t="str">
        <v>Communication/Network Software;Process Control Systems;General Med. Instruments/Supp.</v>
      </c>
      <c r="Z970" s="6" t="str">
        <v>Process Control Systems;General Med. Instruments/Supp.;Communication/Network Software</v>
      </c>
      <c r="AA970" s="6" t="str">
        <v>Disk Drives;Micro-Computers (PCs);Printers;Other Software (inq. Games);Other Peripherals;Mainframes &amp; Super Computers;Monitors/Terminals;Portable Computers</v>
      </c>
      <c r="AB970" s="6" t="str">
        <v>Monitors/Terminals;Other Peripherals;Other Software (inq. Games);Micro-Computers (PCs);Mainframes &amp; Super Computers;Portable Computers;Disk Drives;Printers</v>
      </c>
    </row>
    <row r="971">
      <c r="A971" s="6" t="str">
        <v>38259P</v>
      </c>
      <c r="B971" s="6" t="str">
        <v>United States</v>
      </c>
      <c r="C971" s="6" t="str">
        <v>Google Inc</v>
      </c>
      <c r="D971" s="6" t="str">
        <v>Alphabet Inc</v>
      </c>
      <c r="F971" s="6" t="str">
        <v>United States</v>
      </c>
      <c r="G971" s="6" t="str">
        <v>Owlchemy Labs</v>
      </c>
      <c r="H971" s="6" t="str">
        <v>Prepackaged Software</v>
      </c>
      <c r="I971" s="6" t="str">
        <v>5F0957</v>
      </c>
      <c r="J971" s="6" t="str">
        <v>Alphabet Inc</v>
      </c>
      <c r="K971" s="6" t="str">
        <v>Google Inc</v>
      </c>
      <c r="L971" s="7">
        <f>=DATE(2017,5,10)</f>
        <v>42864.99949074074</v>
      </c>
      <c r="M971" s="7">
        <f>=DATE(2017,5,10)</f>
        <v>42864.99949074074</v>
      </c>
      <c r="W971" s="6" t="str">
        <v>Internet Services &amp; Software;Programming Services</v>
      </c>
      <c r="X971" s="6" t="str">
        <v>Other Software (inq. Games)</v>
      </c>
      <c r="Y971" s="6" t="str">
        <v>Internet Services &amp; Software;Programming Services</v>
      </c>
      <c r="Z971" s="6" t="str">
        <v>Internet Services &amp; Software;Primary Business not Hi-Tech;Telecommunications Equipment;Programming Services;Computer Consulting Services</v>
      </c>
      <c r="AA971" s="6" t="str">
        <v>Internet Services &amp; Software;Primary Business not Hi-Tech;Computer Consulting Services;Telecommunications Equipment;Programming Services</v>
      </c>
      <c r="AB971" s="6" t="str">
        <v>Primary Business not Hi-Tech;Computer Consulting Services;Internet Services &amp; Software;Telecommunications Equipment;Programming Services</v>
      </c>
    </row>
    <row r="972">
      <c r="A972" s="6" t="str">
        <v>037833</v>
      </c>
      <c r="B972" s="6" t="str">
        <v>United States</v>
      </c>
      <c r="C972" s="6" t="str">
        <v>Apple Inc</v>
      </c>
      <c r="D972" s="6" t="str">
        <v>Apple Inc</v>
      </c>
      <c r="F972" s="6" t="str">
        <v>United States</v>
      </c>
      <c r="G972" s="6" t="str">
        <v>Lattice Data Inc</v>
      </c>
      <c r="H972" s="6" t="str">
        <v>Prepackaged Software</v>
      </c>
      <c r="I972" s="6" t="str">
        <v>5F1787</v>
      </c>
      <c r="J972" s="6" t="str">
        <v>Lattice Data Inc</v>
      </c>
      <c r="K972" s="6" t="str">
        <v>Lattice Data Inc</v>
      </c>
      <c r="L972" s="7">
        <f>=DATE(2017,5,13)</f>
        <v>42867.99949074074</v>
      </c>
      <c r="M972" s="7">
        <f>=DATE(2017,5,13)</f>
        <v>42867.99949074074</v>
      </c>
      <c r="W972" s="6" t="str">
        <v>Monitors/Terminals;Portable Computers;Micro-Computers (PCs);Disk Drives;Printers;Mainframes &amp; Super Computers;Other Software (inq. Games);Other Peripherals</v>
      </c>
      <c r="X972" s="6" t="str">
        <v>Communication/Network Software</v>
      </c>
      <c r="Y972" s="6" t="str">
        <v>Communication/Network Software</v>
      </c>
      <c r="Z972" s="6" t="str">
        <v>Communication/Network Software</v>
      </c>
      <c r="AA972" s="6" t="str">
        <v>Other Software (inq. Games);Portable Computers;Micro-Computers (PCs);Other Peripherals;Disk Drives;Monitors/Terminals;Printers;Mainframes &amp; Super Computers</v>
      </c>
      <c r="AB972" s="6" t="str">
        <v>Disk Drives;Other Software (inq. Games);Monitors/Terminals;Portable Computers;Printers;Other Peripherals;Mainframes &amp; Super Computers;Micro-Computers (PCs)</v>
      </c>
      <c r="AD972" s="7">
        <f>=DATE(2017,5,13)</f>
        <v>42867.99949074074</v>
      </c>
    </row>
    <row r="973">
      <c r="A973" s="6" t="str">
        <v>53578A</v>
      </c>
      <c r="B973" s="6" t="str">
        <v>United States</v>
      </c>
      <c r="C973" s="6" t="str">
        <v>LinkedIn Corp</v>
      </c>
      <c r="D973" s="6" t="str">
        <v>Microsoft Corp</v>
      </c>
      <c r="F973" s="6" t="str">
        <v>United States</v>
      </c>
      <c r="G973" s="6" t="str">
        <v>Heighten Software Inc</v>
      </c>
      <c r="H973" s="6" t="str">
        <v>Business Services</v>
      </c>
      <c r="I973" s="6" t="str">
        <v>9F0904</v>
      </c>
      <c r="J973" s="6" t="str">
        <v>Heighten Software Inc</v>
      </c>
      <c r="K973" s="6" t="str">
        <v>Heighten Software Inc</v>
      </c>
      <c r="L973" s="7">
        <f>=DATE(2017,5,30)</f>
        <v>42884.99949074074</v>
      </c>
      <c r="M973" s="7">
        <f>=DATE(2017,5,30)</f>
        <v>42884.99949074074</v>
      </c>
      <c r="W973" s="6" t="str">
        <v>Internet Services &amp; Software</v>
      </c>
      <c r="X973" s="6" t="str">
        <v>Data Processing Services</v>
      </c>
      <c r="Y973" s="6" t="str">
        <v>Data Processing Services</v>
      </c>
      <c r="Z973" s="6" t="str">
        <v>Data Processing Services</v>
      </c>
      <c r="AA973" s="6" t="str">
        <v>Internet Services &amp; Software;Applications Software(Business;Computer Consulting Services;Operating Systems;Monitors/Terminals;Other Peripherals</v>
      </c>
      <c r="AB973" s="6" t="str">
        <v>Operating Systems;Monitors/Terminals;Applications Software(Business;Internet Services &amp; Software;Other Peripherals;Computer Consulting Services</v>
      </c>
    </row>
    <row r="974">
      <c r="A974" s="6" t="str">
        <v>037833</v>
      </c>
      <c r="B974" s="6" t="str">
        <v>United States</v>
      </c>
      <c r="C974" s="6" t="str">
        <v>Apple Inc</v>
      </c>
      <c r="D974" s="6" t="str">
        <v>Apple Inc</v>
      </c>
      <c r="F974" s="6" t="str">
        <v>United States</v>
      </c>
      <c r="G974" s="6" t="str">
        <v>Apple Inc</v>
      </c>
      <c r="H974" s="6" t="str">
        <v>Computer and Office Equipment</v>
      </c>
      <c r="I974" s="6" t="str">
        <v>037833</v>
      </c>
      <c r="J974" s="6" t="str">
        <v>Apple Inc</v>
      </c>
      <c r="K974" s="6" t="str">
        <v>Apple Inc</v>
      </c>
      <c r="L974" s="7">
        <f>=DATE(2017,5,31)</f>
        <v>42885.99949074074</v>
      </c>
      <c r="M974" s="7">
        <f>=DATE(2017,8,31)</f>
        <v>42977.99949074074</v>
      </c>
      <c r="N974" s="8">
        <v>3000</v>
      </c>
      <c r="O974" s="8">
        <v>3000</v>
      </c>
      <c r="P974" s="8" t="str">
        <v>797,752.47</v>
      </c>
      <c r="R974" s="8">
        <v>45687</v>
      </c>
      <c r="S974" s="8">
        <v>215639</v>
      </c>
      <c r="T974" s="8">
        <v>-20483</v>
      </c>
      <c r="U974" s="8">
        <v>-45977</v>
      </c>
      <c r="V974" s="8">
        <v>65824</v>
      </c>
      <c r="W974" s="6" t="str">
        <v>Portable Computers;Mainframes &amp; Super Computers;Micro-Computers (PCs);Monitors/Terminals;Other Software (inq. Games);Disk Drives;Other Peripherals;Printers</v>
      </c>
      <c r="X974" s="6" t="str">
        <v>Monitors/Terminals;Other Peripherals;Printers;Other Software (inq. Games);Micro-Computers (PCs);Mainframes &amp; Super Computers;Portable Computers;Disk Drives</v>
      </c>
      <c r="Y974" s="6" t="str">
        <v>Micro-Computers (PCs);Other Peripherals;Portable Computers;Printers;Monitors/Terminals;Other Software (inq. Games);Disk Drives;Mainframes &amp; Super Computers</v>
      </c>
      <c r="Z974" s="6" t="str">
        <v>Other Software (inq. Games);Other Peripherals;Mainframes &amp; Super Computers;Portable Computers;Monitors/Terminals;Printers;Micro-Computers (PCs);Disk Drives</v>
      </c>
      <c r="AA974" s="6" t="str">
        <v>Mainframes &amp; Super Computers;Other Software (inq. Games);Monitors/Terminals;Micro-Computers (PCs);Disk Drives;Other Peripherals;Printers;Portable Computers</v>
      </c>
      <c r="AB974" s="6" t="str">
        <v>Portable Computers;Disk Drives;Other Software (inq. Games);Monitors/Terminals;Printers;Micro-Computers (PCs);Other Peripherals;Mainframes &amp; Super Computers</v>
      </c>
      <c r="AC974" s="8">
        <v>3000</v>
      </c>
      <c r="AD974" s="7">
        <f>=DATE(2017,5,31)</f>
        <v>42885.99949074074</v>
      </c>
      <c r="AF974" s="8" t="str">
        <v>797,752.47</v>
      </c>
      <c r="AG974" s="8" t="str">
        <v>797,752.47</v>
      </c>
      <c r="AH974" s="8" t="str">
        <v>777,875.47</v>
      </c>
      <c r="AI974" s="8" t="str">
        <v>777,875.47</v>
      </c>
      <c r="AJ974" s="8" t="str">
        <v>3,000.00</v>
      </c>
      <c r="AK974" s="6" t="str">
        <v>US Dollar</v>
      </c>
      <c r="AL974" s="8">
        <v>3000</v>
      </c>
    </row>
    <row r="975">
      <c r="A975" s="6" t="str">
        <v>594918</v>
      </c>
      <c r="B975" s="6" t="str">
        <v>United States</v>
      </c>
      <c r="C975" s="6" t="str">
        <v>Microsoft Corp</v>
      </c>
      <c r="D975" s="6" t="str">
        <v>Microsoft Corp</v>
      </c>
      <c r="F975" s="6" t="str">
        <v>United States</v>
      </c>
      <c r="G975" s="6" t="str">
        <v>Hexadite</v>
      </c>
      <c r="H975" s="6" t="str">
        <v>Business Services</v>
      </c>
      <c r="I975" s="6" t="str">
        <v>5F3744</v>
      </c>
      <c r="J975" s="6" t="str">
        <v>Hexadite</v>
      </c>
      <c r="K975" s="6" t="str">
        <v>Hexadite</v>
      </c>
      <c r="L975" s="7">
        <f>=DATE(2017,6,8)</f>
        <v>42893.99949074074</v>
      </c>
      <c r="W975" s="6" t="str">
        <v>Operating Systems;Applications Software(Business;Computer Consulting Services;Other Peripherals;Internet Services &amp; Software;Monitors/Terminals</v>
      </c>
      <c r="X975" s="6" t="str">
        <v>Other Computer Systems;Primary Business not Hi-Tech</v>
      </c>
      <c r="Y975" s="6" t="str">
        <v>Primary Business not Hi-Tech;Other Computer Systems</v>
      </c>
      <c r="Z975" s="6" t="str">
        <v>Primary Business not Hi-Tech;Other Computer Systems</v>
      </c>
      <c r="AA975" s="6" t="str">
        <v>Monitors/Terminals;Internet Services &amp; Software;Other Peripherals;Computer Consulting Services;Applications Software(Business;Operating Systems</v>
      </c>
      <c r="AB975" s="6" t="str">
        <v>Other Peripherals;Monitors/Terminals;Operating Systems;Internet Services &amp; Software;Computer Consulting Services;Applications Software(Business</v>
      </c>
    </row>
    <row r="976">
      <c r="A976" s="6" t="str">
        <v>037833</v>
      </c>
      <c r="B976" s="6" t="str">
        <v>United States</v>
      </c>
      <c r="C976" s="6" t="str">
        <v>Apple Inc</v>
      </c>
      <c r="D976" s="6" t="str">
        <v>Apple Inc</v>
      </c>
      <c r="F976" s="6" t="str">
        <v>Germany</v>
      </c>
      <c r="G976" s="6" t="str">
        <v>SensoMotoric Instruments Gesellschaft fuer innovative Sensorik mbH</v>
      </c>
      <c r="H976" s="6" t="str">
        <v>Prepackaged Software</v>
      </c>
      <c r="I976" s="6" t="str">
        <v>0A9589</v>
      </c>
      <c r="J976" s="6" t="str">
        <v>SensoMotoric Instruments Gesellschaft fuer innovative Sensorik mbH</v>
      </c>
      <c r="K976" s="6" t="str">
        <v>SensoMotoric Instruments Gesellschaft fuer innovative Sensorik mbH</v>
      </c>
      <c r="L976" s="7">
        <f>=DATE(2017,6,26)</f>
        <v>42911.99949074074</v>
      </c>
      <c r="M976" s="7">
        <f>=DATE(2017,6,26)</f>
        <v>42911.99949074074</v>
      </c>
      <c r="S976" s="8">
        <v>7.15412111017662</v>
      </c>
      <c r="W976" s="6" t="str">
        <v>Portable Computers;Mainframes &amp; Super Computers;Disk Drives;Other Peripherals;Micro-Computers (PCs);Monitors/Terminals;Other Software (inq. Games);Printers</v>
      </c>
      <c r="X976" s="6" t="str">
        <v>Applications Software(Business;Medical Monitoring Systems</v>
      </c>
      <c r="Y976" s="6" t="str">
        <v>Medical Monitoring Systems;Applications Software(Business</v>
      </c>
      <c r="Z976" s="6" t="str">
        <v>Applications Software(Business;Medical Monitoring Systems</v>
      </c>
      <c r="AA976" s="6" t="str">
        <v>Other Peripherals;Other Software (inq. Games);Printers;Portable Computers;Monitors/Terminals;Disk Drives;Mainframes &amp; Super Computers;Micro-Computers (PCs)</v>
      </c>
      <c r="AB976" s="6" t="str">
        <v>Printers;Monitors/Terminals;Other Software (inq. Games);Mainframes &amp; Super Computers;Portable Computers;Disk Drives;Other Peripherals;Micro-Computers (PCs)</v>
      </c>
    </row>
    <row r="977">
      <c r="A977" s="6" t="str">
        <v>594918</v>
      </c>
      <c r="B977" s="6" t="str">
        <v>United States</v>
      </c>
      <c r="C977" s="6" t="str">
        <v>Microsoft Corp</v>
      </c>
      <c r="D977" s="6" t="str">
        <v>Microsoft Corp</v>
      </c>
      <c r="F977" s="6" t="str">
        <v>United States</v>
      </c>
      <c r="G977" s="6" t="str">
        <v>Cloudyn Software Ltd</v>
      </c>
      <c r="H977" s="6" t="str">
        <v>Business Services</v>
      </c>
      <c r="I977" s="6" t="str">
        <v>7E7914</v>
      </c>
      <c r="J977" s="6" t="str">
        <v>Cloudyn Software Ltd</v>
      </c>
      <c r="K977" s="6" t="str">
        <v>Cloudyn Software Ltd</v>
      </c>
      <c r="L977" s="7">
        <f>=DATE(2017,6,29)</f>
        <v>42914.99949074074</v>
      </c>
      <c r="W977" s="6" t="str">
        <v>Applications Software(Business;Other Peripherals;Computer Consulting Services;Internet Services &amp; Software;Operating Systems;Monitors/Terminals</v>
      </c>
      <c r="X977" s="6" t="str">
        <v>Data Processing Services;Other Computer Related Svcs;Other Software (inq. Games);Computer Consulting Services</v>
      </c>
      <c r="Y977" s="6" t="str">
        <v>Other Software (inq. Games);Other Computer Related Svcs;Computer Consulting Services;Data Processing Services</v>
      </c>
      <c r="Z977" s="6" t="str">
        <v>Data Processing Services;Computer Consulting Services;Other Computer Related Svcs;Other Software (inq. Games)</v>
      </c>
      <c r="AA977" s="6" t="str">
        <v>Operating Systems;Other Peripherals;Applications Software(Business;Computer Consulting Services;Internet Services &amp; Software;Monitors/Terminals</v>
      </c>
      <c r="AB977" s="6" t="str">
        <v>Internet Services &amp; Software;Monitors/Terminals;Computer Consulting Services;Other Peripherals;Applications Software(Business;Operating Systems</v>
      </c>
    </row>
    <row r="978">
      <c r="A978" s="6" t="str">
        <v>67020Y</v>
      </c>
      <c r="B978" s="6" t="str">
        <v>United States</v>
      </c>
      <c r="C978" s="6" t="str">
        <v>Nuance Communications Inc</v>
      </c>
      <c r="D978" s="6" t="str">
        <v>Nuance Communications Inc</v>
      </c>
      <c r="F978" s="6" t="str">
        <v>United States</v>
      </c>
      <c r="G978" s="6" t="str">
        <v>Primordial Design Inc</v>
      </c>
      <c r="H978" s="6" t="str">
        <v>Business Services</v>
      </c>
      <c r="I978" s="6" t="str">
        <v>6F5975</v>
      </c>
      <c r="J978" s="6" t="str">
        <v>Primordial Design Inc</v>
      </c>
      <c r="K978" s="6" t="str">
        <v>Primordial Design Inc</v>
      </c>
      <c r="L978" s="7">
        <f>=DATE(2017,7,5)</f>
        <v>42920.99949074074</v>
      </c>
      <c r="M978" s="7">
        <f>=DATE(2017,7,5)</f>
        <v>42920.99949074074</v>
      </c>
      <c r="W978" s="6" t="str">
        <v>Internet Services &amp; Software;Networking Systems (LAN,WAN);Applications Software(Business;Applications Software(Home);Other Computer Related Svcs;Desktop Publishing;Utilities/File Mgmt Software;Communication/Network Software;Primary Business not Hi-Tech;Computer Consulting Services;Programming Services;Database Software/Programming;Other Software (inq. Games)</v>
      </c>
      <c r="X978" s="6" t="str">
        <v>Computer Consulting Services;Communication/Network Software</v>
      </c>
      <c r="Y978" s="6" t="str">
        <v>Computer Consulting Services;Communication/Network Software</v>
      </c>
      <c r="Z978" s="6" t="str">
        <v>Communication/Network Software;Computer Consulting Services</v>
      </c>
      <c r="AA978" s="6" t="str">
        <v>Internet Services &amp; Software;Other Computer Related Svcs;Programming Services;Applications Software(Home);Utilities/File Mgmt Software;Primary Business not Hi-Tech;Applications Software(Business;Other Software (inq. Games);Database Software/Programming;Desktop Publishing;Networking Systems (LAN,WAN);Communication/Network Software;Computer Consulting Services</v>
      </c>
      <c r="AB978" s="6" t="str">
        <v>Other Software (inq. Games);Database Software/Programming;Other Computer Related Svcs;Primary Business not Hi-Tech;Networking Systems (LAN,WAN);Computer Consulting Services;Applications Software(Business;Utilities/File Mgmt Software;Communication/Network Software;Applications Software(Home);Desktop Publishing;Programming Services;Internet Services &amp; Software</v>
      </c>
    </row>
    <row r="979">
      <c r="A979" s="6" t="str">
        <v>3F8100</v>
      </c>
      <c r="B979" s="6" t="str">
        <v>United States</v>
      </c>
      <c r="C979" s="6" t="str">
        <v>GV Management Co LLC</v>
      </c>
      <c r="D979" s="6" t="str">
        <v>Alphabet Inc</v>
      </c>
      <c r="F979" s="6" t="str">
        <v>United States</v>
      </c>
      <c r="G979" s="6" t="str">
        <v>Decibel Therapeutics Inc</v>
      </c>
      <c r="H979" s="6" t="str">
        <v>Business Services</v>
      </c>
      <c r="I979" s="6" t="str">
        <v>24343R</v>
      </c>
      <c r="J979" s="6" t="str">
        <v>Decibel Therapeutics Inc</v>
      </c>
      <c r="K979" s="6" t="str">
        <v>Decibel Therapeutics Inc</v>
      </c>
      <c r="L979" s="7">
        <f>=DATE(2017,7,6)</f>
        <v>42921.99949074074</v>
      </c>
      <c r="M979" s="7">
        <f>=DATE(2017,7,6)</f>
        <v>42921.99949074074</v>
      </c>
      <c r="W979" s="6" t="str">
        <v>Primary Business not Hi-Tech</v>
      </c>
      <c r="X979" s="6" t="str">
        <v>Research &amp; Development Firm</v>
      </c>
      <c r="Y979" s="6" t="str">
        <v>Research &amp; Development Firm</v>
      </c>
      <c r="Z979" s="6" t="str">
        <v>Research &amp; Development Firm</v>
      </c>
      <c r="AA979" s="6" t="str">
        <v>Internet Services &amp; Software;Programming Services</v>
      </c>
      <c r="AB979" s="6" t="str">
        <v>Telecommunications Equipment;Computer Consulting Services;Internet Services &amp; Software;Primary Business not Hi-Tech;Programming Services</v>
      </c>
    </row>
    <row r="980">
      <c r="A980" s="6" t="str">
        <v>023135</v>
      </c>
      <c r="B980" s="6" t="str">
        <v>United States</v>
      </c>
      <c r="C980" s="6" t="str">
        <v>Amazon.com Inc</v>
      </c>
      <c r="D980" s="6" t="str">
        <v>Amazon.com Inc</v>
      </c>
      <c r="F980" s="6" t="str">
        <v>Ireland</v>
      </c>
      <c r="G980" s="6" t="str">
        <v>Game Sparks Technologies Ltd</v>
      </c>
      <c r="H980" s="6" t="str">
        <v>Prepackaged Software</v>
      </c>
      <c r="I980" s="6" t="str">
        <v>7F1444</v>
      </c>
      <c r="J980" s="6" t="str">
        <v>Game Sparks Technologies Ltd</v>
      </c>
      <c r="K980" s="6" t="str">
        <v>Game Sparks Technologies Ltd</v>
      </c>
      <c r="L980" s="7">
        <f>=DATE(2017,7,8)</f>
        <v>42923.99949074074</v>
      </c>
      <c r="M980" s="7">
        <f>=DATE(2017,7,8)</f>
        <v>42923.99949074074</v>
      </c>
      <c r="N980" s="8">
        <v>9.99783399263558</v>
      </c>
      <c r="O980" s="8">
        <v>9.99783399263558</v>
      </c>
      <c r="W980" s="6" t="str">
        <v>Primary Business not Hi-Tech</v>
      </c>
      <c r="X980" s="6" t="str">
        <v>Communication/Network Software;Other Software (inq. Games)</v>
      </c>
      <c r="Y980" s="6" t="str">
        <v>Communication/Network Software;Other Software (inq. Games)</v>
      </c>
      <c r="Z980" s="6" t="str">
        <v>Other Software (inq. Games);Communication/Network Software</v>
      </c>
      <c r="AA980" s="6" t="str">
        <v>Primary Business not Hi-Tech</v>
      </c>
      <c r="AB980" s="6" t="str">
        <v>Primary Business not Hi-Tech</v>
      </c>
      <c r="AC980" s="8">
        <v>9.99783399263558</v>
      </c>
      <c r="AD980" s="7">
        <f>=DATE(2017,7,8)</f>
        <v>42923.99949074074</v>
      </c>
      <c r="AL980" s="8">
        <v>9.99783399263558</v>
      </c>
    </row>
    <row r="981">
      <c r="A981" s="6" t="str">
        <v>023135</v>
      </c>
      <c r="B981" s="6" t="str">
        <v>United States</v>
      </c>
      <c r="C981" s="6" t="str">
        <v>Amazon.com Inc</v>
      </c>
      <c r="D981" s="6" t="str">
        <v>Amazon.com Inc</v>
      </c>
      <c r="F981" s="6" t="str">
        <v>United States</v>
      </c>
      <c r="G981" s="6" t="str">
        <v>Graphiq Inc</v>
      </c>
      <c r="H981" s="6" t="str">
        <v>Business Services</v>
      </c>
      <c r="I981" s="6" t="str">
        <v>0H8133</v>
      </c>
      <c r="J981" s="6" t="str">
        <v>Graphiq Inc</v>
      </c>
      <c r="K981" s="6" t="str">
        <v>Graphiq Inc</v>
      </c>
      <c r="L981" s="7">
        <f>=DATE(2017,7,20)</f>
        <v>42935.99949074074</v>
      </c>
      <c r="W981" s="6" t="str">
        <v>Primary Business not Hi-Tech</v>
      </c>
      <c r="X981" s="6" t="str">
        <v>Internet Services &amp; Software</v>
      </c>
      <c r="Y981" s="6" t="str">
        <v>Internet Services &amp; Software</v>
      </c>
      <c r="Z981" s="6" t="str">
        <v>Internet Services &amp; Software</v>
      </c>
      <c r="AA981" s="6" t="str">
        <v>Primary Business not Hi-Tech</v>
      </c>
      <c r="AB981" s="6" t="str">
        <v>Primary Business not Hi-Tech</v>
      </c>
      <c r="AD981" s="7">
        <f>=DATE(2017,7,20)</f>
        <v>42935.99949074074</v>
      </c>
    </row>
    <row r="982">
      <c r="A982" s="6" t="str">
        <v>30303M</v>
      </c>
      <c r="B982" s="6" t="str">
        <v>United States</v>
      </c>
      <c r="C982" s="6" t="str">
        <v>Facebook Inc</v>
      </c>
      <c r="D982" s="6" t="str">
        <v>Facebook Inc</v>
      </c>
      <c r="F982" s="6" t="str">
        <v>United States</v>
      </c>
      <c r="G982" s="6" t="str">
        <v>Source3 Inc</v>
      </c>
      <c r="H982" s="6" t="str">
        <v>Prepackaged Software</v>
      </c>
      <c r="I982" s="6" t="str">
        <v>8F1852</v>
      </c>
      <c r="J982" s="6" t="str">
        <v>Source3 Inc</v>
      </c>
      <c r="K982" s="6" t="str">
        <v>Source3 Inc</v>
      </c>
      <c r="L982" s="7">
        <f>=DATE(2017,7,24)</f>
        <v>42939.99949074074</v>
      </c>
      <c r="M982" s="7">
        <f>=DATE(2017,7,24)</f>
        <v>42939.99949074074</v>
      </c>
      <c r="W982" s="6" t="str">
        <v>Internet Services &amp; Software</v>
      </c>
      <c r="X982" s="6" t="str">
        <v>Communication/Network Software;Primary Business not Hi-Tech;Applications Software(Business;Internet Services &amp; Software;Other Software (inq. Games);Desktop Publishing;Applications Software(Home);Utilities/File Mgmt Software</v>
      </c>
      <c r="Y982" s="6" t="str">
        <v>Applications Software(Business;Desktop Publishing;Internet Services &amp; Software;Other Software (inq. Games);Utilities/File Mgmt Software;Primary Business not Hi-Tech;Communication/Network Software;Applications Software(Home)</v>
      </c>
      <c r="Z982" s="6" t="str">
        <v>Applications Software(Business;Communication/Network Software;Applications Software(Home);Internet Services &amp; Software;Utilities/File Mgmt Software;Other Software (inq. Games);Desktop Publishing;Primary Business not Hi-Tech</v>
      </c>
      <c r="AA982" s="6" t="str">
        <v>Internet Services &amp; Software</v>
      </c>
      <c r="AB982" s="6" t="str">
        <v>Internet Services &amp; Software</v>
      </c>
    </row>
    <row r="983">
      <c r="A983" s="6" t="str">
        <v>30303M</v>
      </c>
      <c r="B983" s="6" t="str">
        <v>United States</v>
      </c>
      <c r="C983" s="6" t="str">
        <v>Facebook Inc</v>
      </c>
      <c r="D983" s="6" t="str">
        <v>Facebook Inc</v>
      </c>
      <c r="F983" s="6" t="str">
        <v>United States</v>
      </c>
      <c r="G983" s="6" t="str">
        <v>Ozlo Inc</v>
      </c>
      <c r="H983" s="6" t="str">
        <v>Prepackaged Software</v>
      </c>
      <c r="I983" s="6" t="str">
        <v>7F2487</v>
      </c>
      <c r="J983" s="6" t="str">
        <v>Ozlo Inc</v>
      </c>
      <c r="K983" s="6" t="str">
        <v>Ozlo Inc</v>
      </c>
      <c r="L983" s="7">
        <f>=DATE(2017,7,31)</f>
        <v>42946.99949074074</v>
      </c>
      <c r="M983" s="7">
        <f>=DATE(2017,7,31)</f>
        <v>42946.99949074074</v>
      </c>
      <c r="W983" s="6" t="str">
        <v>Internet Services &amp; Software</v>
      </c>
      <c r="X983" s="6" t="str">
        <v>Communication/Network Software</v>
      </c>
      <c r="Y983" s="6" t="str">
        <v>Communication/Network Software</v>
      </c>
      <c r="Z983" s="6" t="str">
        <v>Communication/Network Software</v>
      </c>
      <c r="AA983" s="6" t="str">
        <v>Internet Services &amp; Software</v>
      </c>
      <c r="AB983" s="6" t="str">
        <v>Internet Services &amp; Software</v>
      </c>
    </row>
    <row r="984">
      <c r="A984" s="6" t="str">
        <v>38259P</v>
      </c>
      <c r="B984" s="6" t="str">
        <v>United States</v>
      </c>
      <c r="C984" s="6" t="str">
        <v>Google Inc</v>
      </c>
      <c r="D984" s="6" t="str">
        <v>Alphabet Inc</v>
      </c>
      <c r="F984" s="6" t="str">
        <v>United States</v>
      </c>
      <c r="G984" s="6" t="str">
        <v>Snap Inc</v>
      </c>
      <c r="H984" s="6" t="str">
        <v>Prepackaged Software</v>
      </c>
      <c r="I984" s="6" t="str">
        <v>83304A</v>
      </c>
      <c r="J984" s="6" t="str">
        <v>Snap Inc</v>
      </c>
      <c r="K984" s="6" t="str">
        <v>Snap Inc</v>
      </c>
      <c r="L984" s="7">
        <f>=DATE(2017,8,3)</f>
        <v>42949.99949074074</v>
      </c>
      <c r="R984" s="8">
        <v>-2946.103</v>
      </c>
      <c r="S984" s="8">
        <v>625.205</v>
      </c>
      <c r="T984" s="8">
        <v>2425.551</v>
      </c>
      <c r="U984" s="8">
        <v>-1762.679</v>
      </c>
      <c r="V984" s="8">
        <v>-749.165</v>
      </c>
      <c r="W984" s="6" t="str">
        <v>Internet Services &amp; Software;Programming Services</v>
      </c>
      <c r="X984" s="6" t="str">
        <v>Applications Software(Business</v>
      </c>
      <c r="Y984" s="6" t="str">
        <v>Applications Software(Business</v>
      </c>
      <c r="Z984" s="6" t="str">
        <v>Applications Software(Business</v>
      </c>
      <c r="AA984" s="6" t="str">
        <v>Telecommunications Equipment;Programming Services;Computer Consulting Services;Internet Services &amp; Software;Primary Business not Hi-Tech</v>
      </c>
      <c r="AB984" s="6" t="str">
        <v>Internet Services &amp; Software;Programming Services;Telecommunications Equipment;Primary Business not Hi-Tech;Computer Consulting Services</v>
      </c>
    </row>
    <row r="985">
      <c r="A985" s="6" t="str">
        <v>594918</v>
      </c>
      <c r="B985" s="6" t="str">
        <v>United States</v>
      </c>
      <c r="C985" s="6" t="str">
        <v>Microsoft Corp</v>
      </c>
      <c r="D985" s="6" t="str">
        <v>Microsoft Corp</v>
      </c>
      <c r="F985" s="6" t="str">
        <v>United States</v>
      </c>
      <c r="G985" s="6" t="str">
        <v>Cycle Computing LLC</v>
      </c>
      <c r="H985" s="6" t="str">
        <v>Prepackaged Software</v>
      </c>
      <c r="I985" s="6" t="str">
        <v>7F5608</v>
      </c>
      <c r="J985" s="6" t="str">
        <v>Cycle Computing LLC</v>
      </c>
      <c r="K985" s="6" t="str">
        <v>Cycle Computing LLC</v>
      </c>
      <c r="L985" s="7">
        <f>=DATE(2017,8,15)</f>
        <v>42961.99949074074</v>
      </c>
      <c r="M985" s="7">
        <f>=DATE(2017,8,15)</f>
        <v>42961.99949074074</v>
      </c>
      <c r="W985" s="6" t="str">
        <v>Other Peripherals;Operating Systems;Monitors/Terminals;Applications Software(Business;Computer Consulting Services;Internet Services &amp; Software</v>
      </c>
      <c r="X985" s="6" t="str">
        <v>Communication/Network Software</v>
      </c>
      <c r="Y985" s="6" t="str">
        <v>Communication/Network Software</v>
      </c>
      <c r="Z985" s="6" t="str">
        <v>Communication/Network Software</v>
      </c>
      <c r="AA985" s="6" t="str">
        <v>Monitors/Terminals;Other Peripherals;Internet Services &amp; Software;Applications Software(Business;Computer Consulting Services;Operating Systems</v>
      </c>
      <c r="AB985" s="6" t="str">
        <v>Other Peripherals;Operating Systems;Monitors/Terminals;Applications Software(Business;Computer Consulting Services;Internet Services &amp; Software</v>
      </c>
    </row>
    <row r="986">
      <c r="A986" s="6" t="str">
        <v>38259P</v>
      </c>
      <c r="B986" s="6" t="str">
        <v>United States</v>
      </c>
      <c r="C986" s="6" t="str">
        <v>Google Inc</v>
      </c>
      <c r="D986" s="6" t="str">
        <v>Alphabet Inc</v>
      </c>
      <c r="F986" s="6" t="str">
        <v>Belarus</v>
      </c>
      <c r="G986" s="6" t="str">
        <v>Aimatter OOO</v>
      </c>
      <c r="H986" s="6" t="str">
        <v>Business Services</v>
      </c>
      <c r="I986" s="6" t="str">
        <v>7F6189</v>
      </c>
      <c r="J986" s="6" t="str">
        <v>Aimatter OOO</v>
      </c>
      <c r="K986" s="6" t="str">
        <v>Aimatter OOO</v>
      </c>
      <c r="L986" s="7">
        <f>=DATE(2017,8,17)</f>
        <v>42963.99949074074</v>
      </c>
      <c r="M986" s="7">
        <f>=DATE(2017,8,17)</f>
        <v>42963.99949074074</v>
      </c>
      <c r="W986" s="6" t="str">
        <v>Internet Services &amp; Software;Programming Services</v>
      </c>
      <c r="X986" s="6" t="str">
        <v>Programming Services</v>
      </c>
      <c r="Y986" s="6" t="str">
        <v>Programming Services</v>
      </c>
      <c r="Z986" s="6" t="str">
        <v>Programming Services</v>
      </c>
      <c r="AA986" s="6" t="str">
        <v>Computer Consulting Services;Programming Services;Internet Services &amp; Software;Primary Business not Hi-Tech;Telecommunications Equipment</v>
      </c>
      <c r="AB986" s="6" t="str">
        <v>Telecommunications Equipment;Primary Business not Hi-Tech;Computer Consulting Services;Internet Services &amp; Software;Programming Services</v>
      </c>
    </row>
    <row r="987">
      <c r="A987" s="6" t="str">
        <v>0C6551</v>
      </c>
      <c r="B987" s="6" t="str">
        <v>United States</v>
      </c>
      <c r="C987" s="6" t="str">
        <v>Twitch Interactive Inc</v>
      </c>
      <c r="D987" s="6" t="str">
        <v>Amazon.com Inc</v>
      </c>
      <c r="F987" s="6" t="str">
        <v>United States</v>
      </c>
      <c r="G987" s="6" t="str">
        <v>ClipMine Inc</v>
      </c>
      <c r="H987" s="6" t="str">
        <v>Business Services</v>
      </c>
      <c r="I987" s="6" t="str">
        <v>7F6620</v>
      </c>
      <c r="J987" s="6" t="str">
        <v>ClipMine Inc</v>
      </c>
      <c r="K987" s="6" t="str">
        <v>ClipMine Inc</v>
      </c>
      <c r="L987" s="7">
        <f>=DATE(2017,8,18)</f>
        <v>42964.99949074074</v>
      </c>
      <c r="M987" s="7">
        <f>=DATE(2017,8,18)</f>
        <v>42964.99949074074</v>
      </c>
      <c r="W987" s="6" t="str">
        <v>Internet Services &amp; Software</v>
      </c>
      <c r="X987" s="6" t="str">
        <v>Computer Consulting Services</v>
      </c>
      <c r="Y987" s="6" t="str">
        <v>Computer Consulting Services</v>
      </c>
      <c r="Z987" s="6" t="str">
        <v>Computer Consulting Services</v>
      </c>
      <c r="AA987" s="6" t="str">
        <v>Primary Business not Hi-Tech</v>
      </c>
      <c r="AB987" s="6" t="str">
        <v>Primary Business not Hi-Tech</v>
      </c>
      <c r="AD987" s="7">
        <f>=DATE(2017,8,18)</f>
        <v>42964.99949074074</v>
      </c>
    </row>
    <row r="988">
      <c r="A988" s="6" t="str">
        <v>037833</v>
      </c>
      <c r="B988" s="6" t="str">
        <v>United States</v>
      </c>
      <c r="C988" s="6" t="str">
        <v>Apple Inc</v>
      </c>
      <c r="D988" s="6" t="str">
        <v>Apple Inc</v>
      </c>
      <c r="F988" s="6" t="str">
        <v>United States</v>
      </c>
      <c r="G988" s="6" t="str">
        <v>Apple Inc</v>
      </c>
      <c r="H988" s="6" t="str">
        <v>Computer and Office Equipment</v>
      </c>
      <c r="I988" s="6" t="str">
        <v>037833</v>
      </c>
      <c r="J988" s="6" t="str">
        <v>Apple Inc</v>
      </c>
      <c r="K988" s="6" t="str">
        <v>Apple Inc</v>
      </c>
      <c r="L988" s="7">
        <f>=DATE(2017,8,31)</f>
        <v>42977.99949074074</v>
      </c>
      <c r="M988" s="7">
        <f>=DATE(2017,11,30)</f>
        <v>43068.99949074074</v>
      </c>
      <c r="N988" s="8">
        <v>3000</v>
      </c>
      <c r="O988" s="8">
        <v>3000</v>
      </c>
      <c r="P988" s="8" t="str">
        <v>835,408.11</v>
      </c>
      <c r="R988" s="8">
        <v>45687</v>
      </c>
      <c r="S988" s="8">
        <v>215639</v>
      </c>
      <c r="T988" s="8">
        <v>-20483</v>
      </c>
      <c r="U988" s="8">
        <v>-45977</v>
      </c>
      <c r="V988" s="8">
        <v>65824</v>
      </c>
      <c r="W988" s="6" t="str">
        <v>Portable Computers;Printers;Disk Drives;Mainframes &amp; Super Computers;Other Peripherals;Monitors/Terminals;Micro-Computers (PCs);Other Software (inq. Games)</v>
      </c>
      <c r="X988" s="6" t="str">
        <v>Mainframes &amp; Super Computers;Printers;Other Peripherals;Disk Drives;Portable Computers;Other Software (inq. Games);Micro-Computers (PCs);Monitors/Terminals</v>
      </c>
      <c r="Y988" s="6" t="str">
        <v>Disk Drives;Mainframes &amp; Super Computers;Monitors/Terminals;Micro-Computers (PCs);Portable Computers;Printers;Other Software (inq. Games);Other Peripherals</v>
      </c>
      <c r="Z988" s="6" t="str">
        <v>Mainframes &amp; Super Computers;Portable Computers;Other Software (inq. Games);Micro-Computers (PCs);Printers;Monitors/Terminals;Disk Drives;Other Peripherals</v>
      </c>
      <c r="AA988" s="6" t="str">
        <v>Disk Drives;Other Peripherals;Micro-Computers (PCs);Monitors/Terminals;Portable Computers;Other Software (inq. Games);Printers;Mainframes &amp; Super Computers</v>
      </c>
      <c r="AB988" s="6" t="str">
        <v>Printers;Other Software (inq. Games);Other Peripherals;Mainframes &amp; Super Computers;Micro-Computers (PCs);Portable Computers;Disk Drives;Monitors/Terminals</v>
      </c>
      <c r="AC988" s="8">
        <v>3000</v>
      </c>
      <c r="AD988" s="7">
        <f>=DATE(2017,8,31)</f>
        <v>42977.99949074074</v>
      </c>
      <c r="AF988" s="8" t="str">
        <v>835,408.11</v>
      </c>
      <c r="AG988" s="8" t="str">
        <v>835,408.11</v>
      </c>
      <c r="AH988" s="8" t="str">
        <v>815,531.11</v>
      </c>
      <c r="AI988" s="8" t="str">
        <v>815,531.11</v>
      </c>
      <c r="AJ988" s="8" t="str">
        <v>3,000.00</v>
      </c>
      <c r="AK988" s="6" t="str">
        <v>US Dollar</v>
      </c>
      <c r="AL988" s="8">
        <v>3000</v>
      </c>
    </row>
    <row r="989">
      <c r="A989" s="6" t="str">
        <v>38259P</v>
      </c>
      <c r="B989" s="6" t="str">
        <v>United States</v>
      </c>
      <c r="C989" s="6" t="str">
        <v>Google Inc</v>
      </c>
      <c r="D989" s="6" t="str">
        <v>Alphabet Inc</v>
      </c>
      <c r="F989" s="6" t="str">
        <v>Taiwan</v>
      </c>
      <c r="G989" s="6" t="str">
        <v>HTC Corp-Pixel Phone Business</v>
      </c>
      <c r="H989" s="6" t="str">
        <v>Communications Equipment</v>
      </c>
      <c r="I989" s="6" t="str">
        <v>8F2828</v>
      </c>
      <c r="J989" s="6" t="str">
        <v>HTC Corp</v>
      </c>
      <c r="K989" s="6" t="str">
        <v>HTC Corp</v>
      </c>
      <c r="L989" s="7">
        <f>=DATE(2017,9,20)</f>
        <v>42997.99949074074</v>
      </c>
      <c r="M989" s="7">
        <f>=DATE(2018,1,30)</f>
        <v>43129.99949074074</v>
      </c>
      <c r="N989" s="8">
        <v>410.861264662262</v>
      </c>
      <c r="O989" s="8">
        <v>410.861264662262</v>
      </c>
      <c r="W989" s="6" t="str">
        <v>Internet Services &amp; Software;Programming Services</v>
      </c>
      <c r="X989" s="6" t="str">
        <v>Other Telecommunications Equip;Printed Circuit Boards;Facsimile Equipment;Superconductors;Internet Services &amp; Software;Semiconductors;Other Electronics</v>
      </c>
      <c r="Y989" s="6" t="str">
        <v>Portable Computers;Other Telecommunications Equip;Micro-Computers (PCs)</v>
      </c>
      <c r="Z989" s="6" t="str">
        <v>Micro-Computers (PCs);Portable Computers;Other Telecommunications Equip</v>
      </c>
      <c r="AA989" s="6" t="str">
        <v>Computer Consulting Services;Primary Business not Hi-Tech;Telecommunications Equipment;Internet Services &amp; Software;Programming Services</v>
      </c>
      <c r="AB989" s="6" t="str">
        <v>Telecommunications Equipment;Primary Business not Hi-Tech;Computer Consulting Services;Programming Services;Internet Services &amp; Software</v>
      </c>
      <c r="AC989" s="8">
        <v>410.861264662262</v>
      </c>
      <c r="AD989" s="7">
        <f>=DATE(2018,5,7)</f>
        <v>43226.99949074074</v>
      </c>
      <c r="AJ989" s="8" t="str">
        <v>410.86</v>
      </c>
      <c r="AK989" s="6" t="str">
        <v>US Dollar</v>
      </c>
      <c r="AL989" s="8">
        <v>410.861264662262</v>
      </c>
    </row>
    <row r="990">
      <c r="A990" s="6" t="str">
        <v>38259P</v>
      </c>
      <c r="B990" s="6" t="str">
        <v>United States</v>
      </c>
      <c r="C990" s="6" t="str">
        <v>Google Inc</v>
      </c>
      <c r="D990" s="6" t="str">
        <v>Alphabet Inc</v>
      </c>
      <c r="F990" s="6" t="str">
        <v>United States</v>
      </c>
      <c r="G990" s="6" t="str">
        <v>Bitium Inc</v>
      </c>
      <c r="H990" s="6" t="str">
        <v>Prepackaged Software</v>
      </c>
      <c r="I990" s="6" t="str">
        <v>8F7239</v>
      </c>
      <c r="J990" s="6" t="str">
        <v>Bitium Inc</v>
      </c>
      <c r="K990" s="6" t="str">
        <v>Bitium Inc</v>
      </c>
      <c r="L990" s="7">
        <f>=DATE(2017,9,26)</f>
        <v>43003.99949074074</v>
      </c>
      <c r="M990" s="7">
        <f>=DATE(2017,9,26)</f>
        <v>43003.99949074074</v>
      </c>
      <c r="W990" s="6" t="str">
        <v>Internet Services &amp; Software;Programming Services</v>
      </c>
      <c r="X990" s="6" t="str">
        <v>Internet Services &amp; Software;Applications Software(Business</v>
      </c>
      <c r="Y990" s="6" t="str">
        <v>Internet Services &amp; Software;Applications Software(Business</v>
      </c>
      <c r="Z990" s="6" t="str">
        <v>Applications Software(Business;Internet Services &amp; Software</v>
      </c>
      <c r="AA990" s="6" t="str">
        <v>Programming Services;Primary Business not Hi-Tech;Telecommunications Equipment;Computer Consulting Services;Internet Services &amp; Software</v>
      </c>
      <c r="AB990" s="6" t="str">
        <v>Telecommunications Equipment;Primary Business not Hi-Tech;Computer Consulting Services;Programming Services;Internet Services &amp; Software</v>
      </c>
    </row>
    <row r="991">
      <c r="A991" s="6" t="str">
        <v>037833</v>
      </c>
      <c r="B991" s="6" t="str">
        <v>United States</v>
      </c>
      <c r="C991" s="6" t="str">
        <v>Apple Inc</v>
      </c>
      <c r="D991" s="6" t="str">
        <v>Apple Inc</v>
      </c>
      <c r="F991" s="6" t="str">
        <v>France</v>
      </c>
      <c r="G991" s="6" t="str">
        <v>Regaind SASU</v>
      </c>
      <c r="H991" s="6" t="str">
        <v>Prepackaged Software</v>
      </c>
      <c r="I991" s="6" t="str">
        <v>8F8670</v>
      </c>
      <c r="J991" s="6" t="str">
        <v>Regaind SASU</v>
      </c>
      <c r="K991" s="6" t="str">
        <v>Regaind SASU</v>
      </c>
      <c r="L991" s="7">
        <f>=DATE(2017,9,29)</f>
        <v>43006.99949074074</v>
      </c>
      <c r="W991" s="6" t="str">
        <v>Other Peripherals;Micro-Computers (PCs);Mainframes &amp; Super Computers;Printers;Monitors/Terminals;Portable Computers;Disk Drives;Other Software (inq. Games)</v>
      </c>
      <c r="X991" s="6" t="str">
        <v>Other Software (inq. Games)</v>
      </c>
      <c r="Y991" s="6" t="str">
        <v>Other Software (inq. Games)</v>
      </c>
      <c r="Z991" s="6" t="str">
        <v>Other Software (inq. Games)</v>
      </c>
      <c r="AA991" s="6" t="str">
        <v>Disk Drives;Other Peripherals;Mainframes &amp; Super Computers;Other Software (inq. Games);Micro-Computers (PCs);Printers;Portable Computers;Monitors/Terminals</v>
      </c>
      <c r="AB991" s="6" t="str">
        <v>Micro-Computers (PCs);Other Peripherals;Monitors/Terminals;Other Software (inq. Games);Disk Drives;Portable Computers;Mainframes &amp; Super Computers;Printers</v>
      </c>
    </row>
    <row r="992">
      <c r="A992" s="6" t="str">
        <v>594918</v>
      </c>
      <c r="B992" s="6" t="str">
        <v>United States</v>
      </c>
      <c r="C992" s="6" t="str">
        <v>Microsoft Corp</v>
      </c>
      <c r="D992" s="6" t="str">
        <v>Microsoft Corp</v>
      </c>
      <c r="F992" s="6" t="str">
        <v>United States</v>
      </c>
      <c r="G992" s="6" t="str">
        <v>Altspace VR</v>
      </c>
      <c r="H992" s="6" t="str">
        <v>Prepackaged Software</v>
      </c>
      <c r="I992" s="6" t="str">
        <v>1H0687</v>
      </c>
      <c r="J992" s="6" t="str">
        <v>Altspace VR</v>
      </c>
      <c r="K992" s="6" t="str">
        <v>Altspace VR</v>
      </c>
      <c r="L992" s="7">
        <f>=DATE(2017,10,3)</f>
        <v>43010.99949074074</v>
      </c>
      <c r="M992" s="7">
        <f>=DATE(2017,10,3)</f>
        <v>43010.99949074074</v>
      </c>
      <c r="W992" s="6" t="str">
        <v>Computer Consulting Services;Monitors/Terminals;Operating Systems;Applications Software(Business;Internet Services &amp; Software;Other Peripherals</v>
      </c>
      <c r="X992" s="6" t="str">
        <v>Other Software (inq. Games)</v>
      </c>
      <c r="Y992" s="6" t="str">
        <v>Other Software (inq. Games)</v>
      </c>
      <c r="Z992" s="6" t="str">
        <v>Other Software (inq. Games)</v>
      </c>
      <c r="AA992" s="6" t="str">
        <v>Applications Software(Business;Other Peripherals;Monitors/Terminals;Internet Services &amp; Software;Computer Consulting Services;Operating Systems</v>
      </c>
      <c r="AB992" s="6" t="str">
        <v>Operating Systems;Internet Services &amp; Software;Other Peripherals;Computer Consulting Services;Monitors/Terminals;Applications Software(Business</v>
      </c>
    </row>
    <row r="993">
      <c r="A993" s="6" t="str">
        <v>023135</v>
      </c>
      <c r="B993" s="6" t="str">
        <v>United States</v>
      </c>
      <c r="C993" s="6" t="str">
        <v>Amazon.com Inc</v>
      </c>
      <c r="D993" s="6" t="str">
        <v>Amazon.com Inc</v>
      </c>
      <c r="F993" s="6" t="str">
        <v>United States</v>
      </c>
      <c r="G993" s="6" t="str">
        <v>Body Labs Inc</v>
      </c>
      <c r="H993" s="6" t="str">
        <v>Prepackaged Software</v>
      </c>
      <c r="I993" s="6" t="str">
        <v>9F0567</v>
      </c>
      <c r="J993" s="6" t="str">
        <v>Body Labs Inc</v>
      </c>
      <c r="K993" s="6" t="str">
        <v>Body Labs Inc</v>
      </c>
      <c r="L993" s="7">
        <f>=DATE(2017,10,3)</f>
        <v>43010.99949074074</v>
      </c>
      <c r="M993" s="7">
        <f>=DATE(2017,10,3)</f>
        <v>43010.99949074074</v>
      </c>
      <c r="W993" s="6" t="str">
        <v>Primary Business not Hi-Tech</v>
      </c>
      <c r="X993" s="6" t="str">
        <v>Utilities/File Mgmt Software;Applications Software(Business;Communication/Network Software;Other Software (inq. Games);Internet Services &amp; Software;Applications Software(Home);Desktop Publishing</v>
      </c>
      <c r="Y993" s="6" t="str">
        <v>Internet Services &amp; Software;Applications Software(Business;Other Software (inq. Games);Communication/Network Software;Utilities/File Mgmt Software;Desktop Publishing;Applications Software(Home)</v>
      </c>
      <c r="Z993" s="6" t="str">
        <v>Desktop Publishing;Communication/Network Software;Applications Software(Home);Applications Software(Business;Internet Services &amp; Software;Other Software (inq. Games);Utilities/File Mgmt Software</v>
      </c>
      <c r="AA993" s="6" t="str">
        <v>Primary Business not Hi-Tech</v>
      </c>
      <c r="AB993" s="6" t="str">
        <v>Primary Business not Hi-Tech</v>
      </c>
      <c r="AD993" s="7">
        <f>=DATE(2017,10,3)</f>
        <v>43010.99949074074</v>
      </c>
    </row>
    <row r="994">
      <c r="A994" s="6" t="str">
        <v>7J8440</v>
      </c>
      <c r="B994" s="6" t="str">
        <v>United States</v>
      </c>
      <c r="C994" s="6" t="str">
        <v>Google LLC</v>
      </c>
      <c r="D994" s="6" t="str">
        <v>Alphabet Inc</v>
      </c>
      <c r="F994" s="6" t="str">
        <v>United States</v>
      </c>
      <c r="G994" s="6" t="str">
        <v>Relay Media Inc</v>
      </c>
      <c r="H994" s="6" t="str">
        <v>Business Services</v>
      </c>
      <c r="I994" s="6" t="str">
        <v>9F0383</v>
      </c>
      <c r="J994" s="6" t="str">
        <v>Relay Media Inc</v>
      </c>
      <c r="K994" s="6" t="str">
        <v>Relay Media Inc</v>
      </c>
      <c r="L994" s="7">
        <f>=DATE(2017,10,9)</f>
        <v>43016.99949074074</v>
      </c>
      <c r="M994" s="7">
        <f>=DATE(2017,10,9)</f>
        <v>43016.99949074074</v>
      </c>
      <c r="W994" s="6" t="str">
        <v>Internet Services &amp; Software;Programming Services</v>
      </c>
      <c r="X994" s="6" t="str">
        <v>Other Computer Related Svcs;Internet Services &amp; Software</v>
      </c>
      <c r="Y994" s="6" t="str">
        <v>Internet Services &amp; Software;Other Computer Related Svcs</v>
      </c>
      <c r="Z994" s="6" t="str">
        <v>Other Computer Related Svcs;Internet Services &amp; Software</v>
      </c>
      <c r="AA994" s="6" t="str">
        <v>Telecommunications Equipment;Programming Services;Primary Business not Hi-Tech;Computer Consulting Services;Internet Services &amp; Software</v>
      </c>
      <c r="AB994" s="6" t="str">
        <v>Internet Services &amp; Software;Programming Services;Computer Consulting Services;Primary Business not Hi-Tech;Telecommunications Equipment</v>
      </c>
    </row>
    <row r="995">
      <c r="A995" s="6" t="str">
        <v>30303M</v>
      </c>
      <c r="B995" s="6" t="str">
        <v>United States</v>
      </c>
      <c r="C995" s="6" t="str">
        <v>Facebook Inc</v>
      </c>
      <c r="D995" s="6" t="str">
        <v>Facebook Inc</v>
      </c>
      <c r="F995" s="6" t="str">
        <v>United States</v>
      </c>
      <c r="G995" s="6" t="str">
        <v>Midnight Labs Llc</v>
      </c>
      <c r="H995" s="6" t="str">
        <v>Prepackaged Software</v>
      </c>
      <c r="I995" s="6" t="str">
        <v>9F2096</v>
      </c>
      <c r="J995" s="6" t="str">
        <v>Midnight Labs Llc</v>
      </c>
      <c r="K995" s="6" t="str">
        <v>Midnight Labs Llc</v>
      </c>
      <c r="L995" s="7">
        <f>=DATE(2017,10,16)</f>
        <v>43023.99949074074</v>
      </c>
      <c r="W995" s="6" t="str">
        <v>Internet Services &amp; Software</v>
      </c>
      <c r="X995" s="6" t="str">
        <v>Utilities/File Mgmt Software;Other Software (inq. Games);Applications Software(Home);Desktop Publishing;Applications Software(Business;Internet Services &amp; Software;Communication/Network Software</v>
      </c>
      <c r="Y995" s="6" t="str">
        <v>Applications Software(Business;Applications Software(Home);Desktop Publishing;Internet Services &amp; Software;Other Software (inq. Games);Utilities/File Mgmt Software;Communication/Network Software</v>
      </c>
      <c r="Z995" s="6" t="str">
        <v>Applications Software(Business;Internet Services &amp; Software;Communication/Network Software;Desktop Publishing;Utilities/File Mgmt Software;Other Software (inq. Games);Applications Software(Home)</v>
      </c>
      <c r="AA995" s="6" t="str">
        <v>Internet Services &amp; Software</v>
      </c>
      <c r="AB995" s="6" t="str">
        <v>Internet Services &amp; Software</v>
      </c>
      <c r="AD995" s="7">
        <f>=DATE(2017,10,16)</f>
        <v>43023.99949074074</v>
      </c>
    </row>
    <row r="996">
      <c r="A996" s="6" t="str">
        <v>2F3138</v>
      </c>
      <c r="B996" s="6" t="str">
        <v>United States</v>
      </c>
      <c r="C996" s="6" t="str">
        <v>CapitalG Management Co LLC</v>
      </c>
      <c r="D996" s="6" t="str">
        <v>Alphabet Inc</v>
      </c>
      <c r="F996" s="6" t="str">
        <v>United States</v>
      </c>
      <c r="G996" s="6" t="str">
        <v>Lyft Inc</v>
      </c>
      <c r="H996" s="6" t="str">
        <v>Prepackaged Software</v>
      </c>
      <c r="I996" s="6" t="str">
        <v>6C5805</v>
      </c>
      <c r="J996" s="6" t="str">
        <v>Lyft Inc</v>
      </c>
      <c r="K996" s="6" t="str">
        <v>Lyft Inc</v>
      </c>
      <c r="L996" s="7">
        <f>=DATE(2017,10,19)</f>
        <v>43026.99949074074</v>
      </c>
      <c r="M996" s="7">
        <f>=DATE(2017,10,19)</f>
        <v>43026.99949074074</v>
      </c>
      <c r="N996" s="8">
        <v>1000</v>
      </c>
      <c r="O996" s="8">
        <v>1000</v>
      </c>
      <c r="R996" s="8">
        <v>-1136.833</v>
      </c>
      <c r="S996" s="8">
        <v>1775.118</v>
      </c>
      <c r="T996" s="8">
        <v>2048.951</v>
      </c>
      <c r="U996" s="8">
        <v>-991.426</v>
      </c>
      <c r="V996" s="8">
        <v>-393.526</v>
      </c>
      <c r="W996" s="6" t="str">
        <v>Primary Business not Hi-Tech</v>
      </c>
      <c r="X996" s="6" t="str">
        <v>Primary Business not Hi-Tech;Networking Systems (LAN,WAN);Other Software (inq. Games);Satellite Communications;Internet Services &amp; Software;Applications Software(Home);Desktop Publishing;Communication/Network Software;Applications Software(Business;Utilities/File Mgmt Software</v>
      </c>
      <c r="Y996" s="6" t="str">
        <v>Primary Business not Hi-Tech;Internet Services &amp; Software;Other Software (inq. Games);Satellite Communications;Communication/Network Software;Desktop Publishing;Utilities/File Mgmt Software;Applications Software(Home);Applications Software(Business;Networking Systems (LAN,WAN)</v>
      </c>
      <c r="Z996" s="6" t="str">
        <v>Utilities/File Mgmt Software;Internet Services &amp; Software;Satellite Communications;Desktop Publishing;Applications Software(Home);Networking Systems (LAN,WAN);Primary Business not Hi-Tech;Communication/Network Software;Applications Software(Business;Other Software (inq. Games)</v>
      </c>
      <c r="AA996" s="6" t="str">
        <v>Programming Services;Internet Services &amp; Software</v>
      </c>
      <c r="AB996" s="6" t="str">
        <v>Computer Consulting Services;Programming Services;Primary Business not Hi-Tech;Telecommunications Equipment;Internet Services &amp; Software</v>
      </c>
      <c r="AC996" s="8">
        <v>1000</v>
      </c>
      <c r="AD996" s="7">
        <f>=DATE(2017,10,19)</f>
        <v>43026.99949074074</v>
      </c>
      <c r="AJ996" s="8" t="str">
        <v>1,000.00</v>
      </c>
      <c r="AK996" s="6" t="str">
        <v>US Dollar</v>
      </c>
      <c r="AL996" s="8">
        <v>1000</v>
      </c>
    </row>
    <row r="997">
      <c r="A997" s="6" t="str">
        <v>037833</v>
      </c>
      <c r="B997" s="6" t="str">
        <v>United States</v>
      </c>
      <c r="C997" s="6" t="str">
        <v>Apple Inc</v>
      </c>
      <c r="D997" s="6" t="str">
        <v>Apple Inc</v>
      </c>
      <c r="F997" s="6" t="str">
        <v>United States</v>
      </c>
      <c r="G997" s="6" t="str">
        <v>Invisage Technologies Inc</v>
      </c>
      <c r="H997" s="6" t="str">
        <v>Prepackaged Software</v>
      </c>
      <c r="I997" s="6" t="str">
        <v>9F8043</v>
      </c>
      <c r="J997" s="6" t="str">
        <v>Invisage Technologies Inc</v>
      </c>
      <c r="K997" s="6" t="str">
        <v>Invisage Technologies Inc</v>
      </c>
      <c r="L997" s="7">
        <f>=DATE(2017,10,25)</f>
        <v>43032.99949074074</v>
      </c>
      <c r="W997" s="6" t="str">
        <v>Other Peripherals;Mainframes &amp; Super Computers;Monitors/Terminals;Disk Drives;Micro-Computers (PCs);Portable Computers;Printers;Other Software (inq. Games)</v>
      </c>
      <c r="X997" s="6" t="str">
        <v>Other Software (inq. Games)</v>
      </c>
      <c r="Y997" s="6" t="str">
        <v>Other Software (inq. Games)</v>
      </c>
      <c r="Z997" s="6" t="str">
        <v>Other Software (inq. Games)</v>
      </c>
      <c r="AA997" s="6" t="str">
        <v>Micro-Computers (PCs);Monitors/Terminals;Mainframes &amp; Super Computers;Other Software (inq. Games);Portable Computers;Disk Drives;Other Peripherals;Printers</v>
      </c>
      <c r="AB997" s="6" t="str">
        <v>Disk Drives;Printers;Monitors/Terminals;Mainframes &amp; Super Computers;Other Peripherals;Portable Computers;Other Software (inq. Games);Micro-Computers (PCs)</v>
      </c>
    </row>
    <row r="998">
      <c r="A998" s="6" t="str">
        <v>037833</v>
      </c>
      <c r="B998" s="6" t="str">
        <v>United States</v>
      </c>
      <c r="C998" s="6" t="str">
        <v>Apple Inc</v>
      </c>
      <c r="D998" s="6" t="str">
        <v>Apple Inc</v>
      </c>
      <c r="F998" s="6" t="str">
        <v>United States</v>
      </c>
      <c r="G998" s="6" t="str">
        <v>Apple Inc</v>
      </c>
      <c r="H998" s="6" t="str">
        <v>Computer and Office Equipment</v>
      </c>
      <c r="I998" s="6" t="str">
        <v>037833</v>
      </c>
      <c r="J998" s="6" t="str">
        <v>Apple Inc</v>
      </c>
      <c r="K998" s="6" t="str">
        <v>Apple Inc</v>
      </c>
      <c r="L998" s="7">
        <f>=DATE(2017,11,1)</f>
        <v>43039.99949074074</v>
      </c>
      <c r="M998" s="7">
        <f>=DATE(2018,2,28)</f>
        <v>43158.99949074074</v>
      </c>
      <c r="N998" s="8">
        <v>5000</v>
      </c>
      <c r="O998" s="8">
        <v>5000</v>
      </c>
      <c r="P998" s="8" t="str">
        <v>923,870.79</v>
      </c>
      <c r="R998" s="8">
        <v>48351</v>
      </c>
      <c r="S998" s="8">
        <v>229234</v>
      </c>
      <c r="T998" s="8">
        <v>-17347</v>
      </c>
      <c r="U998" s="8">
        <v>-46446</v>
      </c>
      <c r="V998" s="8">
        <v>63598</v>
      </c>
      <c r="W998" s="6" t="str">
        <v>Other Peripherals;Printers;Monitors/Terminals;Portable Computers;Micro-Computers (PCs);Disk Drives;Mainframes &amp; Super Computers;Other Software (inq. Games)</v>
      </c>
      <c r="X998" s="6" t="str">
        <v>Other Software (inq. Games);Other Peripherals;Monitors/Terminals;Mainframes &amp; Super Computers;Disk Drives;Micro-Computers (PCs);Portable Computers;Printers</v>
      </c>
      <c r="Y998" s="6" t="str">
        <v>Mainframes &amp; Super Computers;Other Peripherals;Portable Computers;Monitors/Terminals;Other Software (inq. Games);Micro-Computers (PCs);Disk Drives;Printers</v>
      </c>
      <c r="Z998" s="6" t="str">
        <v>Printers;Portable Computers;Micro-Computers (PCs);Monitors/Terminals;Other Software (inq. Games);Disk Drives;Other Peripherals;Mainframes &amp; Super Computers</v>
      </c>
      <c r="AA998" s="6" t="str">
        <v>Mainframes &amp; Super Computers;Other Peripherals;Portable Computers;Disk Drives;Monitors/Terminals;Micro-Computers (PCs);Printers;Other Software (inq. Games)</v>
      </c>
      <c r="AB998" s="6" t="str">
        <v>Other Software (inq. Games);Micro-Computers (PCs);Mainframes &amp; Super Computers;Disk Drives;Portable Computers;Printers;Monitors/Terminals;Other Peripherals</v>
      </c>
      <c r="AC998" s="8">
        <v>5000</v>
      </c>
      <c r="AD998" s="7">
        <f>=DATE(2017,11,1)</f>
        <v>43039.99949074074</v>
      </c>
      <c r="AF998" s="8" t="str">
        <v>923,870.79</v>
      </c>
      <c r="AG998" s="8" t="str">
        <v>923,870.79</v>
      </c>
      <c r="AH998" s="8" t="str">
        <v>882,371.79</v>
      </c>
      <c r="AI998" s="8" t="str">
        <v>882,371.79</v>
      </c>
      <c r="AJ998" s="8" t="str">
        <v>5,000.00</v>
      </c>
      <c r="AK998" s="6" t="str">
        <v>US Dollar</v>
      </c>
      <c r="AL998" s="8">
        <v>5000</v>
      </c>
    </row>
    <row r="999">
      <c r="A999" s="6" t="str">
        <v>7J8440</v>
      </c>
      <c r="B999" s="6" t="str">
        <v>United States</v>
      </c>
      <c r="C999" s="6" t="str">
        <v>Google LLC</v>
      </c>
      <c r="D999" s="6" t="str">
        <v>Alphabet Inc</v>
      </c>
      <c r="F999" s="6" t="str">
        <v>United States</v>
      </c>
      <c r="G999" s="6" t="str">
        <v>XtalPi Inc</v>
      </c>
      <c r="H999" s="6" t="str">
        <v>Drugs</v>
      </c>
      <c r="I999" s="6" t="str">
        <v>0H4268</v>
      </c>
      <c r="J999" s="6" t="str">
        <v>XtalPi Inc</v>
      </c>
      <c r="K999" s="6" t="str">
        <v>XtalPi Inc</v>
      </c>
      <c r="L999" s="7">
        <f>=DATE(2017,11,17)</f>
        <v>43055.99949074074</v>
      </c>
      <c r="M999" s="7">
        <f>=DATE(2017,11,17)</f>
        <v>43055.99949074074</v>
      </c>
      <c r="N999" s="8">
        <v>2</v>
      </c>
      <c r="O999" s="8">
        <v>2</v>
      </c>
      <c r="W999" s="6" t="str">
        <v>Programming Services;Internet Services &amp; Software</v>
      </c>
      <c r="X999" s="6" t="str">
        <v>General Pharmaceuticals</v>
      </c>
      <c r="Y999" s="6" t="str">
        <v>General Pharmaceuticals</v>
      </c>
      <c r="Z999" s="6" t="str">
        <v>General Pharmaceuticals</v>
      </c>
      <c r="AA999" s="6" t="str">
        <v>Primary Business not Hi-Tech;Telecommunications Equipment;Computer Consulting Services;Internet Services &amp; Software;Programming Services</v>
      </c>
      <c r="AB999" s="6" t="str">
        <v>Telecommunications Equipment;Primary Business not Hi-Tech;Computer Consulting Services;Internet Services &amp; Software;Programming Services</v>
      </c>
      <c r="AC999" s="8">
        <v>2</v>
      </c>
      <c r="AD999" s="7">
        <f>=DATE(2017,11,17)</f>
        <v>43055.99949074074</v>
      </c>
      <c r="AL999" s="8">
        <v>2</v>
      </c>
    </row>
    <row r="1000">
      <c r="A1000" s="6" t="str">
        <v>037833</v>
      </c>
      <c r="B1000" s="6" t="str">
        <v>United States</v>
      </c>
      <c r="C1000" s="6" t="str">
        <v>Apple Inc</v>
      </c>
      <c r="D1000" s="6" t="str">
        <v>Apple Inc</v>
      </c>
      <c r="F1000" s="6" t="str">
        <v>Canada</v>
      </c>
      <c r="G1000" s="6" t="str">
        <v>Vrvana Inc</v>
      </c>
      <c r="H1000" s="6" t="str">
        <v>Measuring, Medical, Photo Equipment; Clocks</v>
      </c>
      <c r="I1000" s="6" t="str">
        <v>0H0949</v>
      </c>
      <c r="J1000" s="6" t="str">
        <v>Vrvana Inc</v>
      </c>
      <c r="K1000" s="6" t="str">
        <v>Vrvana Inc</v>
      </c>
      <c r="L1000" s="7">
        <f>=DATE(2017,11,21)</f>
        <v>43059.99949074074</v>
      </c>
      <c r="W1000" s="6" t="str">
        <v>Mainframes &amp; Super Computers;Other Software (inq. Games);Micro-Computers (PCs);Printers;Monitors/Terminals;Portable Computers;Other Peripherals;Disk Drives</v>
      </c>
      <c r="X1000" s="6" t="str">
        <v>Defense Related;Search, Detection, Navigation</v>
      </c>
      <c r="Y1000" s="6" t="str">
        <v>Search, Detection, Navigation;Defense Related</v>
      </c>
      <c r="Z1000" s="6" t="str">
        <v>Search, Detection, Navigation;Defense Related</v>
      </c>
      <c r="AA1000" s="6" t="str">
        <v>Micro-Computers (PCs);Mainframes &amp; Super Computers;Disk Drives;Printers;Other Software (inq. Games);Other Peripherals;Portable Computers;Monitors/Terminals</v>
      </c>
      <c r="AB1000" s="6" t="str">
        <v>Disk Drives;Other Peripherals;Portable Computers;Monitors/Terminals;Mainframes &amp; Super Computers;Micro-Computers (PCs);Other Software (inq. Games);Printers</v>
      </c>
      <c r="AD1000" s="7">
        <f>=DATE(2017,11,21)</f>
        <v>43059.99949074074</v>
      </c>
    </row>
    <row r="1001">
      <c r="A1001" s="6" t="str">
        <v>7J8440</v>
      </c>
      <c r="B1001" s="6" t="str">
        <v>United States</v>
      </c>
      <c r="C1001" s="6" t="str">
        <v>Google LLC</v>
      </c>
      <c r="D1001" s="6" t="str">
        <v>Alphabet Inc</v>
      </c>
      <c r="F1001" s="6" t="str">
        <v>Austria</v>
      </c>
      <c r="G1001" s="6" t="str">
        <v>StreamUnlimited Engineering GmbH</v>
      </c>
      <c r="H1001" s="6" t="str">
        <v>Business Services</v>
      </c>
      <c r="I1001" s="6" t="str">
        <v>8E2329</v>
      </c>
      <c r="J1001" s="6" t="str">
        <v>StreamUnlimited Engineering GmbH</v>
      </c>
      <c r="K1001" s="6" t="str">
        <v>StreamUnlimited Engineering GmbH</v>
      </c>
      <c r="L1001" s="7">
        <f>=DATE(2017,11,28)</f>
        <v>43066.99949074074</v>
      </c>
      <c r="M1001" s="7">
        <f>=DATE(2017,11,28)</f>
        <v>43066.99949074074</v>
      </c>
      <c r="W1001" s="6" t="str">
        <v>Programming Services;Internet Services &amp; Software</v>
      </c>
      <c r="X1001" s="6" t="str">
        <v>Other Computer Related Svcs</v>
      </c>
      <c r="Y1001" s="6" t="str">
        <v>Other Computer Related Svcs</v>
      </c>
      <c r="Z1001" s="6" t="str">
        <v>Other Computer Related Svcs</v>
      </c>
      <c r="AA1001" s="6" t="str">
        <v>Telecommunications Equipment;Computer Consulting Services;Primary Business not Hi-Tech;Internet Services &amp; Software;Programming Services</v>
      </c>
      <c r="AB1001" s="6" t="str">
        <v>Computer Consulting Services;Primary Business not Hi-Tech;Internet Services &amp; Software;Programming Services;Telecommunications Equipment</v>
      </c>
    </row>
    <row r="1002">
      <c r="A1002" s="6" t="str">
        <v>037833</v>
      </c>
      <c r="B1002" s="6" t="str">
        <v>United States</v>
      </c>
      <c r="C1002" s="6" t="str">
        <v>Apple Inc</v>
      </c>
      <c r="D1002" s="6" t="str">
        <v>Apple Inc</v>
      </c>
      <c r="F1002" s="6" t="str">
        <v>United Kingdom</v>
      </c>
      <c r="G1002" s="6" t="str">
        <v>Shazam Entertainment Ltd</v>
      </c>
      <c r="H1002" s="6" t="str">
        <v>Prepackaged Software</v>
      </c>
      <c r="I1002" s="6" t="str">
        <v>81888F</v>
      </c>
      <c r="J1002" s="6" t="str">
        <v>Shazam Entertainment Ltd</v>
      </c>
      <c r="K1002" s="6" t="str">
        <v>Shazam Entertainment Ltd</v>
      </c>
      <c r="L1002" s="7">
        <f>=DATE(2017,12,11)</f>
        <v>43079.99949074074</v>
      </c>
      <c r="M1002" s="7">
        <f>=DATE(2018,9,24)</f>
        <v>43366.99949074074</v>
      </c>
      <c r="W1002" s="6" t="str">
        <v>Disk Drives;Portable Computers;Mainframes &amp; Super Computers;Micro-Computers (PCs);Other Software (inq. Games);Printers;Other Peripherals;Monitors/Terminals</v>
      </c>
      <c r="X1002" s="6" t="str">
        <v>Other Software (inq. Games)</v>
      </c>
      <c r="Y1002" s="6" t="str">
        <v>Other Software (inq. Games)</v>
      </c>
      <c r="Z1002" s="6" t="str">
        <v>Other Software (inq. Games)</v>
      </c>
      <c r="AA1002" s="6" t="str">
        <v>Micro-Computers (PCs);Portable Computers;Other Peripherals;Other Software (inq. Games);Disk Drives;Printers;Monitors/Terminals;Mainframes &amp; Super Computers</v>
      </c>
      <c r="AB1002" s="6" t="str">
        <v>Monitors/Terminals;Micro-Computers (PCs);Printers;Portable Computers;Disk Drives;Other Peripherals;Other Software (inq. Games);Mainframes &amp; Super Computers</v>
      </c>
      <c r="AD1002" s="7">
        <f>=DATE(2017,12,8)</f>
        <v>43076.99949074074</v>
      </c>
    </row>
    <row r="1003">
      <c r="A1003" s="6" t="str">
        <v>037833</v>
      </c>
      <c r="B1003" s="6" t="str">
        <v>United States</v>
      </c>
      <c r="C1003" s="6" t="str">
        <v>Apple Inc</v>
      </c>
      <c r="D1003" s="6" t="str">
        <v>Apple Inc</v>
      </c>
      <c r="F1003" s="6" t="str">
        <v>Canada</v>
      </c>
      <c r="G1003" s="6" t="str">
        <v>Doe Pics Hit Inc</v>
      </c>
      <c r="H1003" s="6" t="str">
        <v>Prepackaged Software</v>
      </c>
      <c r="I1003" s="6" t="str">
        <v>3H6752</v>
      </c>
      <c r="J1003" s="6" t="str">
        <v>Doe Pics Hit Inc</v>
      </c>
      <c r="K1003" s="6" t="str">
        <v>Doe Pics Hit Inc</v>
      </c>
      <c r="L1003" s="7">
        <f>=DATE(2018,1,2)</f>
        <v>43101.99949074074</v>
      </c>
      <c r="M1003" s="7">
        <f>=DATE(2018,1,2)</f>
        <v>43101.99949074074</v>
      </c>
      <c r="W1003" s="6" t="str">
        <v>Other Software (inq. Games);Mainframes &amp; Super Computers;Monitors/Terminals;Printers;Portable Computers;Disk Drives;Other Peripherals;Micro-Computers (PCs)</v>
      </c>
      <c r="X1003" s="6" t="str">
        <v>Internet Services &amp; Software;Communication/Network Software</v>
      </c>
      <c r="Y1003" s="6" t="str">
        <v>Internet Services &amp; Software;Communication/Network Software</v>
      </c>
      <c r="Z1003" s="6" t="str">
        <v>Communication/Network Software;Internet Services &amp; Software</v>
      </c>
      <c r="AA1003" s="6" t="str">
        <v>Other Software (inq. Games);Other Peripherals;Disk Drives;Printers;Micro-Computers (PCs);Portable Computers;Mainframes &amp; Super Computers;Monitors/Terminals</v>
      </c>
      <c r="AB1003" s="6" t="str">
        <v>Other Software (inq. Games);Mainframes &amp; Super Computers;Disk Drives;Micro-Computers (PCs);Other Peripherals;Printers;Portable Computers;Monitors/Terminals</v>
      </c>
    </row>
    <row r="1004">
      <c r="A1004" s="6" t="str">
        <v>037833</v>
      </c>
      <c r="B1004" s="6" t="str">
        <v>United States</v>
      </c>
      <c r="C1004" s="6" t="str">
        <v>Apple Inc</v>
      </c>
      <c r="D1004" s="6" t="str">
        <v>Apple Inc</v>
      </c>
      <c r="F1004" s="6" t="str">
        <v>United States</v>
      </c>
      <c r="G1004" s="6" t="str">
        <v>Netflix Inc</v>
      </c>
      <c r="H1004" s="6" t="str">
        <v>Motion Picture Production and Distribution</v>
      </c>
      <c r="I1004" s="6" t="str">
        <v>64110L</v>
      </c>
      <c r="J1004" s="6" t="str">
        <v>Netflix Inc</v>
      </c>
      <c r="K1004" s="6" t="str">
        <v>Netflix Inc</v>
      </c>
      <c r="L1004" s="7">
        <f>=DATE(2018,1,2)</f>
        <v>43101.99949074074</v>
      </c>
      <c r="R1004" s="8">
        <v>638.029</v>
      </c>
      <c r="S1004" s="8">
        <v>11692.713</v>
      </c>
      <c r="T1004" s="8">
        <v>3076.99</v>
      </c>
      <c r="U1004" s="8">
        <v>34.329</v>
      </c>
      <c r="V1004" s="8">
        <v>-1785.948</v>
      </c>
      <c r="W1004" s="6" t="str">
        <v>Printers;Disk Drives;Monitors/Terminals;Portable Computers;Mainframes &amp; Super Computers;Micro-Computers (PCs);Other Peripherals;Other Software (inq. Games)</v>
      </c>
      <c r="X1004" s="6" t="str">
        <v>Internet Services &amp; Software</v>
      </c>
      <c r="Y1004" s="6" t="str">
        <v>Internet Services &amp; Software</v>
      </c>
      <c r="Z1004" s="6" t="str">
        <v>Internet Services &amp; Software</v>
      </c>
      <c r="AA1004" s="6" t="str">
        <v>Disk Drives;Mainframes &amp; Super Computers;Other Peripherals;Portable Computers;Micro-Computers (PCs);Other Software (inq. Games);Printers;Monitors/Terminals</v>
      </c>
      <c r="AB1004" s="6" t="str">
        <v>Other Software (inq. Games);Disk Drives;Other Peripherals;Mainframes &amp; Super Computers;Micro-Computers (PCs);Monitors/Terminals;Portable Computers;Printers</v>
      </c>
    </row>
    <row r="1005">
      <c r="A1005" s="6" t="str">
        <v>594918</v>
      </c>
      <c r="B1005" s="6" t="str">
        <v>United States</v>
      </c>
      <c r="C1005" s="6" t="str">
        <v>Microsoft Corp</v>
      </c>
      <c r="D1005" s="6" t="str">
        <v>Microsoft Corp</v>
      </c>
      <c r="F1005" s="6" t="str">
        <v>United States</v>
      </c>
      <c r="G1005" s="6" t="str">
        <v>Avere Systems Inc</v>
      </c>
      <c r="H1005" s="6" t="str">
        <v>Business Services</v>
      </c>
      <c r="I1005" s="6" t="str">
        <v>8F6446</v>
      </c>
      <c r="J1005" s="6" t="str">
        <v>Avere Systems Inc</v>
      </c>
      <c r="K1005" s="6" t="str">
        <v>Avere Systems Inc</v>
      </c>
      <c r="L1005" s="7">
        <f>=DATE(2018,1,3)</f>
        <v>43102.99949074074</v>
      </c>
      <c r="W1005" s="6" t="str">
        <v>Other Peripherals;Monitors/Terminals;Internet Services &amp; Software;Applications Software(Business;Computer Consulting Services;Operating Systems</v>
      </c>
      <c r="X1005" s="6" t="str">
        <v>Data Processing Services</v>
      </c>
      <c r="Y1005" s="6" t="str">
        <v>Data Processing Services</v>
      </c>
      <c r="Z1005" s="6" t="str">
        <v>Data Processing Services</v>
      </c>
      <c r="AA1005" s="6" t="str">
        <v>Computer Consulting Services;Monitors/Terminals;Operating Systems;Applications Software(Business;Other Peripherals;Internet Services &amp; Software</v>
      </c>
      <c r="AB1005" s="6" t="str">
        <v>Applications Software(Business;Monitors/Terminals;Other Peripherals;Internet Services &amp; Software;Computer Consulting Services;Operating Systems</v>
      </c>
    </row>
    <row r="1006">
      <c r="A1006" s="6" t="str">
        <v>7J8440</v>
      </c>
      <c r="B1006" s="6" t="str">
        <v>United States</v>
      </c>
      <c r="C1006" s="6" t="str">
        <v>Google LLC</v>
      </c>
      <c r="D1006" s="6" t="str">
        <v>Alphabet Inc</v>
      </c>
      <c r="F1006" s="6" t="str">
        <v>United Kingdom</v>
      </c>
      <c r="G1006" s="6" t="str">
        <v>NVF Tech Ltd</v>
      </c>
      <c r="H1006" s="6" t="str">
        <v>Electronic and Electrical Equipment</v>
      </c>
      <c r="I1006" s="6" t="str">
        <v>1H5181</v>
      </c>
      <c r="J1006" s="6" t="str">
        <v>BMS Specialist Debt Ltd</v>
      </c>
      <c r="K1006" s="6" t="str">
        <v>BMS Finance AB Ltd</v>
      </c>
      <c r="L1006" s="7">
        <f>=DATE(2018,1,11)</f>
        <v>43110.99949074074</v>
      </c>
      <c r="M1006" s="7">
        <f>=DATE(2018,1,11)</f>
        <v>43110.99949074074</v>
      </c>
      <c r="R1006" s="8">
        <v>16.3657982920765</v>
      </c>
      <c r="S1006" s="8">
        <v>3.32261377148416</v>
      </c>
      <c r="W1006" s="6" t="str">
        <v>Programming Services;Internet Services &amp; Software</v>
      </c>
      <c r="X1006" s="6" t="str">
        <v>Other Electronics;Data Commun(Exclude networking</v>
      </c>
      <c r="Y1006" s="6" t="str">
        <v>Primary Business not Hi-Tech</v>
      </c>
      <c r="Z1006" s="6" t="str">
        <v>Primary Business not Hi-Tech</v>
      </c>
      <c r="AA1006" s="6" t="str">
        <v>Internet Services &amp; Software;Programming Services;Computer Consulting Services;Telecommunications Equipment;Primary Business not Hi-Tech</v>
      </c>
      <c r="AB1006" s="6" t="str">
        <v>Programming Services;Internet Services &amp; Software;Primary Business not Hi-Tech;Computer Consulting Services;Telecommunications Equipment</v>
      </c>
    </row>
    <row r="1007">
      <c r="A1007" s="6" t="str">
        <v>4C7902</v>
      </c>
      <c r="B1007" s="6" t="str">
        <v>United States</v>
      </c>
      <c r="C1007" s="6" t="str">
        <v>Amazon Web Services Inc</v>
      </c>
      <c r="D1007" s="6" t="str">
        <v>Amazon.com Inc</v>
      </c>
      <c r="F1007" s="6" t="str">
        <v>United States</v>
      </c>
      <c r="G1007" s="6" t="str">
        <v>Sqrrl Data Inc</v>
      </c>
      <c r="H1007" s="6" t="str">
        <v>Business Services</v>
      </c>
      <c r="I1007" s="6" t="str">
        <v>6F1167</v>
      </c>
      <c r="J1007" s="6" t="str">
        <v>Sqrrl Data Inc</v>
      </c>
      <c r="K1007" s="6" t="str">
        <v>Sqrrl Data Inc</v>
      </c>
      <c r="L1007" s="7">
        <f>=DATE(2018,1,23)</f>
        <v>43122.99949074074</v>
      </c>
      <c r="M1007" s="7">
        <f>=DATE(2018,1,23)</f>
        <v>43122.99949074074</v>
      </c>
      <c r="W1007" s="6" t="str">
        <v>Other Computer Related Svcs;Computer Consulting Services;Primary Business not Hi-Tech;Data Processing Services;Internet Services &amp; Software</v>
      </c>
      <c r="X1007" s="6" t="str">
        <v>Data Processing Services;Computer Consulting Services;Other Computer Related Svcs;Other Software (inq. Games)</v>
      </c>
      <c r="Y1007" s="6" t="str">
        <v>Other Computer Related Svcs;Other Software (inq. Games);Data Processing Services;Computer Consulting Services</v>
      </c>
      <c r="Z1007" s="6" t="str">
        <v>Other Computer Related Svcs;Other Software (inq. Games);Data Processing Services;Computer Consulting Services</v>
      </c>
      <c r="AA1007" s="6" t="str">
        <v>Primary Business not Hi-Tech</v>
      </c>
      <c r="AB1007" s="6" t="str">
        <v>Primary Business not Hi-Tech</v>
      </c>
      <c r="AD1007" s="7">
        <f>=DATE(2017,12,18)</f>
        <v>43086.99949074074</v>
      </c>
    </row>
    <row r="1008">
      <c r="A1008" s="6" t="str">
        <v>30303M</v>
      </c>
      <c r="B1008" s="6" t="str">
        <v>United States</v>
      </c>
      <c r="C1008" s="6" t="str">
        <v>Facebook Inc</v>
      </c>
      <c r="D1008" s="6" t="str">
        <v>Facebook Inc</v>
      </c>
      <c r="F1008" s="6" t="str">
        <v>United States</v>
      </c>
      <c r="G1008" s="6" t="str">
        <v>Confirm Inc</v>
      </c>
      <c r="H1008" s="6" t="str">
        <v>Business Services</v>
      </c>
      <c r="I1008" s="6" t="str">
        <v>1H8111</v>
      </c>
      <c r="J1008" s="6" t="str">
        <v>Confirm Inc</v>
      </c>
      <c r="K1008" s="6" t="str">
        <v>Confirm Inc</v>
      </c>
      <c r="L1008" s="7">
        <f>=DATE(2018,1,24)</f>
        <v>43123.99949074074</v>
      </c>
      <c r="M1008" s="7">
        <f>=DATE(2018,3,1)</f>
        <v>43159.99949074074</v>
      </c>
      <c r="W1008" s="6" t="str">
        <v>Internet Services &amp; Software</v>
      </c>
      <c r="X1008" s="6" t="str">
        <v>Desktop Publishing;Applications Software(Home);Primary Business not Hi-Tech;Internet Services &amp; Software;Applications Software(Business;Communication/Network Software;Utilities/File Mgmt Software;Other Software (inq. Games)</v>
      </c>
      <c r="Y1008" s="6" t="str">
        <v>Utilities/File Mgmt Software;Desktop Publishing;Primary Business not Hi-Tech;Communication/Network Software;Applications Software(Home);Internet Services &amp; Software;Applications Software(Business;Other Software (inq. Games)</v>
      </c>
      <c r="Z1008" s="6" t="str">
        <v>Applications Software(Home);Desktop Publishing;Primary Business not Hi-Tech;Communication/Network Software;Utilities/File Mgmt Software;Applications Software(Business;Internet Services &amp; Software;Other Software (inq. Games)</v>
      </c>
      <c r="AA1008" s="6" t="str">
        <v>Internet Services &amp; Software</v>
      </c>
      <c r="AB1008" s="6" t="str">
        <v>Internet Services &amp; Software</v>
      </c>
    </row>
    <row r="1009">
      <c r="A1009" s="6" t="str">
        <v>8F6079</v>
      </c>
      <c r="B1009" s="6" t="str">
        <v>United States</v>
      </c>
      <c r="C1009" s="6" t="str">
        <v>Amazon.com NV Investment Holdings LLC</v>
      </c>
      <c r="D1009" s="6" t="str">
        <v>Amazon.com Inc</v>
      </c>
      <c r="F1009" s="6" t="str">
        <v>United States</v>
      </c>
      <c r="G1009" s="6" t="str">
        <v>StarTek Inc</v>
      </c>
      <c r="H1009" s="6" t="str">
        <v>Business Services</v>
      </c>
      <c r="I1009" s="6" t="str">
        <v>85569C</v>
      </c>
      <c r="J1009" s="6" t="str">
        <v>Capital Square Partners Pte Ltd</v>
      </c>
      <c r="K1009" s="6" t="str">
        <v>CSP Management Ltd</v>
      </c>
      <c r="L1009" s="7">
        <f>=DATE(2018,1,24)</f>
        <v>43123.99949074074</v>
      </c>
      <c r="R1009" s="8">
        <v>-1.276</v>
      </c>
      <c r="S1009" s="8">
        <v>292.604</v>
      </c>
      <c r="T1009" s="8">
        <v>-8.784</v>
      </c>
      <c r="U1009" s="8">
        <v>-6.835</v>
      </c>
      <c r="V1009" s="8">
        <v>15.528</v>
      </c>
      <c r="W1009" s="6" t="str">
        <v>Primary Business not Hi-Tech</v>
      </c>
      <c r="X1009" s="6" t="str">
        <v>Other Computer Systems;CAD/CAM/CAE/Graphics Systems;Primary Business not Hi-Tech</v>
      </c>
      <c r="Y1009" s="6" t="str">
        <v>Primary Business not Hi-Tech</v>
      </c>
      <c r="Z1009" s="6" t="str">
        <v>Primary Business not Hi-Tech</v>
      </c>
      <c r="AA1009" s="6" t="str">
        <v>Primary Business not Hi-Tech</v>
      </c>
      <c r="AB1009" s="6" t="str">
        <v>Primary Business not Hi-Tech</v>
      </c>
    </row>
    <row r="1010">
      <c r="A1010" s="6" t="str">
        <v>594918</v>
      </c>
      <c r="B1010" s="6" t="str">
        <v>United States</v>
      </c>
      <c r="C1010" s="6" t="str">
        <v>Microsoft Corp</v>
      </c>
      <c r="D1010" s="6" t="str">
        <v>Microsoft Corp</v>
      </c>
      <c r="F1010" s="6" t="str">
        <v>United States</v>
      </c>
      <c r="G1010" s="6" t="str">
        <v>PlayFab Inc</v>
      </c>
      <c r="H1010" s="6" t="str">
        <v>Prepackaged Software</v>
      </c>
      <c r="I1010" s="6" t="str">
        <v>1H9714</v>
      </c>
      <c r="J1010" s="6" t="str">
        <v>PlayFab Inc</v>
      </c>
      <c r="K1010" s="6" t="str">
        <v>PlayFab Inc</v>
      </c>
      <c r="L1010" s="7">
        <f>=DATE(2018,1,29)</f>
        <v>43128.99949074074</v>
      </c>
      <c r="M1010" s="7">
        <f>=DATE(2018,1,29)</f>
        <v>43128.99949074074</v>
      </c>
      <c r="W1010" s="6" t="str">
        <v>Internet Services &amp; Software;Monitors/Terminals;Applications Software(Business;Other Peripherals;Computer Consulting Services;Operating Systems</v>
      </c>
      <c r="X1010" s="6" t="str">
        <v>Applications Software(Business;Internet Services &amp; Software;Utilities/File Mgmt Software;Applications Software(Home);Communication/Network Software;Desktop Publishing;Other Software (inq. Games)</v>
      </c>
      <c r="Y1010" s="6" t="str">
        <v>Applications Software(Business;Utilities/File Mgmt Software;Desktop Publishing;Communication/Network Software;Internet Services &amp; Software;Other Software (inq. Games);Applications Software(Home)</v>
      </c>
      <c r="Z1010" s="6" t="str">
        <v>Communication/Network Software;Internet Services &amp; Software;Desktop Publishing;Applications Software(Home);Utilities/File Mgmt Software;Applications Software(Business;Other Software (inq. Games)</v>
      </c>
      <c r="AA1010" s="6" t="str">
        <v>Applications Software(Business;Internet Services &amp; Software;Other Peripherals;Computer Consulting Services;Monitors/Terminals;Operating Systems</v>
      </c>
      <c r="AB1010" s="6" t="str">
        <v>Operating Systems;Internet Services &amp; Software;Computer Consulting Services;Applications Software(Business;Other Peripherals;Monitors/Terminals</v>
      </c>
      <c r="AD1010" s="7">
        <f>=DATE(2018,1,30)</f>
        <v>43129.99949074074</v>
      </c>
    </row>
    <row r="1011">
      <c r="A1011" s="6" t="str">
        <v>7J8440</v>
      </c>
      <c r="B1011" s="6" t="str">
        <v>United States</v>
      </c>
      <c r="C1011" s="6" t="str">
        <v>Google LLC</v>
      </c>
      <c r="D1011" s="6" t="str">
        <v>Alphabet Inc</v>
      </c>
      <c r="F1011" s="6" t="str">
        <v>United States</v>
      </c>
      <c r="G1011" s="6" t="str">
        <v>Xively Ltd</v>
      </c>
      <c r="H1011" s="6" t="str">
        <v>Prepackaged Software</v>
      </c>
      <c r="I1011" s="6" t="str">
        <v>2H3221</v>
      </c>
      <c r="J1011" s="6" t="str">
        <v>LogMeIn Inc</v>
      </c>
      <c r="K1011" s="6" t="str">
        <v>LogMeIn Inc</v>
      </c>
      <c r="L1011" s="7">
        <f>=DATE(2018,2,15)</f>
        <v>43145.99949074074</v>
      </c>
      <c r="N1011" s="8">
        <v>50</v>
      </c>
      <c r="O1011" s="8">
        <v>50</v>
      </c>
      <c r="W1011" s="6" t="str">
        <v>Internet Services &amp; Software;Programming Services</v>
      </c>
      <c r="X1011" s="6" t="str">
        <v>Other Computer Related Svcs;Other Software (inq. Games);Computer Consulting Services</v>
      </c>
      <c r="Y1011" s="6" t="str">
        <v>Applications Software(Business;Desktop Publishing;Other Software (inq. Games)</v>
      </c>
      <c r="Z1011" s="6" t="str">
        <v>Desktop Publishing;Applications Software(Business;Other Software (inq. Games)</v>
      </c>
      <c r="AA1011" s="6" t="str">
        <v>Internet Services &amp; Software;Programming Services;Computer Consulting Services;Primary Business not Hi-Tech;Telecommunications Equipment</v>
      </c>
      <c r="AB1011" s="6" t="str">
        <v>Computer Consulting Services;Internet Services &amp; Software;Programming Services;Primary Business not Hi-Tech;Telecommunications Equipment</v>
      </c>
      <c r="AC1011" s="8">
        <v>50</v>
      </c>
      <c r="AD1011" s="7">
        <f>=DATE(2018,2,15)</f>
        <v>43145.99949074074</v>
      </c>
      <c r="AL1011" s="8">
        <v>50</v>
      </c>
    </row>
    <row r="1012">
      <c r="A1012" s="6" t="str">
        <v>023135</v>
      </c>
      <c r="B1012" s="6" t="str">
        <v>United States</v>
      </c>
      <c r="C1012" s="6" t="str">
        <v>Amazon.com Inc</v>
      </c>
      <c r="D1012" s="6" t="str">
        <v>Amazon.com Inc</v>
      </c>
      <c r="F1012" s="6" t="str">
        <v>United States</v>
      </c>
      <c r="G1012" s="6" t="str">
        <v>Ring Inc</v>
      </c>
      <c r="H1012" s="6" t="str">
        <v>Communications Equipment</v>
      </c>
      <c r="I1012" s="6" t="str">
        <v>1H4557</v>
      </c>
      <c r="J1012" s="6" t="str">
        <v>Ring Inc</v>
      </c>
      <c r="K1012" s="6" t="str">
        <v>Ring Inc</v>
      </c>
      <c r="L1012" s="7">
        <f>=DATE(2018,2,27)</f>
        <v>43157.99949074074</v>
      </c>
      <c r="M1012" s="7">
        <f>=DATE(2018,4,12)</f>
        <v>43201.99949074074</v>
      </c>
      <c r="N1012" s="8">
        <v>839</v>
      </c>
      <c r="O1012" s="8">
        <v>839</v>
      </c>
      <c r="W1012" s="6" t="str">
        <v>Primary Business not Hi-Tech</v>
      </c>
      <c r="X1012" s="6" t="str">
        <v>Telephone Interconnect Equip;Other Telecommunications Equip;Data Commun(Exclude networking;Alarm Systems;Microwave Communications;Messaging Systems</v>
      </c>
      <c r="Y1012" s="6" t="str">
        <v>Messaging Systems;Data Commun(Exclude networking;Other Telecommunications Equip;Telephone Interconnect Equip;Alarm Systems;Microwave Communications</v>
      </c>
      <c r="Z1012" s="6" t="str">
        <v>Data Commun(Exclude networking;Alarm Systems;Microwave Communications;Telephone Interconnect Equip;Other Telecommunications Equip;Messaging Systems</v>
      </c>
      <c r="AA1012" s="6" t="str">
        <v>Primary Business not Hi-Tech</v>
      </c>
      <c r="AB1012" s="6" t="str">
        <v>Primary Business not Hi-Tech</v>
      </c>
      <c r="AC1012" s="8">
        <v>839</v>
      </c>
      <c r="AD1012" s="7">
        <f>=DATE(2018,2,28)</f>
        <v>43158.99949074074</v>
      </c>
      <c r="AJ1012" s="8" t="str">
        <v>839.00</v>
      </c>
      <c r="AK1012" s="6" t="str">
        <v>US Dollar</v>
      </c>
      <c r="AL1012" s="8">
        <v>839</v>
      </c>
    </row>
    <row r="1013">
      <c r="A1013" s="6" t="str">
        <v>037833</v>
      </c>
      <c r="B1013" s="6" t="str">
        <v>United States</v>
      </c>
      <c r="C1013" s="6" t="str">
        <v>Apple Inc</v>
      </c>
      <c r="D1013" s="6" t="str">
        <v>Apple Inc</v>
      </c>
      <c r="F1013" s="6" t="str">
        <v>United States</v>
      </c>
      <c r="G1013" s="6" t="str">
        <v>Next Issue Media LLC</v>
      </c>
      <c r="H1013" s="6" t="str">
        <v>Prepackaged Software</v>
      </c>
      <c r="I1013" s="6" t="str">
        <v>2H8700</v>
      </c>
      <c r="J1013" s="6" t="str">
        <v>Next Issue Media LLC</v>
      </c>
      <c r="K1013" s="6" t="str">
        <v>Next Issue Media LLC</v>
      </c>
      <c r="L1013" s="7">
        <f>=DATE(2018,3,12)</f>
        <v>43170.99949074074</v>
      </c>
      <c r="W1013" s="6" t="str">
        <v>Mainframes &amp; Super Computers;Other Software (inq. Games);Printers;Monitors/Terminals;Other Peripherals;Micro-Computers (PCs);Disk Drives;Portable Computers</v>
      </c>
      <c r="X1013" s="6" t="str">
        <v>Desktop Publishing;Internet Services &amp; Software;Communication/Network Software</v>
      </c>
      <c r="Y1013" s="6" t="str">
        <v>Communication/Network Software;Desktop Publishing;Internet Services &amp; Software</v>
      </c>
      <c r="Z1013" s="6" t="str">
        <v>Communication/Network Software;Desktop Publishing;Internet Services &amp; Software</v>
      </c>
      <c r="AA1013" s="6" t="str">
        <v>Other Software (inq. Games);Other Peripherals;Monitors/Terminals;Disk Drives;Micro-Computers (PCs);Printers;Portable Computers;Mainframes &amp; Super Computers</v>
      </c>
      <c r="AB1013" s="6" t="str">
        <v>Monitors/Terminals;Portable Computers;Micro-Computers (PCs);Other Software (inq. Games);Disk Drives;Other Peripherals;Mainframes &amp; Super Computers;Printers</v>
      </c>
    </row>
    <row r="1014">
      <c r="A1014" s="6" t="str">
        <v>7J8440</v>
      </c>
      <c r="B1014" s="6" t="str">
        <v>United States</v>
      </c>
      <c r="C1014" s="6" t="str">
        <v>Google LLC</v>
      </c>
      <c r="D1014" s="6" t="str">
        <v>Alphabet Inc</v>
      </c>
      <c r="F1014" s="6" t="str">
        <v>United States</v>
      </c>
      <c r="G1014" s="6" t="str">
        <v>Socratic Inc</v>
      </c>
      <c r="H1014" s="6" t="str">
        <v>Prepackaged Software</v>
      </c>
      <c r="I1014" s="6" t="str">
        <v>4H9736</v>
      </c>
      <c r="J1014" s="6" t="str">
        <v>Socratic Inc</v>
      </c>
      <c r="K1014" s="6" t="str">
        <v>Socratic Inc</v>
      </c>
      <c r="L1014" s="7">
        <f>=DATE(2018,3,14)</f>
        <v>43172.99949074074</v>
      </c>
      <c r="M1014" s="7">
        <f>=DATE(2018,5,9)</f>
        <v>43228.99949074074</v>
      </c>
      <c r="W1014" s="6" t="str">
        <v>Internet Services &amp; Software;Programming Services</v>
      </c>
      <c r="X1014" s="6" t="str">
        <v>Other Software (inq. Games);Internet Services &amp; Software;Communication/Network Software;Applications Software(Business;Desktop Publishing;Utilities/File Mgmt Software;Applications Software(Home)</v>
      </c>
      <c r="Y1014" s="6" t="str">
        <v>Desktop Publishing;Other Software (inq. Games);Communication/Network Software;Applications Software(Home);Internet Services &amp; Software;Utilities/File Mgmt Software;Applications Software(Business</v>
      </c>
      <c r="Z1014" s="6" t="str">
        <v>Applications Software(Business;Desktop Publishing;Applications Software(Home);Communication/Network Software;Utilities/File Mgmt Software;Other Software (inq. Games);Internet Services &amp; Software</v>
      </c>
      <c r="AA1014" s="6" t="str">
        <v>Telecommunications Equipment;Programming Services;Internet Services &amp; Software;Primary Business not Hi-Tech;Computer Consulting Services</v>
      </c>
      <c r="AB1014" s="6" t="str">
        <v>Programming Services;Primary Business not Hi-Tech;Internet Services &amp; Software;Telecommunications Equipment;Computer Consulting Services</v>
      </c>
    </row>
    <row r="1015">
      <c r="A1015" s="6" t="str">
        <v>7J8440</v>
      </c>
      <c r="B1015" s="6" t="str">
        <v>United States</v>
      </c>
      <c r="C1015" s="6" t="str">
        <v>Google LLC</v>
      </c>
      <c r="D1015" s="6" t="str">
        <v>Alphabet Inc</v>
      </c>
      <c r="F1015" s="6" t="str">
        <v>United States</v>
      </c>
      <c r="G1015" s="6" t="str">
        <v>Lytro Inc</v>
      </c>
      <c r="H1015" s="6" t="str">
        <v>Prepackaged Software</v>
      </c>
      <c r="I1015" s="6" t="str">
        <v>1H4794</v>
      </c>
      <c r="J1015" s="6" t="str">
        <v>Lytro Inc</v>
      </c>
      <c r="K1015" s="6" t="str">
        <v>Lytro Inc</v>
      </c>
      <c r="L1015" s="7">
        <f>=DATE(2018,3,20)</f>
        <v>43178.99949074074</v>
      </c>
      <c r="S1015" s="8">
        <v>26.106</v>
      </c>
      <c r="W1015" s="6" t="str">
        <v>Programming Services;Internet Services &amp; Software</v>
      </c>
      <c r="X1015" s="6" t="str">
        <v>Applications Software(Business</v>
      </c>
      <c r="Y1015" s="6" t="str">
        <v>Applications Software(Business</v>
      </c>
      <c r="Z1015" s="6" t="str">
        <v>Applications Software(Business</v>
      </c>
      <c r="AA1015" s="6" t="str">
        <v>Computer Consulting Services;Programming Services;Primary Business not Hi-Tech;Telecommunications Equipment;Internet Services &amp; Software</v>
      </c>
      <c r="AB1015" s="6" t="str">
        <v>Internet Services &amp; Software;Computer Consulting Services;Telecommunications Equipment;Primary Business not Hi-Tech;Programming Services</v>
      </c>
      <c r="AD1015" s="7">
        <f>=DATE(2018,3,20)</f>
        <v>43178.99949074074</v>
      </c>
    </row>
    <row r="1016">
      <c r="A1016" s="6" t="str">
        <v>7J8440</v>
      </c>
      <c r="B1016" s="6" t="str">
        <v>United States</v>
      </c>
      <c r="C1016" s="6" t="str">
        <v>Google LLC</v>
      </c>
      <c r="D1016" s="6" t="str">
        <v>Alphabet Inc</v>
      </c>
      <c r="F1016" s="6" t="str">
        <v>United States</v>
      </c>
      <c r="G1016" s="6" t="str">
        <v>Tenor Inc</v>
      </c>
      <c r="H1016" s="6" t="str">
        <v>Prepackaged Software</v>
      </c>
      <c r="I1016" s="6" t="str">
        <v>3H3084</v>
      </c>
      <c r="J1016" s="6" t="str">
        <v>Tenor Inc</v>
      </c>
      <c r="K1016" s="6" t="str">
        <v>Tenor Inc</v>
      </c>
      <c r="L1016" s="7">
        <f>=DATE(2018,3,27)</f>
        <v>43185.99949074074</v>
      </c>
      <c r="M1016" s="7">
        <f>=DATE(2018,3,27)</f>
        <v>43185.99949074074</v>
      </c>
      <c r="W1016" s="6" t="str">
        <v>Internet Services &amp; Software;Programming Services</v>
      </c>
      <c r="X1016" s="6" t="str">
        <v>Utilities/File Mgmt Software;Communication/Network Software;Desktop Publishing;Applications Software(Home);Applications Software(Business;Internet Services &amp; Software;Other Software (inq. Games)</v>
      </c>
      <c r="Y1016" s="6" t="str">
        <v>Internet Services &amp; Software;Communication/Network Software;Desktop Publishing;Other Software (inq. Games);Applications Software(Home);Applications Software(Business;Utilities/File Mgmt Software</v>
      </c>
      <c r="Z1016" s="6" t="str">
        <v>Communication/Network Software;Other Software (inq. Games);Internet Services &amp; Software;Applications Software(Home);Desktop Publishing;Utilities/File Mgmt Software;Applications Software(Business</v>
      </c>
      <c r="AA1016" s="6" t="str">
        <v>Primary Business not Hi-Tech;Computer Consulting Services;Telecommunications Equipment;Programming Services;Internet Services &amp; Software</v>
      </c>
      <c r="AB1016" s="6" t="str">
        <v>Internet Services &amp; Software;Computer Consulting Services;Programming Services;Telecommunications Equipment;Primary Business not Hi-Tech</v>
      </c>
    </row>
    <row r="1017">
      <c r="A1017" s="6" t="str">
        <v>7J8440</v>
      </c>
      <c r="B1017" s="6" t="str">
        <v>United States</v>
      </c>
      <c r="C1017" s="6" t="str">
        <v>Google LLC</v>
      </c>
      <c r="D1017" s="6" t="str">
        <v>Alphabet Inc</v>
      </c>
      <c r="F1017" s="6" t="str">
        <v>Finland</v>
      </c>
      <c r="G1017" s="6" t="str">
        <v>Nokia Oyj-Airplane Broadband Business</v>
      </c>
      <c r="H1017" s="6" t="str">
        <v>Telecommunications</v>
      </c>
      <c r="I1017" s="6" t="str">
        <v>3H6129</v>
      </c>
      <c r="J1017" s="6" t="str">
        <v>Nokia Oyj</v>
      </c>
      <c r="K1017" s="6" t="str">
        <v>Nokia Oyj</v>
      </c>
      <c r="L1017" s="7">
        <f>=DATE(2018,4,10)</f>
        <v>43199.99949074074</v>
      </c>
      <c r="W1017" s="6" t="str">
        <v>Programming Services;Internet Services &amp; Software</v>
      </c>
      <c r="X1017" s="6" t="str">
        <v>Satellite Communications;Cellular Communications</v>
      </c>
      <c r="Y1017" s="6" t="str">
        <v>Telephone Interconnect Equip;Other Telecommunications Equip;Other Software (inq. Games);Communication/Network Software;Satellite Communications;Internet Services &amp; Software</v>
      </c>
      <c r="Z1017" s="6" t="str">
        <v>Satellite Communications;Internet Services &amp; Software;Communication/Network Software;Other Software (inq. Games);Telephone Interconnect Equip;Other Telecommunications Equip</v>
      </c>
      <c r="AA1017" s="6" t="str">
        <v>Primary Business not Hi-Tech;Internet Services &amp; Software;Programming Services;Computer Consulting Services;Telecommunications Equipment</v>
      </c>
      <c r="AB1017" s="6" t="str">
        <v>Primary Business not Hi-Tech;Computer Consulting Services;Programming Services;Internet Services &amp; Software;Telecommunications Equipment</v>
      </c>
    </row>
    <row r="1018">
      <c r="A1018" s="6" t="str">
        <v>73959W</v>
      </c>
      <c r="B1018" s="6" t="str">
        <v>United States</v>
      </c>
      <c r="C1018" s="6" t="str">
        <v>PowerSchool Group LLC</v>
      </c>
      <c r="D1018" s="6" t="str">
        <v>PowerSchool Holdings Inc</v>
      </c>
      <c r="E1018" s="6" t="str">
        <v>Onex Corp</v>
      </c>
      <c r="F1018" s="6" t="str">
        <v>United States</v>
      </c>
      <c r="G1018" s="6" t="str">
        <v>PeopleAdmin Inc</v>
      </c>
      <c r="H1018" s="6" t="str">
        <v>Prepackaged Software</v>
      </c>
      <c r="I1018" s="6" t="str">
        <v>69726Y</v>
      </c>
      <c r="J1018" s="6" t="str">
        <v>Vista Equity Partners Management LLC</v>
      </c>
      <c r="K1018" s="6" t="str">
        <v>Vista Equity Partners Management LLC</v>
      </c>
      <c r="L1018" s="7">
        <f>=DATE(2018,4,16)</f>
        <v>43205.99949074074</v>
      </c>
      <c r="M1018" s="7">
        <f>=DATE(2018,8,1)</f>
        <v>43312.99949074074</v>
      </c>
      <c r="S1018" s="8">
        <v>27.239</v>
      </c>
      <c r="W1018" s="6" t="str">
        <v>Other Software (inq. Games)</v>
      </c>
      <c r="X1018" s="6" t="str">
        <v>Other Software (inq. Games)</v>
      </c>
      <c r="Y1018" s="6" t="str">
        <v>Primary Business not Hi-Tech</v>
      </c>
      <c r="Z1018" s="6" t="str">
        <v>Primary Business not Hi-Tech</v>
      </c>
      <c r="AA1018" s="6" t="str">
        <v>Primary Business not Hi-Tech;Communication/Network Software;Applications Software(Business;Internet Services &amp; Software;Desktop Publishing;Other Software (inq. Games);Utilities/File Mgmt Software;Applications Software(Home)</v>
      </c>
      <c r="AB1018" s="6" t="str">
        <v>Communication/Network Software;Applications Software(Home);Desktop Publishing;Primary Business not Hi-Tech;Utilities/File Mgmt Software;Internet Services &amp; Software;Other Software (inq. Games);Applications Software(Business</v>
      </c>
    </row>
    <row r="1019">
      <c r="A1019" s="6" t="str">
        <v>037833</v>
      </c>
      <c r="B1019" s="6" t="str">
        <v>United States</v>
      </c>
      <c r="C1019" s="6" t="str">
        <v>Apple Inc</v>
      </c>
      <c r="D1019" s="6" t="str">
        <v>Apple Inc</v>
      </c>
      <c r="F1019" s="6" t="str">
        <v>United States</v>
      </c>
      <c r="G1019" s="6" t="str">
        <v>Apple Inc</v>
      </c>
      <c r="H1019" s="6" t="str">
        <v>Computer and Office Equipment</v>
      </c>
      <c r="I1019" s="6" t="str">
        <v>037833</v>
      </c>
      <c r="J1019" s="6" t="str">
        <v>Apple Inc</v>
      </c>
      <c r="K1019" s="6" t="str">
        <v>Apple Inc</v>
      </c>
      <c r="L1019" s="7">
        <f>=DATE(2018,5,1)</f>
        <v>43220.99949074074</v>
      </c>
      <c r="N1019" s="8">
        <v>605000</v>
      </c>
      <c r="O1019" s="8">
        <v>605000</v>
      </c>
      <c r="R1019" s="8">
        <v>96995</v>
      </c>
      <c r="S1019" s="8">
        <v>383285</v>
      </c>
      <c r="T1019" s="8">
        <v>-108488</v>
      </c>
      <c r="U1019" s="8">
        <v>3705</v>
      </c>
      <c r="V1019" s="8">
        <v>110543</v>
      </c>
      <c r="W1019" s="6" t="str">
        <v>Monitors/Terminals;Disk Drives;Micro-Computers (PCs);Other Software (inq. Games);Other Peripherals;Printers;Mainframes &amp; Super Computers;Portable Computers</v>
      </c>
      <c r="X1019" s="6" t="str">
        <v>Disk Drives;Mainframes &amp; Super Computers;Other Peripherals;Other Software (inq. Games);Monitors/Terminals;Micro-Computers (PCs);Printers;Portable Computers</v>
      </c>
      <c r="Y1019" s="6" t="str">
        <v>Disk Drives;Mainframes &amp; Super Computers;Other Peripherals;Other Software (inq. Games);Micro-Computers (PCs);Portable Computers;Printers;Monitors/Terminals</v>
      </c>
      <c r="Z1019" s="6" t="str">
        <v>Printers;Disk Drives;Other Peripherals;Monitors/Terminals;Portable Computers;Micro-Computers (PCs);Mainframes &amp; Super Computers;Other Software (inq. Games)</v>
      </c>
      <c r="AA1019" s="6" t="str">
        <v>Printers;Mainframes &amp; Super Computers;Other Software (inq. Games);Disk Drives;Portable Computers;Micro-Computers (PCs);Other Peripherals;Monitors/Terminals</v>
      </c>
      <c r="AB1019" s="6" t="str">
        <v>Micro-Computers (PCs);Portable Computers;Printers;Disk Drives;Mainframes &amp; Super Computers;Monitors/Terminals;Other Software (inq. Games);Other Peripherals</v>
      </c>
      <c r="AC1019" s="8">
        <v>605000</v>
      </c>
      <c r="AD1019" s="7">
        <f>=DATE(2024,5,2)</f>
        <v>45413.99949074074</v>
      </c>
      <c r="AJ1019" s="8" t="str">
        <v>605,000.00</v>
      </c>
      <c r="AK1019" s="6" t="str">
        <v>US Dollar</v>
      </c>
      <c r="AL1019" s="8">
        <v>605000</v>
      </c>
    </row>
    <row r="1020">
      <c r="A1020" s="6" t="str">
        <v>7J8440</v>
      </c>
      <c r="B1020" s="6" t="str">
        <v>United States</v>
      </c>
      <c r="C1020" s="6" t="str">
        <v>Google LLC</v>
      </c>
      <c r="D1020" s="6" t="str">
        <v>Alphabet Inc</v>
      </c>
      <c r="F1020" s="6" t="str">
        <v>United States</v>
      </c>
      <c r="G1020" s="6" t="str">
        <v>Velostrata Inc</v>
      </c>
      <c r="H1020" s="6" t="str">
        <v>Business Services</v>
      </c>
      <c r="I1020" s="6" t="str">
        <v>4H8039</v>
      </c>
      <c r="J1020" s="6" t="str">
        <v>Velostrata Inc</v>
      </c>
      <c r="K1020" s="6" t="str">
        <v>Velostrata Inc</v>
      </c>
      <c r="L1020" s="7">
        <f>=DATE(2018,5,9)</f>
        <v>43228.99949074074</v>
      </c>
      <c r="M1020" s="7">
        <f>=DATE(2018,5,9)</f>
        <v>43228.99949074074</v>
      </c>
      <c r="W1020" s="6" t="str">
        <v>Internet Services &amp; Software;Programming Services</v>
      </c>
      <c r="X1020" s="6" t="str">
        <v>Programming Services;Applications Software(Business;Applications Software(Home);Other Software (inq. Games);Utilities/File Mgmt Software;Communication/Network Software;Desktop Publishing;Internet Services &amp; Software;Database Software/Programming</v>
      </c>
      <c r="Y1020" s="6" t="str">
        <v>Applications Software(Business;Database Software/Programming;Programming Services;Internet Services &amp; Software;Communication/Network Software;Desktop Publishing;Other Software (inq. Games);Applications Software(Home);Utilities/File Mgmt Software</v>
      </c>
      <c r="Z1020" s="6" t="str">
        <v>Internet Services &amp; Software;Utilities/File Mgmt Software;Applications Software(Business;Applications Software(Home);Database Software/Programming;Programming Services;Desktop Publishing;Communication/Network Software;Other Software (inq. Games)</v>
      </c>
      <c r="AA1020" s="6" t="str">
        <v>Internet Services &amp; Software;Computer Consulting Services;Primary Business not Hi-Tech;Telecommunications Equipment;Programming Services</v>
      </c>
      <c r="AB1020" s="6" t="str">
        <v>Programming Services;Computer Consulting Services;Internet Services &amp; Software;Telecommunications Equipment;Primary Business not Hi-Tech</v>
      </c>
    </row>
    <row r="1021">
      <c r="A1021" s="6" t="str">
        <v>594918</v>
      </c>
      <c r="B1021" s="6" t="str">
        <v>United States</v>
      </c>
      <c r="C1021" s="6" t="str">
        <v>Microsoft Corp</v>
      </c>
      <c r="D1021" s="6" t="str">
        <v>Microsoft Corp</v>
      </c>
      <c r="F1021" s="6" t="str">
        <v>United States</v>
      </c>
      <c r="G1021" s="6" t="str">
        <v>Semantic Machines Inc</v>
      </c>
      <c r="H1021" s="6" t="str">
        <v>Prepackaged Software</v>
      </c>
      <c r="I1021" s="6" t="str">
        <v>4H8012</v>
      </c>
      <c r="J1021" s="6" t="str">
        <v>Semantic Machines Inc</v>
      </c>
      <c r="K1021" s="6" t="str">
        <v>Semantic Machines Inc</v>
      </c>
      <c r="L1021" s="7">
        <f>=DATE(2018,5,20)</f>
        <v>43239.99949074074</v>
      </c>
      <c r="M1021" s="7">
        <f>=DATE(2018,5,20)</f>
        <v>43239.99949074074</v>
      </c>
      <c r="W1021" s="6" t="str">
        <v>Computer Consulting Services;Monitors/Terminals;Internet Services &amp; Software;Applications Software(Business;Operating Systems;Other Peripherals</v>
      </c>
      <c r="X1021" s="6" t="str">
        <v>Applications Software(Home);Desktop Publishing;Communication/Network Software;Other Software (inq. Games);Internet Services &amp; Software;Utilities/File Mgmt Software;Applications Software(Business</v>
      </c>
      <c r="Y1021" s="6" t="str">
        <v>Applications Software(Home);Applications Software(Business;Communication/Network Software;Other Software (inq. Games);Utilities/File Mgmt Software;Desktop Publishing;Internet Services &amp; Software</v>
      </c>
      <c r="Z1021" s="6" t="str">
        <v>Applications Software(Home);Other Software (inq. Games);Internet Services &amp; Software;Communication/Network Software;Desktop Publishing;Utilities/File Mgmt Software;Applications Software(Business</v>
      </c>
      <c r="AA1021" s="6" t="str">
        <v>Monitors/Terminals;Operating Systems;Computer Consulting Services;Applications Software(Business;Internet Services &amp; Software;Other Peripherals</v>
      </c>
      <c r="AB1021" s="6" t="str">
        <v>Internet Services &amp; Software;Applications Software(Business;Monitors/Terminals;Operating Systems;Computer Consulting Services;Other Peripherals</v>
      </c>
    </row>
    <row r="1022">
      <c r="A1022" s="6" t="str">
        <v>594918</v>
      </c>
      <c r="B1022" s="6" t="str">
        <v>United States</v>
      </c>
      <c r="C1022" s="6" t="str">
        <v>Microsoft Corp</v>
      </c>
      <c r="D1022" s="6" t="str">
        <v>Microsoft Corp</v>
      </c>
      <c r="F1022" s="6" t="str">
        <v>United States</v>
      </c>
      <c r="G1022" s="6" t="str">
        <v>GitHub Inc</v>
      </c>
      <c r="H1022" s="6" t="str">
        <v>Business Services</v>
      </c>
      <c r="I1022" s="6" t="str">
        <v>37657R</v>
      </c>
      <c r="J1022" s="6" t="str">
        <v>GitHub Inc</v>
      </c>
      <c r="K1022" s="6" t="str">
        <v>GitHub Inc</v>
      </c>
      <c r="L1022" s="7">
        <f>=DATE(2018,6,4)</f>
        <v>43254.99949074074</v>
      </c>
      <c r="M1022" s="7">
        <f>=DATE(2018,10,26)</f>
        <v>43398.99949074074</v>
      </c>
      <c r="N1022" s="8">
        <v>7500</v>
      </c>
      <c r="O1022" s="8">
        <v>7500</v>
      </c>
      <c r="W1022" s="6" t="str">
        <v>Applications Software(Business;Internet Services &amp; Software;Monitors/Terminals;Computer Consulting Services;Operating Systems;Other Peripherals</v>
      </c>
      <c r="X1022" s="6" t="str">
        <v>Internet Services &amp; Software</v>
      </c>
      <c r="Y1022" s="6" t="str">
        <v>Internet Services &amp; Software</v>
      </c>
      <c r="Z1022" s="6" t="str">
        <v>Internet Services &amp; Software</v>
      </c>
      <c r="AA1022" s="6" t="str">
        <v>Internet Services &amp; Software;Applications Software(Business;Operating Systems;Other Peripherals;Monitors/Terminals;Computer Consulting Services</v>
      </c>
      <c r="AB1022" s="6" t="str">
        <v>Internet Services &amp; Software;Operating Systems;Applications Software(Business;Monitors/Terminals;Other Peripherals;Computer Consulting Services</v>
      </c>
      <c r="AC1022" s="8">
        <v>7500</v>
      </c>
      <c r="AD1022" s="7">
        <f>=DATE(2018,6,4)</f>
        <v>43254.99949074074</v>
      </c>
      <c r="AJ1022" s="8" t="str">
        <v>7,500.00</v>
      </c>
      <c r="AK1022" s="6" t="str">
        <v>US Dollar</v>
      </c>
      <c r="AL1022" s="8">
        <v>7500</v>
      </c>
    </row>
    <row r="1023">
      <c r="A1023" s="6" t="str">
        <v>59476P</v>
      </c>
      <c r="B1023" s="6" t="str">
        <v>United States</v>
      </c>
      <c r="C1023" s="6" t="str">
        <v>Microsoft Game Studios</v>
      </c>
      <c r="D1023" s="6" t="str">
        <v>Microsoft Corp</v>
      </c>
      <c r="F1023" s="6" t="str">
        <v>United Kingdom</v>
      </c>
      <c r="G1023" s="6" t="str">
        <v>Playground Games Ltd</v>
      </c>
      <c r="H1023" s="6" t="str">
        <v>Prepackaged Software</v>
      </c>
      <c r="I1023" s="6" t="str">
        <v>8H3553</v>
      </c>
      <c r="J1023" s="6" t="str">
        <v>Playground Games Ltd</v>
      </c>
      <c r="K1023" s="6" t="str">
        <v>Playground Games Ltd</v>
      </c>
      <c r="L1023" s="7">
        <f>=DATE(2018,6,5)</f>
        <v>43255.99949074074</v>
      </c>
      <c r="M1023" s="7">
        <f>=DATE(2018,6,10)</f>
        <v>43260.99949074074</v>
      </c>
      <c r="R1023" s="8">
        <v>7.45865311858177</v>
      </c>
      <c r="S1023" s="8">
        <v>76.3782293806075</v>
      </c>
      <c r="W1023" s="6" t="str">
        <v>Desktop Publishing;Communication/Network Software;Applications Software(Home);Other Software (inq. Games);Internet Services &amp; Software;Applications Software(Business;Utilities/File Mgmt Software</v>
      </c>
      <c r="X1023" s="6" t="str">
        <v>Other Software (inq. Games)</v>
      </c>
      <c r="Y1023" s="6" t="str">
        <v>Other Software (inq. Games)</v>
      </c>
      <c r="Z1023" s="6" t="str">
        <v>Other Software (inq. Games)</v>
      </c>
      <c r="AA1023" s="6" t="str">
        <v>Internet Services &amp; Software;Other Peripherals;Applications Software(Business;Computer Consulting Services;Monitors/Terminals;Operating Systems</v>
      </c>
      <c r="AB1023" s="6" t="str">
        <v>Computer Consulting Services;Internet Services &amp; Software;Applications Software(Business;Other Peripherals;Operating Systems;Monitors/Terminals</v>
      </c>
    </row>
    <row r="1024">
      <c r="A1024" s="6" t="str">
        <v>59476P</v>
      </c>
      <c r="B1024" s="6" t="str">
        <v>United States</v>
      </c>
      <c r="C1024" s="6" t="str">
        <v>Microsoft Game Studios</v>
      </c>
      <c r="D1024" s="6" t="str">
        <v>Microsoft Corp</v>
      </c>
      <c r="E1024" s="6" t="str">
        <v>Microsoft Game Studios;Microsoft Game Studios</v>
      </c>
      <c r="F1024" s="6" t="str">
        <v>Canada</v>
      </c>
      <c r="G1024" s="6" t="str">
        <v>Compulsion Games Inc</v>
      </c>
      <c r="H1024" s="6" t="str">
        <v>Prepackaged Software</v>
      </c>
      <c r="I1024" s="6" t="str">
        <v>8H3186</v>
      </c>
      <c r="J1024" s="6" t="str">
        <v>Compulsion Games Inc</v>
      </c>
      <c r="K1024" s="6" t="str">
        <v>Compulsion Games Inc</v>
      </c>
      <c r="L1024" s="7">
        <f>=DATE(2018,6,10)</f>
        <v>43260.99949074074</v>
      </c>
      <c r="M1024" s="7">
        <f>=DATE(2018,10,15)</f>
        <v>43387.99949074074</v>
      </c>
      <c r="W1024" s="6" t="str">
        <v>Applications Software(Business;Utilities/File Mgmt Software;Internet Services &amp; Software;Communication/Network Software;Desktop Publishing;Applications Software(Home);Other Software (inq. Games)</v>
      </c>
      <c r="X1024" s="6" t="str">
        <v>Other Software (inq. Games)</v>
      </c>
      <c r="Y1024" s="6" t="str">
        <v>Other Software (inq. Games)</v>
      </c>
      <c r="Z1024" s="6" t="str">
        <v>Other Software (inq. Games)</v>
      </c>
      <c r="AA1024" s="6" t="str">
        <v>Other Peripherals;Internet Services &amp; Software;Computer Consulting Services;Operating Systems;Monitors/Terminals;Applications Software(Business</v>
      </c>
      <c r="AB1024" s="6" t="str">
        <v>Other Peripherals;Applications Software(Business;Operating Systems;Monitors/Terminals;Computer Consulting Services;Internet Services &amp; Software</v>
      </c>
    </row>
    <row r="1025">
      <c r="A1025" s="6" t="str">
        <v>59476P</v>
      </c>
      <c r="B1025" s="6" t="str">
        <v>United States</v>
      </c>
      <c r="C1025" s="6" t="str">
        <v>Microsoft Game Studios</v>
      </c>
      <c r="D1025" s="6" t="str">
        <v>Microsoft Corp</v>
      </c>
      <c r="E1025" s="6" t="str">
        <v>Microsoft Game Studios;Microsoft Game Studios</v>
      </c>
      <c r="F1025" s="6" t="str">
        <v>United Kingdom</v>
      </c>
      <c r="G1025" s="6" t="str">
        <v>Ninja Theory Ltd</v>
      </c>
      <c r="H1025" s="6" t="str">
        <v>Prepackaged Software</v>
      </c>
      <c r="I1025" s="6" t="str">
        <v>8H3565</v>
      </c>
      <c r="J1025" s="6" t="str">
        <v>Ninja Theory Ltd</v>
      </c>
      <c r="K1025" s="6" t="str">
        <v>Ninja Theory Ltd</v>
      </c>
      <c r="L1025" s="7">
        <f>=DATE(2018,6,10)</f>
        <v>43260.99949074074</v>
      </c>
      <c r="M1025" s="7">
        <f>=DATE(2018,6,10)</f>
        <v>43260.99949074074</v>
      </c>
      <c r="R1025" s="8">
        <v>9.1055611615652</v>
      </c>
      <c r="S1025" s="8">
        <v>23.5466420002242</v>
      </c>
      <c r="W1025" s="6" t="str">
        <v>Internet Services &amp; Software;Applications Software(Business;Communication/Network Software;Utilities/File Mgmt Software;Applications Software(Home);Desktop Publishing;Other Software (inq. Games)</v>
      </c>
      <c r="X1025" s="6" t="str">
        <v>Communication/Network Software</v>
      </c>
      <c r="Y1025" s="6" t="str">
        <v>Communication/Network Software</v>
      </c>
      <c r="Z1025" s="6" t="str">
        <v>Communication/Network Software</v>
      </c>
      <c r="AA1025" s="6" t="str">
        <v>Applications Software(Business;Other Peripherals;Monitors/Terminals;Internet Services &amp; Software;Operating Systems;Computer Consulting Services</v>
      </c>
      <c r="AB1025" s="6" t="str">
        <v>Applications Software(Business;Computer Consulting Services;Other Peripherals;Monitors/Terminals;Operating Systems;Internet Services &amp; Software</v>
      </c>
    </row>
    <row r="1026">
      <c r="A1026" s="6" t="str">
        <v>59476P</v>
      </c>
      <c r="B1026" s="6" t="str">
        <v>United States</v>
      </c>
      <c r="C1026" s="6" t="str">
        <v>Microsoft Game Studios</v>
      </c>
      <c r="D1026" s="6" t="str">
        <v>Microsoft Corp</v>
      </c>
      <c r="E1026" s="6" t="str">
        <v>Microsoft Game Studios;Microsoft Game Studios</v>
      </c>
      <c r="F1026" s="6" t="str">
        <v>United States</v>
      </c>
      <c r="G1026" s="6" t="str">
        <v>Undead Labs LLC</v>
      </c>
      <c r="H1026" s="6" t="str">
        <v>Prepackaged Software</v>
      </c>
      <c r="I1026" s="6" t="str">
        <v>4H8316</v>
      </c>
      <c r="J1026" s="6" t="str">
        <v>Undead Labs LLC</v>
      </c>
      <c r="K1026" s="6" t="str">
        <v>Undead Labs LLC</v>
      </c>
      <c r="L1026" s="7">
        <f>=DATE(2018,6,11)</f>
        <v>43261.99949074074</v>
      </c>
      <c r="M1026" s="7">
        <f>=DATE(2018,6,11)</f>
        <v>43261.99949074074</v>
      </c>
      <c r="W1026" s="6" t="str">
        <v>Desktop Publishing;Applications Software(Home);Communication/Network Software;Internet Services &amp; Software;Utilities/File Mgmt Software;Applications Software(Business;Other Software (inq. Games)</v>
      </c>
      <c r="X1026" s="6" t="str">
        <v>Communication/Network Software;Utilities/File Mgmt Software;Internet Services &amp; Software;Other Software (inq. Games);Applications Software(Business;Desktop Publishing;Applications Software(Home)</v>
      </c>
      <c r="Y1026" s="6" t="str">
        <v>Applications Software(Business;Other Software (inq. Games);Utilities/File Mgmt Software;Communication/Network Software;Applications Software(Home);Desktop Publishing;Internet Services &amp; Software</v>
      </c>
      <c r="Z1026" s="6" t="str">
        <v>Internet Services &amp; Software;Desktop Publishing;Other Software (inq. Games);Utilities/File Mgmt Software;Communication/Network Software;Applications Software(Home);Applications Software(Business</v>
      </c>
      <c r="AA1026" s="6" t="str">
        <v>Computer Consulting Services;Internet Services &amp; Software;Operating Systems;Other Peripherals;Monitors/Terminals;Applications Software(Business</v>
      </c>
      <c r="AB1026" s="6" t="str">
        <v>Monitors/Terminals;Computer Consulting Services;Applications Software(Business;Internet Services &amp; Software;Other Peripherals;Operating Systems</v>
      </c>
    </row>
    <row r="1027">
      <c r="A1027" s="6" t="str">
        <v>594918</v>
      </c>
      <c r="B1027" s="6" t="str">
        <v>United States</v>
      </c>
      <c r="C1027" s="6" t="str">
        <v>Microsoft Corp</v>
      </c>
      <c r="D1027" s="6" t="str">
        <v>Microsoft Corp</v>
      </c>
      <c r="F1027" s="6" t="str">
        <v>United States</v>
      </c>
      <c r="G1027" s="6" t="str">
        <v>Flipgrid Inc</v>
      </c>
      <c r="H1027" s="6" t="str">
        <v>Prepackaged Software</v>
      </c>
      <c r="I1027" s="6" t="str">
        <v>5H2630</v>
      </c>
      <c r="J1027" s="6" t="str">
        <v>Flipgrid Inc</v>
      </c>
      <c r="K1027" s="6" t="str">
        <v>Flipgrid Inc</v>
      </c>
      <c r="L1027" s="7">
        <f>=DATE(2018,6,18)</f>
        <v>43268.99949074074</v>
      </c>
      <c r="M1027" s="7">
        <f>=DATE(2018,6,18)</f>
        <v>43268.99949074074</v>
      </c>
      <c r="W1027" s="6" t="str">
        <v>Computer Consulting Services;Monitors/Terminals;Other Peripherals;Operating Systems;Applications Software(Business;Internet Services &amp; Software</v>
      </c>
      <c r="X1027" s="6" t="str">
        <v>Applications Software(Business;Applications Software(Home);Desktop Publishing;Communication/Network Software;Utilities/File Mgmt Software;Internet Services &amp; Software;Other Software (inq. Games)</v>
      </c>
      <c r="Y1027" s="6" t="str">
        <v>Internet Services &amp; Software;Other Software (inq. Games);Desktop Publishing;Applications Software(Home);Applications Software(Business;Communication/Network Software;Utilities/File Mgmt Software</v>
      </c>
      <c r="Z1027" s="6" t="str">
        <v>Communication/Network Software;Desktop Publishing;Applications Software(Business;Applications Software(Home);Other Software (inq. Games);Internet Services &amp; Software;Utilities/File Mgmt Software</v>
      </c>
      <c r="AA1027" s="6" t="str">
        <v>Other Peripherals;Operating Systems;Computer Consulting Services;Monitors/Terminals;Applications Software(Business;Internet Services &amp; Software</v>
      </c>
      <c r="AB1027" s="6" t="str">
        <v>Monitors/Terminals;Operating Systems;Other Peripherals;Computer Consulting Services;Internet Services &amp; Software;Applications Software(Business</v>
      </c>
    </row>
    <row r="1028">
      <c r="A1028" s="6" t="str">
        <v>023135</v>
      </c>
      <c r="B1028" s="6" t="str">
        <v>United States</v>
      </c>
      <c r="C1028" s="6" t="str">
        <v>Amazon.com Inc</v>
      </c>
      <c r="D1028" s="6" t="str">
        <v>Amazon.com Inc</v>
      </c>
      <c r="F1028" s="6" t="str">
        <v>United States</v>
      </c>
      <c r="G1028" s="6" t="str">
        <v>PillPack Inc</v>
      </c>
      <c r="H1028" s="6" t="str">
        <v>Drugs</v>
      </c>
      <c r="I1028" s="6" t="str">
        <v>8E2135</v>
      </c>
      <c r="J1028" s="6" t="str">
        <v>PillPack Inc</v>
      </c>
      <c r="K1028" s="6" t="str">
        <v>PillPack Inc</v>
      </c>
      <c r="L1028" s="7">
        <f>=DATE(2018,6,28)</f>
        <v>43278.99949074074</v>
      </c>
      <c r="W1028" s="6" t="str">
        <v>Primary Business not Hi-Tech</v>
      </c>
      <c r="X1028" s="6" t="str">
        <v>General Pharmaceuticals;Over-The-Counter Drugs</v>
      </c>
      <c r="Y1028" s="6" t="str">
        <v>Over-The-Counter Drugs;General Pharmaceuticals</v>
      </c>
      <c r="Z1028" s="6" t="str">
        <v>General Pharmaceuticals;Over-The-Counter Drugs</v>
      </c>
      <c r="AA1028" s="6" t="str">
        <v>Primary Business not Hi-Tech</v>
      </c>
      <c r="AB1028" s="6" t="str">
        <v>Primary Business not Hi-Tech</v>
      </c>
      <c r="AD1028" s="7">
        <f>=DATE(2018,6,28)</f>
        <v>43278.99949074074</v>
      </c>
    </row>
    <row r="1029">
      <c r="A1029" s="6" t="str">
        <v>30303M</v>
      </c>
      <c r="B1029" s="6" t="str">
        <v>United States</v>
      </c>
      <c r="C1029" s="6" t="str">
        <v>Facebook Inc</v>
      </c>
      <c r="D1029" s="6" t="str">
        <v>Facebook Inc</v>
      </c>
      <c r="F1029" s="6" t="str">
        <v>United Kingdom</v>
      </c>
      <c r="G1029" s="6" t="str">
        <v>Bloomsbury AI Ltd</v>
      </c>
      <c r="H1029" s="6" t="str">
        <v>Prepackaged Software</v>
      </c>
      <c r="I1029" s="6" t="str">
        <v>5H4391</v>
      </c>
      <c r="J1029" s="6" t="str">
        <v>Bloomsbury AI Ltd</v>
      </c>
      <c r="K1029" s="6" t="str">
        <v>Bloomsbury AI Ltd</v>
      </c>
      <c r="L1029" s="7">
        <f>=DATE(2018,7,3)</f>
        <v>43283.99949074074</v>
      </c>
      <c r="M1029" s="7">
        <f>=DATE(2018,7,3)</f>
        <v>43283.99949074074</v>
      </c>
      <c r="W1029" s="6" t="str">
        <v>Internet Services &amp; Software</v>
      </c>
      <c r="X1029" s="6" t="str">
        <v>Desktop Publishing;Internet Services &amp; Software;Applications Software(Business;Programming Services</v>
      </c>
      <c r="Y1029" s="6" t="str">
        <v>Desktop Publishing;Internet Services &amp; Software;Programming Services;Applications Software(Business</v>
      </c>
      <c r="Z1029" s="6" t="str">
        <v>Internet Services &amp; Software;Applications Software(Business;Desktop Publishing;Programming Services</v>
      </c>
      <c r="AA1029" s="6" t="str">
        <v>Internet Services &amp; Software</v>
      </c>
      <c r="AB1029" s="6" t="str">
        <v>Internet Services &amp; Software</v>
      </c>
      <c r="AD1029" s="7">
        <f>=DATE(2018,7,3)</f>
        <v>43283.99949074074</v>
      </c>
    </row>
    <row r="1030">
      <c r="A1030" s="6" t="str">
        <v>037833</v>
      </c>
      <c r="B1030" s="6" t="str">
        <v>United States</v>
      </c>
      <c r="C1030" s="6" t="str">
        <v>Apple Inc</v>
      </c>
      <c r="D1030" s="6" t="str">
        <v>Apple Inc</v>
      </c>
      <c r="F1030" s="6" t="str">
        <v>Canada</v>
      </c>
      <c r="G1030" s="6" t="str">
        <v>Agilebits Inc-Password1</v>
      </c>
      <c r="H1030" s="6" t="str">
        <v>Business Services</v>
      </c>
      <c r="I1030" s="6" t="str">
        <v>5H6109</v>
      </c>
      <c r="J1030" s="6" t="str">
        <v>AgileBits Inc</v>
      </c>
      <c r="K1030" s="6" t="str">
        <v>AgileBits Inc</v>
      </c>
      <c r="L1030" s="7">
        <f>=DATE(2018,7,10)</f>
        <v>43290.99949074074</v>
      </c>
      <c r="W1030" s="6" t="str">
        <v>Micro-Computers (PCs);Portable Computers;Monitors/Terminals;Other Software (inq. Games);Printers;Mainframes &amp; Super Computers;Disk Drives;Other Peripherals</v>
      </c>
      <c r="X1030" s="6" t="str">
        <v>Communication/Network Software;Applications Software(Home);Desktop Publishing;Internet Services &amp; Software;Utilities/File Mgmt Software;Applications Software(Business;Primary Business not Hi-Tech;Other Software (inq. Games)</v>
      </c>
      <c r="Y1030" s="6" t="str">
        <v>Other Software (inq. Games);Internet Services &amp; Software;Applications Software(Home);Utilities/File Mgmt Software;Communication/Network Software;Primary Business not Hi-Tech;Applications Software(Business;Desktop Publishing</v>
      </c>
      <c r="Z1030" s="6" t="str">
        <v>Utilities/File Mgmt Software;Other Software (inq. Games);Internet Services &amp; Software;Primary Business not Hi-Tech;Applications Software(Home);Communication/Network Software;Applications Software(Business;Desktop Publishing</v>
      </c>
      <c r="AA1030" s="6" t="str">
        <v>Portable Computers;Mainframes &amp; Super Computers;Disk Drives;Other Peripherals;Monitors/Terminals;Micro-Computers (PCs);Other Software (inq. Games);Printers</v>
      </c>
      <c r="AB1030" s="6" t="str">
        <v>Other Peripherals;Other Software (inq. Games);Portable Computers;Disk Drives;Monitors/Terminals;Mainframes &amp; Super Computers;Printers;Micro-Computers (PCs)</v>
      </c>
    </row>
    <row r="1031">
      <c r="A1031" s="6" t="str">
        <v>30303M</v>
      </c>
      <c r="B1031" s="6" t="str">
        <v>United States</v>
      </c>
      <c r="C1031" s="6" t="str">
        <v>Facebook Inc</v>
      </c>
      <c r="D1031" s="6" t="str">
        <v>Facebook Inc</v>
      </c>
      <c r="F1031" s="6" t="str">
        <v>United States</v>
      </c>
      <c r="G1031" s="6" t="str">
        <v>Redkix Inc</v>
      </c>
      <c r="H1031" s="6" t="str">
        <v>Prepackaged Software</v>
      </c>
      <c r="I1031" s="6" t="str">
        <v>6H0237</v>
      </c>
      <c r="J1031" s="6" t="str">
        <v>Redkix Inc</v>
      </c>
      <c r="K1031" s="6" t="str">
        <v>Redkix Inc</v>
      </c>
      <c r="L1031" s="7">
        <f>=DATE(2018,7,26)</f>
        <v>43306.99949074074</v>
      </c>
      <c r="W1031" s="6" t="str">
        <v>Internet Services &amp; Software</v>
      </c>
      <c r="X1031" s="6" t="str">
        <v>Communication/Network Software;Internet Services &amp; Software;Utilities/File Mgmt Software;Applications Software(Business;Desktop Publishing;Other Software (inq. Games);Applications Software(Home)</v>
      </c>
      <c r="Y1031" s="6" t="str">
        <v>Communication/Network Software;Utilities/File Mgmt Software;Other Software (inq. Games);Desktop Publishing;Applications Software(Business;Applications Software(Home);Internet Services &amp; Software</v>
      </c>
      <c r="Z1031" s="6" t="str">
        <v>Other Software (inq. Games);Utilities/File Mgmt Software;Applications Software(Business;Communication/Network Software;Applications Software(Home);Desktop Publishing;Internet Services &amp; Software</v>
      </c>
      <c r="AA1031" s="6" t="str">
        <v>Internet Services &amp; Software</v>
      </c>
      <c r="AB1031" s="6" t="str">
        <v>Internet Services &amp; Software</v>
      </c>
      <c r="AD1031" s="7">
        <f>=DATE(2018,7,26)</f>
        <v>43306.99949074074</v>
      </c>
    </row>
    <row r="1032">
      <c r="A1032" s="6" t="str">
        <v>594918</v>
      </c>
      <c r="B1032" s="6" t="str">
        <v>United States</v>
      </c>
      <c r="C1032" s="6" t="str">
        <v>Microsoft Corp</v>
      </c>
      <c r="D1032" s="6" t="str">
        <v>Microsoft Corp</v>
      </c>
      <c r="F1032" s="6" t="str">
        <v>United States</v>
      </c>
      <c r="G1032" s="6" t="str">
        <v>Obsidian Entertainment Inc</v>
      </c>
      <c r="H1032" s="6" t="str">
        <v>Prepackaged Software</v>
      </c>
      <c r="I1032" s="6" t="str">
        <v>7H4963</v>
      </c>
      <c r="J1032" s="6" t="str">
        <v>Obsidian Entertainment Inc</v>
      </c>
      <c r="K1032" s="6" t="str">
        <v>Obsidian Entertainment Inc</v>
      </c>
      <c r="L1032" s="7">
        <f>=DATE(2018,8,10)</f>
        <v>43321.99949074074</v>
      </c>
      <c r="W1032" s="6" t="str">
        <v>Applications Software(Business;Computer Consulting Services;Monitors/Terminals;Internet Services &amp; Software;Operating Systems;Other Peripherals</v>
      </c>
      <c r="X1032" s="6" t="str">
        <v>Applications Software(Home);Other Software (inq. Games)</v>
      </c>
      <c r="Y1032" s="6" t="str">
        <v>Applications Software(Home);Other Software (inq. Games)</v>
      </c>
      <c r="Z1032" s="6" t="str">
        <v>Other Software (inq. Games);Applications Software(Home)</v>
      </c>
      <c r="AA1032" s="6" t="str">
        <v>Monitors/Terminals;Computer Consulting Services;Internet Services &amp; Software;Operating Systems;Other Peripherals;Applications Software(Business</v>
      </c>
      <c r="AB1032" s="6" t="str">
        <v>Other Peripherals;Computer Consulting Services;Internet Services &amp; Software;Monitors/Terminals;Applications Software(Business;Operating Systems</v>
      </c>
    </row>
    <row r="1033">
      <c r="A1033" s="6" t="str">
        <v>594918</v>
      </c>
      <c r="B1033" s="6" t="str">
        <v>United States</v>
      </c>
      <c r="C1033" s="6" t="str">
        <v>Microsoft Corp</v>
      </c>
      <c r="D1033" s="6" t="str">
        <v>Microsoft Corp</v>
      </c>
      <c r="F1033" s="6" t="str">
        <v>United States</v>
      </c>
      <c r="G1033" s="6" t="str">
        <v>Lobe Artificial Intelligence Inc</v>
      </c>
      <c r="H1033" s="6" t="str">
        <v>Communications Equipment</v>
      </c>
      <c r="I1033" s="6" t="str">
        <v>8H3452</v>
      </c>
      <c r="J1033" s="6" t="str">
        <v>Lobe Artificial Intelligence Inc</v>
      </c>
      <c r="K1033" s="6" t="str">
        <v>Lobe Artificial Intelligence Inc</v>
      </c>
      <c r="L1033" s="7">
        <f>=DATE(2018,9,13)</f>
        <v>43355.99949074074</v>
      </c>
      <c r="M1033" s="7">
        <f>=DATE(2018,9,13)</f>
        <v>43355.99949074074</v>
      </c>
      <c r="W1033" s="6" t="str">
        <v>Operating Systems;Computer Consulting Services;Internet Services &amp; Software;Other Peripherals;Applications Software(Business;Monitors/Terminals</v>
      </c>
      <c r="X1033" s="6" t="str">
        <v>Alarm Systems;Messaging Systems;Data Commun(Exclude networking;Telephone Interconnect Equip;Other Telecommunications Equip;Microwave Communications</v>
      </c>
      <c r="Y1033" s="6" t="str">
        <v>Data Commun(Exclude networking;Microwave Communications;Messaging Systems;Telephone Interconnect Equip;Other Telecommunications Equip;Alarm Systems</v>
      </c>
      <c r="Z1033" s="6" t="str">
        <v>Alarm Systems;Microwave Communications;Data Commun(Exclude networking;Telephone Interconnect Equip;Messaging Systems;Other Telecommunications Equip</v>
      </c>
      <c r="AA1033" s="6" t="str">
        <v>Monitors/Terminals;Other Peripherals;Operating Systems;Applications Software(Business;Internet Services &amp; Software;Computer Consulting Services</v>
      </c>
      <c r="AB1033" s="6" t="str">
        <v>Internet Services &amp; Software;Operating Systems;Computer Consulting Services;Other Peripherals;Monitors/Terminals;Applications Software(Business</v>
      </c>
    </row>
    <row r="1034">
      <c r="A1034" s="6" t="str">
        <v>8F1020</v>
      </c>
      <c r="B1034" s="6" t="str">
        <v>United States</v>
      </c>
      <c r="C1034" s="6" t="str">
        <v>Alexa Fund</v>
      </c>
      <c r="D1034" s="6" t="str">
        <v>Amazon.com Inc</v>
      </c>
      <c r="F1034" s="6" t="str">
        <v>United States</v>
      </c>
      <c r="G1034" s="6" t="str">
        <v>Bamboo Learning Inc</v>
      </c>
      <c r="H1034" s="6" t="str">
        <v>Business Services</v>
      </c>
      <c r="I1034" s="6" t="str">
        <v>7H2891</v>
      </c>
      <c r="J1034" s="6" t="str">
        <v>Bamboo Learning Inc</v>
      </c>
      <c r="K1034" s="6" t="str">
        <v>Bamboo Learning Inc</v>
      </c>
      <c r="L1034" s="7">
        <f>=DATE(2018,9,27)</f>
        <v>43369.99949074074</v>
      </c>
      <c r="M1034" s="7">
        <f>=DATE(2018,9,27)</f>
        <v>43369.99949074074</v>
      </c>
      <c r="W1034" s="6" t="str">
        <v>Primary Business not Hi-Tech</v>
      </c>
      <c r="X1034" s="6" t="str">
        <v>Desktop Publishing;Utilities/File Mgmt Software;Programming Services;Internet Services &amp; Software;Applications Software(Business;Communication/Network Software;Other Software (inq. Games);Applications Software(Home);Database Software/Programming;Primary Business not Hi-Tech</v>
      </c>
      <c r="Y1034" s="6" t="str">
        <v>Utilities/File Mgmt Software;Primary Business not Hi-Tech;Programming Services;Internet Services &amp; Software;Applications Software(Business;Database Software/Programming;Communication/Network Software;Applications Software(Home);Desktop Publishing;Other Software (inq. Games)</v>
      </c>
      <c r="Z1034" s="6" t="str">
        <v>Internet Services &amp; Software;Other Software (inq. Games);Desktop Publishing;Applications Software(Business;Primary Business not Hi-Tech;Applications Software(Home);Database Software/Programming;Communication/Network Software;Utilities/File Mgmt Software;Programming Services</v>
      </c>
      <c r="AA1034" s="6" t="str">
        <v>Primary Business not Hi-Tech</v>
      </c>
      <c r="AB1034" s="6" t="str">
        <v>Primary Business not Hi-Tech</v>
      </c>
    </row>
    <row r="1035">
      <c r="A1035" s="6" t="str">
        <v>2F3138</v>
      </c>
      <c r="B1035" s="6" t="str">
        <v>United States</v>
      </c>
      <c r="C1035" s="6" t="str">
        <v>CapitalG Management Co LLC</v>
      </c>
      <c r="D1035" s="6" t="str">
        <v>Alphabet Inc</v>
      </c>
      <c r="F1035" s="6" t="str">
        <v>United States</v>
      </c>
      <c r="G1035" s="6" t="str">
        <v>Applied Systems Inc</v>
      </c>
      <c r="H1035" s="6" t="str">
        <v>Prepackaged Software</v>
      </c>
      <c r="I1035" s="6" t="str">
        <v>03822P</v>
      </c>
      <c r="J1035" s="6" t="str">
        <v>Hellman &amp; Friedman LLC</v>
      </c>
      <c r="K1035" s="6" t="str">
        <v>Hellman &amp; Friedman LLC</v>
      </c>
      <c r="L1035" s="7">
        <f>=DATE(2018,9,30)</f>
        <v>43372.99949074074</v>
      </c>
      <c r="M1035" s="7">
        <f>=DATE(2018,9,30)</f>
        <v>43372.99949074074</v>
      </c>
      <c r="W1035" s="6" t="str">
        <v>Primary Business not Hi-Tech</v>
      </c>
      <c r="X1035" s="6" t="str">
        <v>Other Software (inq. Games)</v>
      </c>
      <c r="Y1035" s="6" t="str">
        <v>Primary Business not Hi-Tech</v>
      </c>
      <c r="Z1035" s="6" t="str">
        <v>Primary Business not Hi-Tech</v>
      </c>
      <c r="AA1035" s="6" t="str">
        <v>Programming Services;Internet Services &amp; Software</v>
      </c>
      <c r="AB1035" s="6" t="str">
        <v>Primary Business not Hi-Tech;Telecommunications Equipment;Internet Services &amp; Software;Computer Consulting Services;Programming Services</v>
      </c>
    </row>
    <row r="1036">
      <c r="A1036" s="6" t="str">
        <v>594918</v>
      </c>
      <c r="B1036" s="6" t="str">
        <v>United States</v>
      </c>
      <c r="C1036" s="6" t="str">
        <v>Microsoft Corp</v>
      </c>
      <c r="D1036" s="6" t="str">
        <v>Microsoft Corp</v>
      </c>
      <c r="F1036" s="6" t="str">
        <v>Singapore</v>
      </c>
      <c r="G1036" s="6" t="str">
        <v>Grab Holdings Inc</v>
      </c>
      <c r="H1036" s="6" t="str">
        <v>Prepackaged Software</v>
      </c>
      <c r="I1036" s="6" t="str">
        <v>4H8593</v>
      </c>
      <c r="J1036" s="6" t="str">
        <v>Grab Holdings Inc</v>
      </c>
      <c r="K1036" s="6" t="str">
        <v>Grab Holdings Inc</v>
      </c>
      <c r="L1036" s="7">
        <f>=DATE(2018,10,8)</f>
        <v>43380.99949074074</v>
      </c>
      <c r="W1036" s="6" t="str">
        <v>Operating Systems;Other Peripherals;Monitors/Terminals;Internet Services &amp; Software;Computer Consulting Services;Applications Software(Business</v>
      </c>
      <c r="X1036" s="6" t="str">
        <v>Utilities/File Mgmt Software;Primary Business not Hi-Tech;Internet Services &amp; Software;Desktop Publishing;Networking Systems (LAN,WAN);Other Software (inq. Games);Applications Software(Business;Satellite Communications;Applications Software(Home);Communication/Network Software</v>
      </c>
      <c r="Y1036" s="6" t="str">
        <v>Primary Business not Hi-Tech;Other Software (inq. Games);Communication/Network Software;Applications Software(Business;Applications Software(Home);Desktop Publishing;Networking Systems (LAN,WAN);Internet Services &amp; Software;Satellite Communications;Utilities/File Mgmt Software</v>
      </c>
      <c r="Z1036" s="6" t="str">
        <v>Networking Systems (LAN,WAN);Communication/Network Software;Other Software (inq. Games);Utilities/File Mgmt Software;Applications Software(Home);Applications Software(Business;Desktop Publishing;Satellite Communications;Primary Business not Hi-Tech;Internet Services &amp; Software</v>
      </c>
      <c r="AA1036" s="6" t="str">
        <v>Computer Consulting Services;Other Peripherals;Operating Systems;Monitors/Terminals;Applications Software(Business;Internet Services &amp; Software</v>
      </c>
      <c r="AB1036" s="6" t="str">
        <v>Applications Software(Business;Other Peripherals;Computer Consulting Services;Monitors/Terminals;Operating Systems;Internet Services &amp; Software</v>
      </c>
    </row>
    <row r="1037">
      <c r="A1037" s="6" t="str">
        <v>53578A</v>
      </c>
      <c r="B1037" s="6" t="str">
        <v>United States</v>
      </c>
      <c r="C1037" s="6" t="str">
        <v>LinkedIn Corp</v>
      </c>
      <c r="D1037" s="6" t="str">
        <v>Microsoft Corp</v>
      </c>
      <c r="F1037" s="6" t="str">
        <v>United States</v>
      </c>
      <c r="G1037" s="6" t="str">
        <v>Glint Inc</v>
      </c>
      <c r="H1037" s="6" t="str">
        <v>Business Services</v>
      </c>
      <c r="I1037" s="6" t="str">
        <v>7H4459</v>
      </c>
      <c r="J1037" s="6" t="str">
        <v>Glint Inc</v>
      </c>
      <c r="K1037" s="6" t="str">
        <v>Glint Inc</v>
      </c>
      <c r="L1037" s="7">
        <f>=DATE(2018,10,8)</f>
        <v>43380.99949074074</v>
      </c>
      <c r="M1037" s="7">
        <f>=DATE(2018,12,31)</f>
        <v>43464.99949074074</v>
      </c>
      <c r="W1037" s="6" t="str">
        <v>Internet Services &amp; Software</v>
      </c>
      <c r="X1037" s="6" t="str">
        <v>Data Processing Services;Computer Consulting Services;Other Computer Related Svcs;Networking Systems (LAN,WAN);Primary Business not Hi-Tech;Internet Services &amp; Software</v>
      </c>
      <c r="Y1037" s="6" t="str">
        <v>Other Computer Related Svcs;Data Processing Services;Computer Consulting Services;Primary Business not Hi-Tech;Networking Systems (LAN,WAN);Internet Services &amp; Software</v>
      </c>
      <c r="Z1037" s="6" t="str">
        <v>Networking Systems (LAN,WAN);Primary Business not Hi-Tech;Internet Services &amp; Software;Computer Consulting Services;Data Processing Services;Other Computer Related Svcs</v>
      </c>
      <c r="AA1037" s="6" t="str">
        <v>Applications Software(Business;Monitors/Terminals;Internet Services &amp; Software;Other Peripherals;Operating Systems;Computer Consulting Services</v>
      </c>
      <c r="AB1037" s="6" t="str">
        <v>Operating Systems;Monitors/Terminals;Computer Consulting Services;Other Peripherals;Applications Software(Business;Internet Services &amp; Software</v>
      </c>
    </row>
    <row r="1038">
      <c r="A1038" s="6" t="str">
        <v>037833</v>
      </c>
      <c r="B1038" s="6" t="str">
        <v>United States</v>
      </c>
      <c r="C1038" s="6" t="str">
        <v>Apple Inc</v>
      </c>
      <c r="D1038" s="6" t="str">
        <v>Apple Inc</v>
      </c>
      <c r="F1038" s="6" t="str">
        <v>Denmark</v>
      </c>
      <c r="G1038" s="6" t="str">
        <v>Spektral Experience ApS</v>
      </c>
      <c r="H1038" s="6" t="str">
        <v>Prepackaged Software</v>
      </c>
      <c r="I1038" s="6" t="str">
        <v>7H5081</v>
      </c>
      <c r="J1038" s="6" t="str">
        <v>Spektral Experience ApS</v>
      </c>
      <c r="K1038" s="6" t="str">
        <v>Spektral Experience ApS</v>
      </c>
      <c r="L1038" s="7">
        <f>=DATE(2018,10,10)</f>
        <v>43382.99949074074</v>
      </c>
      <c r="W1038" s="6" t="str">
        <v>Disk Drives;Monitors/Terminals;Portable Computers;Mainframes &amp; Super Computers;Other Peripherals;Printers;Other Software (inq. Games);Micro-Computers (PCs)</v>
      </c>
      <c r="X1038" s="6" t="str">
        <v>Communication/Network Software</v>
      </c>
      <c r="Y1038" s="6" t="str">
        <v>Communication/Network Software</v>
      </c>
      <c r="Z1038" s="6" t="str">
        <v>Communication/Network Software</v>
      </c>
      <c r="AA1038" s="6" t="str">
        <v>Printers;Monitors/Terminals;Other Software (inq. Games);Disk Drives;Micro-Computers (PCs);Other Peripherals;Mainframes &amp; Super Computers;Portable Computers</v>
      </c>
      <c r="AB1038" s="6" t="str">
        <v>Printers;Micro-Computers (PCs);Portable Computers;Disk Drives;Other Software (inq. Games);Monitors/Terminals;Mainframes &amp; Super Computers;Other Peripherals</v>
      </c>
      <c r="AD1038" s="7">
        <f>=DATE(2018,10,10)</f>
        <v>43382.99949074074</v>
      </c>
    </row>
    <row r="1039">
      <c r="A1039" s="6" t="str">
        <v>037833</v>
      </c>
      <c r="B1039" s="6" t="str">
        <v>United States</v>
      </c>
      <c r="C1039" s="6" t="str">
        <v>Apple Inc</v>
      </c>
      <c r="D1039" s="6" t="str">
        <v>Apple Inc</v>
      </c>
      <c r="F1039" s="6" t="str">
        <v>United Kingdom</v>
      </c>
      <c r="G1039" s="6" t="str">
        <v>Dialog Semiconductor PLC-Certain Power Management Assets</v>
      </c>
      <c r="H1039" s="6" t="str">
        <v>Electronic and Electrical Equipment</v>
      </c>
      <c r="I1039" s="6" t="str">
        <v>7H5041</v>
      </c>
      <c r="J1039" s="6" t="str">
        <v>Dialog Semiconductor PLC</v>
      </c>
      <c r="K1039" s="6" t="str">
        <v>Dialog Semiconductor PLC</v>
      </c>
      <c r="L1039" s="7">
        <f>=DATE(2018,10,11)</f>
        <v>43383.99949074074</v>
      </c>
      <c r="M1039" s="7">
        <f>=DATE(2019,4,8)</f>
        <v>43562.99949074074</v>
      </c>
      <c r="N1039" s="8">
        <v>300</v>
      </c>
      <c r="O1039" s="8">
        <v>300</v>
      </c>
      <c r="W1039" s="6" t="str">
        <v>Portable Computers;Micro-Computers (PCs);Disk Drives;Printers;Other Peripherals;Mainframes &amp; Super Computers;Monitors/Terminals;Other Software (inq. Games)</v>
      </c>
      <c r="X1039" s="6" t="str">
        <v>Other Peripherals;Semiconductors;Disk Drives;Superconductors;Facsimile Equipment;Telecommunications Equipment;Telephone Interconnect Equip;Data Commun(Exclude networking;Other Telecommunications Equip;Scanning Devices;CD Rom Drives;Printers;Robotics;Modems;Other Electronics;Lasers(Excluding Medical);Messaging Systems;Monitors/Terminals</v>
      </c>
      <c r="Y1039" s="6" t="str">
        <v>Other Electronics;Semiconductors;Printed Circuit Boards</v>
      </c>
      <c r="Z1039" s="6" t="str">
        <v>Other Electronics;Semiconductors;Printed Circuit Boards</v>
      </c>
      <c r="AA1039" s="6" t="str">
        <v>Disk Drives;Other Peripherals;Other Software (inq. Games);Mainframes &amp; Super Computers;Micro-Computers (PCs);Monitors/Terminals;Printers;Portable Computers</v>
      </c>
      <c r="AB1039" s="6" t="str">
        <v>Monitors/Terminals;Micro-Computers (PCs);Printers;Disk Drives;Other Peripherals;Other Software (inq. Games);Mainframes &amp; Super Computers;Portable Computers</v>
      </c>
      <c r="AC1039" s="8">
        <v>300</v>
      </c>
      <c r="AD1039" s="7">
        <f>=DATE(2018,10,11)</f>
        <v>43383.99949074074</v>
      </c>
      <c r="AJ1039" s="8" t="str">
        <v>300.00</v>
      </c>
      <c r="AK1039" s="6" t="str">
        <v>US Dollar</v>
      </c>
      <c r="AL1039" s="8">
        <v>300</v>
      </c>
    </row>
    <row r="1040">
      <c r="A1040" s="6" t="str">
        <v>037833</v>
      </c>
      <c r="B1040" s="6" t="str">
        <v>United States</v>
      </c>
      <c r="C1040" s="6" t="str">
        <v>Apple Inc</v>
      </c>
      <c r="D1040" s="6" t="str">
        <v>Apple Inc</v>
      </c>
      <c r="F1040" s="6" t="str">
        <v>United States</v>
      </c>
      <c r="G1040" s="6" t="str">
        <v>Asaii Inc</v>
      </c>
      <c r="H1040" s="6" t="str">
        <v>Educational Services</v>
      </c>
      <c r="I1040" s="6" t="str">
        <v>7H5961</v>
      </c>
      <c r="J1040" s="6" t="str">
        <v>Asaii Inc</v>
      </c>
      <c r="K1040" s="6" t="str">
        <v>Asaii Inc</v>
      </c>
      <c r="L1040" s="7">
        <f>=DATE(2018,10,15)</f>
        <v>43387.99949074074</v>
      </c>
      <c r="W1040" s="6" t="str">
        <v>Portable Computers;Micro-Computers (PCs);Mainframes &amp; Super Computers;Monitors/Terminals;Other Peripherals;Disk Drives;Printers;Other Software (inq. Games)</v>
      </c>
      <c r="X1040" s="6" t="str">
        <v>Applications Software(Business;Applications Software(Home);Primary Business not Hi-Tech;Desktop Publishing;Utilities/File Mgmt Software;Other Software (inq. Games);Internet Services &amp; Software;Communication/Network Software</v>
      </c>
      <c r="Y1040" s="6" t="str">
        <v>Desktop Publishing;Utilities/File Mgmt Software;Other Software (inq. Games);Applications Software(Home);Applications Software(Business;Communication/Network Software;Primary Business not Hi-Tech;Internet Services &amp; Software</v>
      </c>
      <c r="Z1040" s="6" t="str">
        <v>Other Software (inq. Games);Utilities/File Mgmt Software;Communication/Network Software;Desktop Publishing;Applications Software(Home);Applications Software(Business;Internet Services &amp; Software;Primary Business not Hi-Tech</v>
      </c>
      <c r="AA1040" s="6" t="str">
        <v>Disk Drives;Other Software (inq. Games);Other Peripherals;Printers;Monitors/Terminals;Micro-Computers (PCs);Mainframes &amp; Super Computers;Portable Computers</v>
      </c>
      <c r="AB1040" s="6" t="str">
        <v>Portable Computers;Other Peripherals;Mainframes &amp; Super Computers;Disk Drives;Printers;Micro-Computers (PCs);Monitors/Terminals;Other Software (inq. Games)</v>
      </c>
    </row>
    <row r="1041">
      <c r="A1041" s="6" t="str">
        <v>8F1020</v>
      </c>
      <c r="B1041" s="6" t="str">
        <v>United States</v>
      </c>
      <c r="C1041" s="6" t="str">
        <v>Alexa Fund</v>
      </c>
      <c r="D1041" s="6" t="str">
        <v>Amazon.com Inc</v>
      </c>
      <c r="F1041" s="6" t="str">
        <v>United States</v>
      </c>
      <c r="G1041" s="6" t="str">
        <v>SevenRooms Inc</v>
      </c>
      <c r="H1041" s="6" t="str">
        <v>Prepackaged Software</v>
      </c>
      <c r="I1041" s="6" t="str">
        <v>7H7287</v>
      </c>
      <c r="J1041" s="6" t="str">
        <v>SevenRooms Inc</v>
      </c>
      <c r="K1041" s="6" t="str">
        <v>SevenRooms Inc</v>
      </c>
      <c r="L1041" s="7">
        <f>=DATE(2018,10,23)</f>
        <v>43395.99949074074</v>
      </c>
      <c r="M1041" s="7">
        <f>=DATE(2018,10,23)</f>
        <v>43395.99949074074</v>
      </c>
      <c r="W1041" s="6" t="str">
        <v>Primary Business not Hi-Tech</v>
      </c>
      <c r="X1041" s="6" t="str">
        <v>Other Software (inq. Games)</v>
      </c>
      <c r="Y1041" s="6" t="str">
        <v>Other Software (inq. Games)</v>
      </c>
      <c r="Z1041" s="6" t="str">
        <v>Other Software (inq. Games)</v>
      </c>
      <c r="AA1041" s="6" t="str">
        <v>Primary Business not Hi-Tech</v>
      </c>
      <c r="AB1041" s="6" t="str">
        <v>Primary Business not Hi-Tech</v>
      </c>
    </row>
    <row r="1042">
      <c r="A1042" s="6" t="str">
        <v>594918</v>
      </c>
      <c r="B1042" s="6" t="str">
        <v>United States</v>
      </c>
      <c r="C1042" s="6" t="str">
        <v>Microsoft Corp</v>
      </c>
      <c r="D1042" s="6" t="str">
        <v>Microsoft Corp</v>
      </c>
      <c r="F1042" s="6" t="str">
        <v>United States</v>
      </c>
      <c r="G1042" s="6" t="str">
        <v>inXile Entertainment Inc</v>
      </c>
      <c r="H1042" s="6" t="str">
        <v>Prepackaged Software</v>
      </c>
      <c r="I1042" s="6" t="str">
        <v>7F2483</v>
      </c>
      <c r="J1042" s="6" t="str">
        <v>inXile Entertainment Inc</v>
      </c>
      <c r="K1042" s="6" t="str">
        <v>inXile Entertainment Inc</v>
      </c>
      <c r="L1042" s="7">
        <f>=DATE(2018,11,10)</f>
        <v>43413.99949074074</v>
      </c>
      <c r="M1042" s="7">
        <f>=DATE(2018,11,10)</f>
        <v>43413.99949074074</v>
      </c>
      <c r="W1042" s="6" t="str">
        <v>Computer Consulting Services;Applications Software(Business;Internet Services &amp; Software;Other Peripherals;Operating Systems;Monitors/Terminals</v>
      </c>
      <c r="X1042" s="6" t="str">
        <v>Other Software (inq. Games)</v>
      </c>
      <c r="Y1042" s="6" t="str">
        <v>Other Software (inq. Games)</v>
      </c>
      <c r="Z1042" s="6" t="str">
        <v>Other Software (inq. Games)</v>
      </c>
      <c r="AA1042" s="6" t="str">
        <v>Monitors/Terminals;Internet Services &amp; Software;Operating Systems;Computer Consulting Services;Applications Software(Business;Other Peripherals</v>
      </c>
      <c r="AB1042" s="6" t="str">
        <v>Monitors/Terminals;Operating Systems;Internet Services &amp; Software;Computer Consulting Services;Other Peripherals;Applications Software(Business</v>
      </c>
    </row>
    <row r="1043">
      <c r="A1043" s="6" t="str">
        <v>594918</v>
      </c>
      <c r="B1043" s="6" t="str">
        <v>United States</v>
      </c>
      <c r="C1043" s="6" t="str">
        <v>Microsoft Corp</v>
      </c>
      <c r="D1043" s="6" t="str">
        <v>Microsoft Corp</v>
      </c>
      <c r="F1043" s="6" t="str">
        <v>United States</v>
      </c>
      <c r="G1043" s="6" t="str">
        <v>XOXCO Inc</v>
      </c>
      <c r="H1043" s="6" t="str">
        <v>Prepackaged Software</v>
      </c>
      <c r="I1043" s="6" t="str">
        <v>8H2462</v>
      </c>
      <c r="J1043" s="6" t="str">
        <v>XOXCO Inc</v>
      </c>
      <c r="K1043" s="6" t="str">
        <v>XOXCO Inc</v>
      </c>
      <c r="L1043" s="7">
        <f>=DATE(2018,11,14)</f>
        <v>43417.99949074074</v>
      </c>
      <c r="W1043" s="6" t="str">
        <v>Other Peripherals;Internet Services &amp; Software;Operating Systems;Monitors/Terminals;Applications Software(Business;Computer Consulting Services</v>
      </c>
      <c r="X1043" s="6" t="str">
        <v>Applications Software(Business</v>
      </c>
      <c r="Y1043" s="6" t="str">
        <v>Applications Software(Business</v>
      </c>
      <c r="Z1043" s="6" t="str">
        <v>Applications Software(Business</v>
      </c>
      <c r="AA1043" s="6" t="str">
        <v>Other Peripherals;Internet Services &amp; Software;Applications Software(Business;Computer Consulting Services;Operating Systems;Monitors/Terminals</v>
      </c>
      <c r="AB1043" s="6" t="str">
        <v>Internet Services &amp; Software;Other Peripherals;Applications Software(Business;Operating Systems;Computer Consulting Services;Monitors/Terminals</v>
      </c>
    </row>
    <row r="1044">
      <c r="A1044" s="6" t="str">
        <v>594918</v>
      </c>
      <c r="B1044" s="6" t="str">
        <v>United States</v>
      </c>
      <c r="C1044" s="6" t="str">
        <v>Microsoft Corp</v>
      </c>
      <c r="D1044" s="6" t="str">
        <v>Microsoft Corp</v>
      </c>
      <c r="F1044" s="6" t="str">
        <v>United States</v>
      </c>
      <c r="G1044" s="6" t="str">
        <v>FSLogix Inc</v>
      </c>
      <c r="H1044" s="6" t="str">
        <v>Prepackaged Software</v>
      </c>
      <c r="I1044" s="6" t="str">
        <v>8H3928</v>
      </c>
      <c r="J1044" s="6" t="str">
        <v>FSLogix Inc</v>
      </c>
      <c r="K1044" s="6" t="str">
        <v>FSLogix Inc</v>
      </c>
      <c r="L1044" s="7">
        <f>=DATE(2018,11,19)</f>
        <v>43422.99949074074</v>
      </c>
      <c r="M1044" s="7">
        <f>=DATE(2018,11,19)</f>
        <v>43422.99949074074</v>
      </c>
      <c r="W1044" s="6" t="str">
        <v>Applications Software(Business;Other Peripherals;Internet Services &amp; Software;Operating Systems;Computer Consulting Services;Monitors/Terminals</v>
      </c>
      <c r="X1044" s="6" t="str">
        <v>Other Software (inq. Games);Applications Software(Business;Communication/Network Software;Applications Software(Home);Internet Services &amp; Software;Desktop Publishing;Utilities/File Mgmt Software</v>
      </c>
      <c r="Y1044" s="6" t="str">
        <v>Desktop Publishing;Utilities/File Mgmt Software;Other Software (inq. Games);Communication/Network Software;Applications Software(Home);Applications Software(Business;Internet Services &amp; Software</v>
      </c>
      <c r="Z1044" s="6" t="str">
        <v>Other Software (inq. Games);Communication/Network Software;Desktop Publishing;Internet Services &amp; Software;Utilities/File Mgmt Software;Applications Software(Home);Applications Software(Business</v>
      </c>
      <c r="AA1044" s="6" t="str">
        <v>Other Peripherals;Applications Software(Business;Operating Systems;Monitors/Terminals;Internet Services &amp; Software;Computer Consulting Services</v>
      </c>
      <c r="AB1044" s="6" t="str">
        <v>Internet Services &amp; Software;Computer Consulting Services;Applications Software(Business;Monitors/Terminals;Other Peripherals;Operating Systems</v>
      </c>
    </row>
    <row r="1045">
      <c r="A1045" s="6" t="str">
        <v>037833</v>
      </c>
      <c r="B1045" s="6" t="str">
        <v>United States</v>
      </c>
      <c r="C1045" s="6" t="str">
        <v>Apple Inc</v>
      </c>
      <c r="D1045" s="6" t="str">
        <v>Apple Inc</v>
      </c>
      <c r="F1045" s="6" t="str">
        <v>United States</v>
      </c>
      <c r="G1045" s="6" t="str">
        <v>Silk Labs Inc</v>
      </c>
      <c r="H1045" s="6" t="str">
        <v>Prepackaged Software</v>
      </c>
      <c r="I1045" s="6" t="str">
        <v>8H3747</v>
      </c>
      <c r="J1045" s="6" t="str">
        <v>Silk Labs Inc</v>
      </c>
      <c r="K1045" s="6" t="str">
        <v>Silk Labs Inc</v>
      </c>
      <c r="L1045" s="7">
        <f>=DATE(2018,11,21)</f>
        <v>43424.99949074074</v>
      </c>
      <c r="W1045" s="6" t="str">
        <v>Mainframes &amp; Super Computers;Micro-Computers (PCs);Monitors/Terminals;Printers;Other Peripherals;Portable Computers;Disk Drives;Other Software (inq. Games)</v>
      </c>
      <c r="X1045" s="6" t="str">
        <v>Other Software (inq. Games)</v>
      </c>
      <c r="Y1045" s="6" t="str">
        <v>Other Software (inq. Games)</v>
      </c>
      <c r="Z1045" s="6" t="str">
        <v>Other Software (inq. Games)</v>
      </c>
      <c r="AA1045" s="6" t="str">
        <v>Disk Drives;Mainframes &amp; Super Computers;Micro-Computers (PCs);Monitors/Terminals;Printers;Portable Computers;Other Software (inq. Games);Other Peripherals</v>
      </c>
      <c r="AB1045" s="6" t="str">
        <v>Printers;Micro-Computers (PCs);Monitors/Terminals;Other Software (inq. Games);Mainframes &amp; Super Computers;Portable Computers;Other Peripherals;Disk Drives</v>
      </c>
    </row>
    <row r="1046">
      <c r="A1046" s="6" t="str">
        <v>7J8440</v>
      </c>
      <c r="B1046" s="6" t="str">
        <v>United States</v>
      </c>
      <c r="C1046" s="6" t="str">
        <v>Google LLC</v>
      </c>
      <c r="D1046" s="6" t="str">
        <v>Alphabet Inc</v>
      </c>
      <c r="F1046" s="6" t="str">
        <v>United States</v>
      </c>
      <c r="G1046" s="6" t="str">
        <v>cwist Inc</v>
      </c>
      <c r="H1046" s="6" t="str">
        <v>Educational Services</v>
      </c>
      <c r="I1046" s="6" t="str">
        <v>9H0315</v>
      </c>
      <c r="J1046" s="6" t="str">
        <v>cwist Inc</v>
      </c>
      <c r="K1046" s="6" t="str">
        <v>cwist Inc</v>
      </c>
      <c r="L1046" s="7">
        <f>=DATE(2018,11,27)</f>
        <v>43430.99949074074</v>
      </c>
      <c r="M1046" s="7">
        <f>=DATE(2018,11,27)</f>
        <v>43430.99949074074</v>
      </c>
      <c r="W1046" s="6" t="str">
        <v>Programming Services;Internet Services &amp; Software</v>
      </c>
      <c r="X1046" s="6" t="str">
        <v>Networking Systems (LAN,WAN);Computer Consulting Services;Primary Business not Hi-Tech;Internet Services &amp; Software;Other Computer Related Svcs</v>
      </c>
      <c r="Y1046" s="6" t="str">
        <v>Primary Business not Hi-Tech;Computer Consulting Services;Other Computer Related Svcs;Networking Systems (LAN,WAN);Internet Services &amp; Software</v>
      </c>
      <c r="Z1046" s="6" t="str">
        <v>Computer Consulting Services;Networking Systems (LAN,WAN);Primary Business not Hi-Tech;Other Computer Related Svcs;Internet Services &amp; Software</v>
      </c>
      <c r="AA1046" s="6" t="str">
        <v>Primary Business not Hi-Tech;Programming Services;Internet Services &amp; Software;Telecommunications Equipment;Computer Consulting Services</v>
      </c>
      <c r="AB1046" s="6" t="str">
        <v>Computer Consulting Services;Internet Services &amp; Software;Telecommunications Equipment;Primary Business not Hi-Tech;Programming Services</v>
      </c>
    </row>
    <row r="1047">
      <c r="A1047" s="6" t="str">
        <v>594918</v>
      </c>
      <c r="B1047" s="6" t="str">
        <v>United States</v>
      </c>
      <c r="C1047" s="6" t="str">
        <v>Microsoft Corp</v>
      </c>
      <c r="D1047" s="6" t="str">
        <v>Microsoft Corp</v>
      </c>
      <c r="F1047" s="6" t="str">
        <v>Morocco</v>
      </c>
      <c r="G1047" s="6" t="str">
        <v>Nokia Morocco</v>
      </c>
      <c r="H1047" s="6" t="str">
        <v>Telecommunications</v>
      </c>
      <c r="I1047" s="6" t="str">
        <v>9H0727</v>
      </c>
      <c r="J1047" s="6" t="str">
        <v>Nokia Oyj</v>
      </c>
      <c r="K1047" s="6" t="str">
        <v>Nokia Oyj</v>
      </c>
      <c r="L1047" s="7">
        <f>=DATE(2018,11,30)</f>
        <v>43433.99949074074</v>
      </c>
      <c r="W1047" s="6" t="str">
        <v>Computer Consulting Services;Internet Services &amp; Software;Monitors/Terminals;Other Peripherals;Applications Software(Business;Operating Systems</v>
      </c>
      <c r="X1047" s="6" t="str">
        <v>Telecommunications Equipment</v>
      </c>
      <c r="Y1047" s="6" t="str">
        <v>Communication/Network Software;Satellite Communications;Other Software (inq. Games);Other Telecommunications Equip;Internet Services &amp; Software;Telephone Interconnect Equip</v>
      </c>
      <c r="Z1047" s="6" t="str">
        <v>Internet Services &amp; Software;Other Software (inq. Games);Communication/Network Software;Other Telecommunications Equip;Satellite Communications;Telephone Interconnect Equip</v>
      </c>
      <c r="AA1047" s="6" t="str">
        <v>Computer Consulting Services;Other Peripherals;Applications Software(Business;Internet Services &amp; Software;Monitors/Terminals;Operating Systems</v>
      </c>
      <c r="AB1047" s="6" t="str">
        <v>Applications Software(Business;Operating Systems;Computer Consulting Services;Internet Services &amp; Software;Monitors/Terminals;Other Peripherals</v>
      </c>
    </row>
    <row r="1048">
      <c r="A1048" s="6" t="str">
        <v>7J8440</v>
      </c>
      <c r="B1048" s="6" t="str">
        <v>United States</v>
      </c>
      <c r="C1048" s="6" t="str">
        <v>Google LLC</v>
      </c>
      <c r="D1048" s="6" t="str">
        <v>Alphabet Inc</v>
      </c>
      <c r="F1048" s="6" t="str">
        <v>Japan</v>
      </c>
      <c r="G1048" s="6" t="str">
        <v>ABEJA Inc</v>
      </c>
      <c r="H1048" s="6" t="str">
        <v>Business Services</v>
      </c>
      <c r="I1048" s="6" t="str">
        <v>1C7611</v>
      </c>
      <c r="J1048" s="6" t="str">
        <v>ABEJA Inc</v>
      </c>
      <c r="K1048" s="6" t="str">
        <v>ABEJA Inc</v>
      </c>
      <c r="L1048" s="7">
        <f>=DATE(2018,12,4)</f>
        <v>43437.99949074074</v>
      </c>
      <c r="M1048" s="7">
        <f>=DATE(2018,12,4)</f>
        <v>43437.99949074074</v>
      </c>
      <c r="W1048" s="6" t="str">
        <v>Internet Services &amp; Software;Programming Services</v>
      </c>
      <c r="X1048" s="6" t="str">
        <v>CAD/CAM/CAE/Graphics Systems;Internet Services &amp; Software;Computer Consulting Services;Data Processing Services;Operating Systems;Turnkey Systems;Database Software/Programming;Data Commun(Exclude networking;Workstations;Programming Services;Primary Business not Hi-Tech;Other Computer Systems;Other Computer Related Svcs;Communication/Network Software;Networking Systems (LAN,WAN)</v>
      </c>
      <c r="Y1048" s="6" t="str">
        <v>Data Processing Services;Turnkey Systems;Computer Consulting Services;Programming Services;Database Software/Programming;Networking Systems (LAN,WAN);Primary Business not Hi-Tech;Operating Systems;Data Commun(Exclude networking;Other Computer Related Svcs;Internet Services &amp; Software;Workstations;Communication/Network Software;CAD/CAM/CAE/Graphics Systems;Other Computer Systems</v>
      </c>
      <c r="Z1048" s="6" t="str">
        <v>Other Computer Related Svcs;Internet Services &amp; Software;Data Processing Services;Computer Consulting Services;Communication/Network Software;Other Computer Systems;Turnkey Systems;CAD/CAM/CAE/Graphics Systems;Workstations;Programming Services;Primary Business not Hi-Tech;Operating Systems;Data Commun(Exclude networking;Database Software/Programming;Networking Systems (LAN,WAN)</v>
      </c>
      <c r="AA1048" s="6" t="str">
        <v>Primary Business not Hi-Tech;Internet Services &amp; Software;Programming Services;Computer Consulting Services;Telecommunications Equipment</v>
      </c>
      <c r="AB1048" s="6" t="str">
        <v>Internet Services &amp; Software;Programming Services;Telecommunications Equipment;Computer Consulting Services;Primary Business not Hi-Tech</v>
      </c>
    </row>
    <row r="1049">
      <c r="A1049" s="6" t="str">
        <v>594918</v>
      </c>
      <c r="B1049" s="6" t="str">
        <v>United States</v>
      </c>
      <c r="C1049" s="6" t="str">
        <v>Microsoft Corp</v>
      </c>
      <c r="D1049" s="6" t="str">
        <v>Microsoft Corp</v>
      </c>
      <c r="F1049" s="6" t="str">
        <v>United States</v>
      </c>
      <c r="G1049" s="6" t="str">
        <v>BrightBytes Inc-DataSense Business</v>
      </c>
      <c r="H1049" s="6" t="str">
        <v>Prepackaged Software</v>
      </c>
      <c r="I1049" s="6" t="str">
        <v>9H1705</v>
      </c>
      <c r="J1049" s="6" t="str">
        <v>BrightBytes Inc</v>
      </c>
      <c r="K1049" s="6" t="str">
        <v>BrightBytes Inc</v>
      </c>
      <c r="L1049" s="7">
        <f>=DATE(2018,12,5)</f>
        <v>43438.99949074074</v>
      </c>
      <c r="M1049" s="7">
        <f>=DATE(2019,2,4)</f>
        <v>43499.99949074074</v>
      </c>
      <c r="W1049" s="6" t="str">
        <v>Applications Software(Business;Internet Services &amp; Software;Computer Consulting Services;Monitors/Terminals;Other Peripherals;Operating Systems</v>
      </c>
      <c r="X1049" s="6" t="str">
        <v>Applications Software(Business;Desktop Publishing;Communication/Network Software;Other Software (inq. Games);Utilities/File Mgmt Software;Applications Software(Home);Internet Services &amp; Software</v>
      </c>
      <c r="Y1049" s="6" t="str">
        <v>Communication/Network Software</v>
      </c>
      <c r="Z1049" s="6" t="str">
        <v>Communication/Network Software</v>
      </c>
      <c r="AA1049" s="6" t="str">
        <v>Computer Consulting Services;Monitors/Terminals;Internet Services &amp; Software;Applications Software(Business;Operating Systems;Other Peripherals</v>
      </c>
      <c r="AB1049" s="6" t="str">
        <v>Operating Systems;Applications Software(Business;Other Peripherals;Internet Services &amp; Software;Computer Consulting Services;Monitors/Terminals</v>
      </c>
    </row>
    <row r="1050">
      <c r="A1050" s="6" t="str">
        <v>7J8440</v>
      </c>
      <c r="B1050" s="6" t="str">
        <v>United States</v>
      </c>
      <c r="C1050" s="6" t="str">
        <v>Google LLC</v>
      </c>
      <c r="D1050" s="6" t="str">
        <v>Alphabet Inc</v>
      </c>
      <c r="F1050" s="6" t="str">
        <v>India</v>
      </c>
      <c r="G1050" s="6" t="str">
        <v>Sigmoid Labs Pvt Ltd</v>
      </c>
      <c r="H1050" s="6" t="str">
        <v>Business Services</v>
      </c>
      <c r="I1050" s="6" t="str">
        <v>9H0103</v>
      </c>
      <c r="J1050" s="6" t="str">
        <v>Sigmoid Labs Pvt Ltd</v>
      </c>
      <c r="K1050" s="6" t="str">
        <v>Sigmoid Labs Pvt Ltd</v>
      </c>
      <c r="L1050" s="7">
        <f>=DATE(2018,12,10)</f>
        <v>43443.99949074074</v>
      </c>
      <c r="M1050" s="7">
        <f>=DATE(2018,12,10)</f>
        <v>43443.99949074074</v>
      </c>
      <c r="W1050" s="6" t="str">
        <v>Programming Services;Internet Services &amp; Software</v>
      </c>
      <c r="X1050" s="6" t="str">
        <v>Other Computer Related Svcs;Data Processing Services;Internet Services &amp; Software;Computer Consulting Services</v>
      </c>
      <c r="Y1050" s="6" t="str">
        <v>Computer Consulting Services;Internet Services &amp; Software;Other Computer Related Svcs;Data Processing Services</v>
      </c>
      <c r="Z1050" s="6" t="str">
        <v>Other Computer Related Svcs;Internet Services &amp; Software;Computer Consulting Services;Data Processing Services</v>
      </c>
      <c r="AA1050" s="6" t="str">
        <v>Primary Business not Hi-Tech;Internet Services &amp; Software;Programming Services;Computer Consulting Services;Telecommunications Equipment</v>
      </c>
      <c r="AB1050" s="6" t="str">
        <v>Programming Services;Telecommunications Equipment;Primary Business not Hi-Tech;Internet Services &amp; Software;Computer Consulting Services</v>
      </c>
      <c r="AD1050" s="7">
        <f>=DATE(2018,12,10)</f>
        <v>43443.99949074074</v>
      </c>
    </row>
    <row r="1051">
      <c r="A1051" s="6" t="str">
        <v>9H1420</v>
      </c>
      <c r="B1051" s="6" t="str">
        <v>United States</v>
      </c>
      <c r="C1051" s="6" t="str">
        <v>Google Cloud Platform</v>
      </c>
      <c r="D1051" s="6" t="str">
        <v>Alphabet Inc</v>
      </c>
      <c r="F1051" s="6" t="str">
        <v>United States</v>
      </c>
      <c r="G1051" s="6" t="str">
        <v>DevOps Research &amp; Assessment LLC</v>
      </c>
      <c r="H1051" s="6" t="str">
        <v>Prepackaged Software</v>
      </c>
      <c r="I1051" s="6" t="str">
        <v>9H6933</v>
      </c>
      <c r="J1051" s="6" t="str">
        <v>DevOps Research &amp; Assessment LLC</v>
      </c>
      <c r="K1051" s="6" t="str">
        <v>DevOps Research &amp; Assessment LLC</v>
      </c>
      <c r="L1051" s="7">
        <f>=DATE(2018,12,20)</f>
        <v>43453.99949074074</v>
      </c>
      <c r="M1051" s="7">
        <f>=DATE(2018,12,20)</f>
        <v>43453.99949074074</v>
      </c>
      <c r="W1051" s="6" t="str">
        <v>Other Software (inq. Games)</v>
      </c>
      <c r="X1051" s="6" t="str">
        <v>Communication/Network Software;Other Software (inq. Games);Data Processing Services</v>
      </c>
      <c r="Y1051" s="6" t="str">
        <v>Other Software (inq. Games);Communication/Network Software;Data Processing Services</v>
      </c>
      <c r="Z1051" s="6" t="str">
        <v>Communication/Network Software;Other Software (inq. Games);Data Processing Services</v>
      </c>
      <c r="AA1051" s="6" t="str">
        <v>Internet Services &amp; Software;Programming Services</v>
      </c>
      <c r="AB1051" s="6" t="str">
        <v>Internet Services &amp; Software;Programming Services;Primary Business not Hi-Tech;Computer Consulting Services;Telecommunications Equipment</v>
      </c>
    </row>
    <row r="1052">
      <c r="A1052" s="6" t="str">
        <v>4C7902</v>
      </c>
      <c r="B1052" s="6" t="str">
        <v>United States</v>
      </c>
      <c r="C1052" s="6" t="str">
        <v>Amazon Web Services Inc</v>
      </c>
      <c r="D1052" s="6" t="str">
        <v>Amazon.com Inc</v>
      </c>
      <c r="F1052" s="6" t="str">
        <v>Canada</v>
      </c>
      <c r="G1052" s="6" t="str">
        <v>TSO Logic Inc</v>
      </c>
      <c r="H1052" s="6" t="str">
        <v>Prepackaged Software</v>
      </c>
      <c r="I1052" s="6" t="str">
        <v>0J9104</v>
      </c>
      <c r="J1052" s="6" t="str">
        <v>TSO Logic Inc</v>
      </c>
      <c r="K1052" s="6" t="str">
        <v>TSO Logic Inc</v>
      </c>
      <c r="L1052" s="7">
        <f>=DATE(2018,12,21)</f>
        <v>43454.99949074074</v>
      </c>
      <c r="M1052" s="7">
        <f>=DATE(2018,12,21)</f>
        <v>43454.99949074074</v>
      </c>
      <c r="W1052" s="6" t="str">
        <v>Data Processing Services;Internet Services &amp; Software;Other Computer Related Svcs;Primary Business not Hi-Tech;Computer Consulting Services</v>
      </c>
      <c r="X1052" s="6" t="str">
        <v>Utilities/File Mgmt Software;Desktop Publishing;Applications Software(Business;Internet Services &amp; Software;Applications Software(Home);Other Software (inq. Games);Communication/Network Software</v>
      </c>
      <c r="Y1052" s="6" t="str">
        <v>Applications Software(Business;Applications Software(Home);Desktop Publishing;Other Software (inq. Games);Internet Services &amp; Software;Communication/Network Software;Utilities/File Mgmt Software</v>
      </c>
      <c r="Z1052" s="6" t="str">
        <v>Other Software (inq. Games);Applications Software(Business;Utilities/File Mgmt Software;Applications Software(Home);Desktop Publishing;Communication/Network Software;Internet Services &amp; Software</v>
      </c>
      <c r="AA1052" s="6" t="str">
        <v>Primary Business not Hi-Tech</v>
      </c>
      <c r="AB1052" s="6" t="str">
        <v>Primary Business not Hi-Tech</v>
      </c>
    </row>
    <row r="1053">
      <c r="A1053" s="6" t="str">
        <v>037833</v>
      </c>
      <c r="B1053" s="6" t="str">
        <v>United States</v>
      </c>
      <c r="C1053" s="6" t="str">
        <v>Apple Inc</v>
      </c>
      <c r="D1053" s="6" t="str">
        <v>Apple Inc</v>
      </c>
      <c r="F1053" s="6" t="str">
        <v>United States</v>
      </c>
      <c r="G1053" s="6" t="str">
        <v>Laserlike Inc</v>
      </c>
      <c r="H1053" s="6" t="str">
        <v>Prepackaged Software</v>
      </c>
      <c r="I1053" s="6" t="str">
        <v>8K6178</v>
      </c>
      <c r="J1053" s="6" t="str">
        <v>Laserlike Inc</v>
      </c>
      <c r="K1053" s="6" t="str">
        <v>Laserlike Inc</v>
      </c>
      <c r="L1053" s="7">
        <f>=DATE(2018,12,31)</f>
        <v>43464.99949074074</v>
      </c>
      <c r="M1053" s="7">
        <f>=DATE(2018,12,31)</f>
        <v>43464.99949074074</v>
      </c>
      <c r="W1053" s="6" t="str">
        <v>Printers;Portable Computers;Disk Drives;Other Software (inq. Games);Micro-Computers (PCs);Monitors/Terminals;Mainframes &amp; Super Computers;Other Peripherals</v>
      </c>
      <c r="X1053" s="6" t="str">
        <v>Other Software (inq. Games)</v>
      </c>
      <c r="Y1053" s="6" t="str">
        <v>Other Software (inq. Games)</v>
      </c>
      <c r="Z1053" s="6" t="str">
        <v>Other Software (inq. Games)</v>
      </c>
      <c r="AA1053" s="6" t="str">
        <v>Monitors/Terminals;Mainframes &amp; Super Computers;Other Peripherals;Micro-Computers (PCs);Printers;Portable Computers;Disk Drives;Other Software (inq. Games)</v>
      </c>
      <c r="AB1053" s="6" t="str">
        <v>Micro-Computers (PCs);Other Software (inq. Games);Other Peripherals;Mainframes &amp; Super Computers;Disk Drives;Monitors/Terminals;Portable Computers;Printers</v>
      </c>
    </row>
    <row r="1054">
      <c r="A1054" s="6" t="str">
        <v>4C7902</v>
      </c>
      <c r="B1054" s="6" t="str">
        <v>United States</v>
      </c>
      <c r="C1054" s="6" t="str">
        <v>Amazon Web Services Inc</v>
      </c>
      <c r="D1054" s="6" t="str">
        <v>Amazon.com Inc</v>
      </c>
      <c r="F1054" s="6" t="str">
        <v>Israel</v>
      </c>
      <c r="G1054" s="6" t="str">
        <v>Cloudendure Ltd</v>
      </c>
      <c r="H1054" s="6" t="str">
        <v>Business Services</v>
      </c>
      <c r="I1054" s="6" t="str">
        <v>0J9252</v>
      </c>
      <c r="J1054" s="6" t="str">
        <v>Cloudendure Ltd</v>
      </c>
      <c r="K1054" s="6" t="str">
        <v>Cloudendure Ltd</v>
      </c>
      <c r="L1054" s="7">
        <f>=DATE(2019,1,10)</f>
        <v>43474.99949074074</v>
      </c>
      <c r="M1054" s="7">
        <f>=DATE(2019,1,10)</f>
        <v>43474.99949074074</v>
      </c>
      <c r="W1054" s="6" t="str">
        <v>Internet Services &amp; Software;Computer Consulting Services;Other Computer Related Svcs;Primary Business not Hi-Tech;Data Processing Services</v>
      </c>
      <c r="X1054" s="6" t="str">
        <v>Networking Systems (LAN,WAN);Operating Systems;Turnkey Systems;Other Computer Related Svcs;Applications Software(Business;Data Processing Services;Other Software (inq. Games);Computer Consulting Services;Primary Business not Hi-Tech;Utilities/File Mgmt Software;Communication/Network Software;Internet Services &amp; Software;Applications Software(Home);Desktop Publishing;Data Commun(Exclude networking;Workstations;Other Computer Systems;CAD/CAM/CAE/Graphics Systems</v>
      </c>
      <c r="Y1054" s="6" t="str">
        <v>Desktop Publishing;Networking Systems (LAN,WAN);Other Computer Systems;Operating Systems;Data Processing Services;Applications Software(Business;Applications Software(Home);Internet Services &amp; Software;Communication/Network Software;Turnkey Systems;Workstations;Data Commun(Exclude networking;Utilities/File Mgmt Software;Other Software (inq. Games);Computer Consulting Services;Primary Business not Hi-Tech;CAD/CAM/CAE/Graphics Systems;Other Computer Related Svcs</v>
      </c>
      <c r="Z1054" s="6" t="str">
        <v>Data Processing Services;Workstations;Networking Systems (LAN,WAN);Computer Consulting Services;Other Computer Systems;Applications Software(Business;Utilities/File Mgmt Software;Communication/Network Software;CAD/CAM/CAE/Graphics Systems;Desktop Publishing;Internet Services &amp; Software;Applications Software(Home);Operating Systems;Turnkey Systems;Other Software (inq. Games);Other Computer Related Svcs;Data Commun(Exclude networking;Primary Business not Hi-Tech</v>
      </c>
      <c r="AA1054" s="6" t="str">
        <v>Primary Business not Hi-Tech</v>
      </c>
      <c r="AB1054" s="6" t="str">
        <v>Primary Business not Hi-Tech</v>
      </c>
      <c r="AD1054" s="7">
        <f>=DATE(2019,1,10)</f>
        <v>43474.99949074074</v>
      </c>
    </row>
    <row r="1055">
      <c r="A1055" s="6" t="str">
        <v>594918</v>
      </c>
      <c r="B1055" s="6" t="str">
        <v>United States</v>
      </c>
      <c r="C1055" s="6" t="str">
        <v>Microsoft Corp</v>
      </c>
      <c r="D1055" s="6" t="str">
        <v>Microsoft Corp</v>
      </c>
      <c r="F1055" s="6" t="str">
        <v>United States</v>
      </c>
      <c r="G1055" s="6" t="str">
        <v>Citus Data Inc</v>
      </c>
      <c r="H1055" s="6" t="str">
        <v>Prepackaged Software</v>
      </c>
      <c r="I1055" s="6" t="str">
        <v>0J1910</v>
      </c>
      <c r="J1055" s="6" t="str">
        <v>Citus Data Inc</v>
      </c>
      <c r="K1055" s="6" t="str">
        <v>Citus Data Inc</v>
      </c>
      <c r="L1055" s="7">
        <f>=DATE(2019,1,24)</f>
        <v>43488.99949074074</v>
      </c>
      <c r="M1055" s="7">
        <f>=DATE(2019,1,24)</f>
        <v>43488.99949074074</v>
      </c>
      <c r="W1055" s="6" t="str">
        <v>Computer Consulting Services;Internet Services &amp; Software;Other Peripherals;Applications Software(Business;Operating Systems;Monitors/Terminals</v>
      </c>
      <c r="X1055" s="6" t="str">
        <v>Communication/Network Software;Utilities/File Mgmt Software;Internet Services &amp; Software;Applications Software(Home);Desktop Publishing;Applications Software(Business</v>
      </c>
      <c r="Y1055" s="6" t="str">
        <v>Internet Services &amp; Software;Applications Software(Business;Utilities/File Mgmt Software;Applications Software(Home);Desktop Publishing;Communication/Network Software</v>
      </c>
      <c r="Z1055" s="6" t="str">
        <v>Utilities/File Mgmt Software;Applications Software(Home);Desktop Publishing;Applications Software(Business;Internet Services &amp; Software;Communication/Network Software</v>
      </c>
      <c r="AA1055" s="6" t="str">
        <v>Operating Systems;Internet Services &amp; Software;Other Peripherals;Applications Software(Business;Computer Consulting Services;Monitors/Terminals</v>
      </c>
      <c r="AB1055" s="6" t="str">
        <v>Internet Services &amp; Software;Computer Consulting Services;Monitors/Terminals;Operating Systems;Applications Software(Business;Other Peripherals</v>
      </c>
    </row>
    <row r="1056">
      <c r="A1056" s="6" t="str">
        <v>00507V</v>
      </c>
      <c r="B1056" s="6" t="str">
        <v>United States</v>
      </c>
      <c r="C1056" s="6" t="str">
        <v>Activision Blizzard Inc</v>
      </c>
      <c r="D1056" s="6" t="str">
        <v>Activision Blizzard Inc</v>
      </c>
      <c r="F1056" s="6" t="str">
        <v>United States</v>
      </c>
      <c r="G1056" s="6" t="str">
        <v>Activision Blizzard Inc</v>
      </c>
      <c r="H1056" s="6" t="str">
        <v>Prepackaged Software</v>
      </c>
      <c r="I1056" s="6" t="str">
        <v>00507V</v>
      </c>
      <c r="J1056" s="6" t="str">
        <v>Activision Blizzard Inc</v>
      </c>
      <c r="K1056" s="6" t="str">
        <v>Activision Blizzard Inc</v>
      </c>
      <c r="L1056" s="7">
        <f>=DATE(2019,1,31)</f>
        <v>43495.99949074074</v>
      </c>
      <c r="N1056" s="8">
        <v>1500</v>
      </c>
      <c r="O1056" s="8">
        <v>1500</v>
      </c>
      <c r="R1056" s="8">
        <v>1528</v>
      </c>
      <c r="S1056" s="8">
        <v>7500</v>
      </c>
      <c r="T1056" s="8">
        <v>-2020</v>
      </c>
      <c r="U1056" s="8">
        <v>-230</v>
      </c>
      <c r="V1056" s="8">
        <v>1790</v>
      </c>
      <c r="W1056" s="6" t="str">
        <v>Other Computer Systems;Other Software (inq. Games);Operating Systems</v>
      </c>
      <c r="X1056" s="6" t="str">
        <v>Other Computer Systems;Operating Systems;Other Software (inq. Games)</v>
      </c>
      <c r="Y1056" s="6" t="str">
        <v>Other Software (inq. Games);Operating Systems;Other Computer Systems</v>
      </c>
      <c r="Z1056" s="6" t="str">
        <v>Other Software (inq. Games);Other Computer Systems;Operating Systems</v>
      </c>
      <c r="AA1056" s="6" t="str">
        <v>Other Software (inq. Games);Operating Systems;Other Computer Systems</v>
      </c>
      <c r="AB1056" s="6" t="str">
        <v>Operating Systems;Other Computer Systems;Other Software (inq. Games)</v>
      </c>
      <c r="AC1056" s="8">
        <v>1500</v>
      </c>
      <c r="AD1056" s="7">
        <f>=DATE(2019,1,31)</f>
        <v>43495.99949074074</v>
      </c>
      <c r="AL1056" s="8">
        <v>1500</v>
      </c>
    </row>
    <row r="1057">
      <c r="A1057" s="6" t="str">
        <v>037833</v>
      </c>
      <c r="B1057" s="6" t="str">
        <v>United States</v>
      </c>
      <c r="C1057" s="6" t="str">
        <v>Apple Inc</v>
      </c>
      <c r="D1057" s="6" t="str">
        <v>Apple Inc</v>
      </c>
      <c r="F1057" s="6" t="str">
        <v>United States</v>
      </c>
      <c r="G1057" s="6" t="str">
        <v>Apple Inc</v>
      </c>
      <c r="H1057" s="6" t="str">
        <v>Computer and Office Equipment</v>
      </c>
      <c r="I1057" s="6" t="str">
        <v>037833</v>
      </c>
      <c r="J1057" s="6" t="str">
        <v>Apple Inc</v>
      </c>
      <c r="K1057" s="6" t="str">
        <v>Apple Inc</v>
      </c>
      <c r="L1057" s="7">
        <f>=DATE(2019,2,3)</f>
        <v>43498.99949074074</v>
      </c>
      <c r="M1057" s="7">
        <f>=DATE(2019,8,31)</f>
        <v>43707.99949074074</v>
      </c>
      <c r="N1057" s="8">
        <v>12000</v>
      </c>
      <c r="O1057" s="8">
        <v>12000</v>
      </c>
      <c r="R1057" s="8">
        <v>58331</v>
      </c>
      <c r="S1057" s="8">
        <v>261612</v>
      </c>
      <c r="T1057" s="8">
        <v>-94051</v>
      </c>
      <c r="U1057" s="8">
        <v>35500</v>
      </c>
      <c r="V1057" s="8">
        <v>75831</v>
      </c>
      <c r="W1057" s="6" t="str">
        <v>Printers;Mainframes &amp; Super Computers;Other Peripherals;Monitors/Terminals;Portable Computers;Micro-Computers (PCs);Disk Drives;Other Software (inq. Games)</v>
      </c>
      <c r="X1057" s="6" t="str">
        <v>Portable Computers;Other Software (inq. Games);Disk Drives;Micro-Computers (PCs);Printers;Monitors/Terminals;Other Peripherals;Mainframes &amp; Super Computers</v>
      </c>
      <c r="Y1057" s="6" t="str">
        <v>Printers;Other Software (inq. Games);Monitors/Terminals;Disk Drives;Mainframes &amp; Super Computers;Other Peripherals;Micro-Computers (PCs);Portable Computers</v>
      </c>
      <c r="Z1057" s="6" t="str">
        <v>Monitors/Terminals;Mainframes &amp; Super Computers;Other Peripherals;Printers;Micro-Computers (PCs);Disk Drives;Other Software (inq. Games);Portable Computers</v>
      </c>
      <c r="AA1057" s="6" t="str">
        <v>Printers;Monitors/Terminals;Mainframes &amp; Super Computers;Disk Drives;Other Software (inq. Games);Portable Computers;Other Peripherals;Micro-Computers (PCs)</v>
      </c>
      <c r="AB1057" s="6" t="str">
        <v>Other Peripherals;Monitors/Terminals;Portable Computers;Printers;Mainframes &amp; Super Computers;Other Software (inq. Games);Disk Drives;Micro-Computers (PCs)</v>
      </c>
      <c r="AC1057" s="8">
        <v>12000</v>
      </c>
      <c r="AD1057" s="7">
        <f>=DATE(2019,2,2)</f>
        <v>43497.99949074074</v>
      </c>
      <c r="AJ1057" s="8" t="str">
        <v>12,000.00</v>
      </c>
      <c r="AK1057" s="6" t="str">
        <v>US Dollar</v>
      </c>
      <c r="AL1057" s="8">
        <v>12000</v>
      </c>
    </row>
    <row r="1058">
      <c r="A1058" s="6" t="str">
        <v>30303M</v>
      </c>
      <c r="B1058" s="6" t="str">
        <v>United States</v>
      </c>
      <c r="C1058" s="6" t="str">
        <v>Facebook Inc</v>
      </c>
      <c r="D1058" s="6" t="str">
        <v>Facebook Inc</v>
      </c>
      <c r="F1058" s="6" t="str">
        <v>United States</v>
      </c>
      <c r="G1058" s="6" t="str">
        <v>Grokstyle Inc</v>
      </c>
      <c r="H1058" s="6" t="str">
        <v>Prepackaged Software</v>
      </c>
      <c r="I1058" s="6" t="str">
        <v>0J8368</v>
      </c>
      <c r="J1058" s="6" t="str">
        <v>Grokstyle Inc</v>
      </c>
      <c r="K1058" s="6" t="str">
        <v>Grokstyle Inc</v>
      </c>
      <c r="L1058" s="7">
        <f>=DATE(2019,2,8)</f>
        <v>43503.99949074074</v>
      </c>
      <c r="M1058" s="7">
        <f>=DATE(2019,2,8)</f>
        <v>43503.99949074074</v>
      </c>
      <c r="W1058" s="6" t="str">
        <v>Internet Services &amp; Software</v>
      </c>
      <c r="X1058" s="6" t="str">
        <v>Internet Services &amp; Software;Primary Business not Hi-Tech;Communication/Network Software;Other Software (inq. Games);Applications Software(Business;Desktop Publishing;Utilities/File Mgmt Software;Applications Software(Home)</v>
      </c>
      <c r="Y1058" s="6" t="str">
        <v>Other Software (inq. Games);Applications Software(Home);Desktop Publishing;Communication/Network Software;Primary Business not Hi-Tech;Applications Software(Business;Utilities/File Mgmt Software;Internet Services &amp; Software</v>
      </c>
      <c r="Z1058" s="6" t="str">
        <v>Applications Software(Home);Desktop Publishing;Applications Software(Business;Communication/Network Software;Utilities/File Mgmt Software;Other Software (inq. Games);Primary Business not Hi-Tech;Internet Services &amp; Software</v>
      </c>
      <c r="AA1058" s="6" t="str">
        <v>Internet Services &amp; Software</v>
      </c>
      <c r="AB1058" s="6" t="str">
        <v>Internet Services &amp; Software</v>
      </c>
    </row>
    <row r="1059">
      <c r="A1059" s="6" t="str">
        <v>3F8100</v>
      </c>
      <c r="B1059" s="6" t="str">
        <v>United States</v>
      </c>
      <c r="C1059" s="6" t="str">
        <v>GV Management Co LLC</v>
      </c>
      <c r="D1059" s="6" t="str">
        <v>Alphabet Inc</v>
      </c>
      <c r="F1059" s="6" t="str">
        <v>United States</v>
      </c>
      <c r="G1059" s="6" t="str">
        <v>Farmers Business Network Inc</v>
      </c>
      <c r="H1059" s="6" t="str">
        <v>Prepackaged Software</v>
      </c>
      <c r="I1059" s="6" t="str">
        <v>9H3927</v>
      </c>
      <c r="J1059" s="6" t="str">
        <v>Farmers Business Network Inc</v>
      </c>
      <c r="K1059" s="6" t="str">
        <v>Farmers Business Network Inc</v>
      </c>
      <c r="L1059" s="7">
        <f>=DATE(2019,2,11)</f>
        <v>43506.99949074074</v>
      </c>
      <c r="M1059" s="7">
        <f>=DATE(2019,2,11)</f>
        <v>43506.99949074074</v>
      </c>
      <c r="W1059" s="6" t="str">
        <v>Primary Business not Hi-Tech</v>
      </c>
      <c r="X1059" s="6" t="str">
        <v>Other Software (inq. Games);Utilities/File Mgmt Software;Applications Software(Home);Communication/Network Software;Applications Software(Business;Desktop Publishing;Internet Services &amp; Software</v>
      </c>
      <c r="Y1059" s="6" t="str">
        <v>Applications Software(Home);Other Software (inq. Games);Internet Services &amp; Software;Applications Software(Business;Desktop Publishing;Communication/Network Software;Utilities/File Mgmt Software</v>
      </c>
      <c r="Z1059" s="6" t="str">
        <v>Other Software (inq. Games);Desktop Publishing;Applications Software(Home);Communication/Network Software;Utilities/File Mgmt Software;Internet Services &amp; Software;Applications Software(Business</v>
      </c>
      <c r="AA1059" s="6" t="str">
        <v>Internet Services &amp; Software;Programming Services</v>
      </c>
      <c r="AB1059" s="6" t="str">
        <v>Telecommunications Equipment;Programming Services;Primary Business not Hi-Tech;Internet Services &amp; Software;Computer Consulting Services</v>
      </c>
    </row>
    <row r="1060">
      <c r="A1060" s="6" t="str">
        <v>023135</v>
      </c>
      <c r="B1060" s="6" t="str">
        <v>United States</v>
      </c>
      <c r="C1060" s="6" t="str">
        <v>Amazon.com Inc</v>
      </c>
      <c r="D1060" s="6" t="str">
        <v>Amazon.com Inc</v>
      </c>
      <c r="F1060" s="6" t="str">
        <v>United States</v>
      </c>
      <c r="G1060" s="6" t="str">
        <v>Eero Inc</v>
      </c>
      <c r="H1060" s="6" t="str">
        <v>Telecommunications</v>
      </c>
      <c r="I1060" s="6" t="str">
        <v>9H4625</v>
      </c>
      <c r="J1060" s="6" t="str">
        <v>Eero Inc</v>
      </c>
      <c r="K1060" s="6" t="str">
        <v>Eero Inc</v>
      </c>
      <c r="L1060" s="7">
        <f>=DATE(2019,2,11)</f>
        <v>43506.99949074074</v>
      </c>
      <c r="W1060" s="6" t="str">
        <v>Primary Business not Hi-Tech</v>
      </c>
      <c r="X1060" s="6" t="str">
        <v>Primary Business not Hi-Tech;Satellite Communications;Telecommunications Equipment</v>
      </c>
      <c r="Y1060" s="6" t="str">
        <v>Primary Business not Hi-Tech;Satellite Communications;Telecommunications Equipment</v>
      </c>
      <c r="Z1060" s="6" t="str">
        <v>Satellite Communications;Telecommunications Equipment;Primary Business not Hi-Tech</v>
      </c>
      <c r="AA1060" s="6" t="str">
        <v>Primary Business not Hi-Tech</v>
      </c>
      <c r="AB1060" s="6" t="str">
        <v>Primary Business not Hi-Tech</v>
      </c>
    </row>
    <row r="1061">
      <c r="A1061" s="6" t="str">
        <v>037833</v>
      </c>
      <c r="B1061" s="6" t="str">
        <v>United States</v>
      </c>
      <c r="C1061" s="6" t="str">
        <v>Apple Inc</v>
      </c>
      <c r="D1061" s="6" t="str">
        <v>Apple Inc</v>
      </c>
      <c r="F1061" s="6" t="str">
        <v>United Kingdom</v>
      </c>
      <c r="G1061" s="6" t="str">
        <v>Operatedata Ltd</v>
      </c>
      <c r="H1061" s="6" t="str">
        <v>Business Services</v>
      </c>
      <c r="I1061" s="6" t="str">
        <v>1J9879</v>
      </c>
      <c r="J1061" s="6" t="str">
        <v>Operatedata Ltd</v>
      </c>
      <c r="K1061" s="6" t="str">
        <v>Operatedata Ltd</v>
      </c>
      <c r="L1061" s="7">
        <f>=DATE(2019,2,14)</f>
        <v>43509.99949074074</v>
      </c>
      <c r="M1061" s="7">
        <f>=DATE(2019,2,14)</f>
        <v>43509.99949074074</v>
      </c>
      <c r="W1061" s="6" t="str">
        <v>Disk Drives;Micro-Computers (PCs);Monitors/Terminals;Other Peripherals;Printers;Portable Computers;Other Software (inq. Games);Mainframes &amp; Super Computers</v>
      </c>
      <c r="X1061" s="6" t="str">
        <v>Other Software (inq. Games);Data Processing Services;Computer Consulting Services;Other Computer Related Svcs</v>
      </c>
      <c r="Y1061" s="6" t="str">
        <v>Other Computer Related Svcs;Other Software (inq. Games);Computer Consulting Services;Data Processing Services</v>
      </c>
      <c r="Z1061" s="6" t="str">
        <v>Computer Consulting Services;Other Software (inq. Games);Data Processing Services;Other Computer Related Svcs</v>
      </c>
      <c r="AA1061" s="6" t="str">
        <v>Disk Drives;Other Peripherals;Micro-Computers (PCs);Portable Computers;Monitors/Terminals;Printers;Mainframes &amp; Super Computers;Other Software (inq. Games)</v>
      </c>
      <c r="AB1061" s="6" t="str">
        <v>Other Software (inq. Games);Micro-Computers (PCs);Disk Drives;Other Peripherals;Mainframes &amp; Super Computers;Portable Computers;Monitors/Terminals;Printers</v>
      </c>
    </row>
    <row r="1062">
      <c r="A1062" s="6" t="str">
        <v>037833</v>
      </c>
      <c r="B1062" s="6" t="str">
        <v>United States</v>
      </c>
      <c r="C1062" s="6" t="str">
        <v>Apple Inc</v>
      </c>
      <c r="D1062" s="6" t="str">
        <v>Apple Inc</v>
      </c>
      <c r="F1062" s="6" t="str">
        <v>United States</v>
      </c>
      <c r="G1062" s="6" t="str">
        <v>PullString Inc</v>
      </c>
      <c r="H1062" s="6" t="str">
        <v>Prepackaged Software</v>
      </c>
      <c r="I1062" s="6" t="str">
        <v>0J9908</v>
      </c>
      <c r="J1062" s="6" t="str">
        <v>PullString Inc</v>
      </c>
      <c r="K1062" s="6" t="str">
        <v>PullString Inc</v>
      </c>
      <c r="L1062" s="7">
        <f>=DATE(2019,2,16)</f>
        <v>43511.99949074074</v>
      </c>
      <c r="M1062" s="7">
        <f>=DATE(2019,2,16)</f>
        <v>43511.99949074074</v>
      </c>
      <c r="W1062" s="6" t="str">
        <v>Other Peripherals;Printers;Mainframes &amp; Super Computers;Micro-Computers (PCs);Disk Drives;Other Software (inq. Games);Monitors/Terminals;Portable Computers</v>
      </c>
      <c r="X1062" s="6" t="str">
        <v>Other Software (inq. Games)</v>
      </c>
      <c r="Y1062" s="6" t="str">
        <v>Other Software (inq. Games)</v>
      </c>
      <c r="Z1062" s="6" t="str">
        <v>Other Software (inq. Games)</v>
      </c>
      <c r="AA1062" s="6" t="str">
        <v>Micro-Computers (PCs);Portable Computers;Disk Drives;Monitors/Terminals;Mainframes &amp; Super Computers;Other Software (inq. Games);Printers;Other Peripherals</v>
      </c>
      <c r="AB1062" s="6" t="str">
        <v>Mainframes &amp; Super Computers;Other Software (inq. Games);Micro-Computers (PCs);Printers;Monitors/Terminals;Portable Computers;Other Peripherals;Disk Drives</v>
      </c>
    </row>
    <row r="1063">
      <c r="A1063" s="6" t="str">
        <v>9H1420</v>
      </c>
      <c r="B1063" s="6" t="str">
        <v>United States</v>
      </c>
      <c r="C1063" s="6" t="str">
        <v>Google Cloud Platform</v>
      </c>
      <c r="D1063" s="6" t="str">
        <v>Alphabet Inc</v>
      </c>
      <c r="F1063" s="6" t="str">
        <v>United States</v>
      </c>
      <c r="G1063" s="6" t="str">
        <v>Alooma Inc</v>
      </c>
      <c r="H1063" s="6" t="str">
        <v>Prepackaged Software</v>
      </c>
      <c r="I1063" s="6" t="str">
        <v>0J9924</v>
      </c>
      <c r="J1063" s="6" t="str">
        <v>Alooma Inc</v>
      </c>
      <c r="K1063" s="6" t="str">
        <v>Alooma Inc</v>
      </c>
      <c r="L1063" s="7">
        <f>=DATE(2019,2,19)</f>
        <v>43514.99949074074</v>
      </c>
      <c r="M1063" s="7">
        <f>=DATE(2019,2,19)</f>
        <v>43514.99949074074</v>
      </c>
      <c r="W1063" s="6" t="str">
        <v>Other Software (inq. Games)</v>
      </c>
      <c r="X1063" s="6" t="str">
        <v>Other Software (inq. Games)</v>
      </c>
      <c r="Y1063" s="6" t="str">
        <v>Other Software (inq. Games)</v>
      </c>
      <c r="Z1063" s="6" t="str">
        <v>Other Software (inq. Games)</v>
      </c>
      <c r="AA1063" s="6" t="str">
        <v>Programming Services;Internet Services &amp; Software</v>
      </c>
      <c r="AB1063" s="6" t="str">
        <v>Programming Services;Primary Business not Hi-Tech;Internet Services &amp; Software;Telecommunications Equipment;Computer Consulting Services</v>
      </c>
      <c r="AD1063" s="7">
        <f>=DATE(2019,2,19)</f>
        <v>43514.99949074074</v>
      </c>
    </row>
    <row r="1064">
      <c r="A1064" s="6" t="str">
        <v>037833</v>
      </c>
      <c r="B1064" s="6" t="str">
        <v>United States</v>
      </c>
      <c r="C1064" s="6" t="str">
        <v>Apple Inc</v>
      </c>
      <c r="D1064" s="6" t="str">
        <v>Apple Inc</v>
      </c>
      <c r="F1064" s="6" t="str">
        <v>United Kingdom</v>
      </c>
      <c r="G1064" s="6" t="str">
        <v>Stamplay Ltd</v>
      </c>
      <c r="H1064" s="6" t="str">
        <v>Business Services</v>
      </c>
      <c r="I1064" s="6" t="str">
        <v>1J9928</v>
      </c>
      <c r="J1064" s="6" t="str">
        <v>Stamplay Ltd</v>
      </c>
      <c r="K1064" s="6" t="str">
        <v>Stamplay Ltd</v>
      </c>
      <c r="L1064" s="7">
        <f>=DATE(2019,3,22)</f>
        <v>43545.99949074074</v>
      </c>
      <c r="M1064" s="7">
        <f>=DATE(2019,3,22)</f>
        <v>43545.99949074074</v>
      </c>
      <c r="N1064" s="8">
        <v>5.63995019332853</v>
      </c>
      <c r="O1064" s="8">
        <v>5.63995019332853</v>
      </c>
      <c r="W1064" s="6" t="str">
        <v>Disk Drives;Other Peripherals;Micro-Computers (PCs);Printers;Monitors/Terminals;Other Software (inq. Games);Mainframes &amp; Super Computers;Portable Computers</v>
      </c>
      <c r="X1064" s="6" t="str">
        <v>Internet Services &amp; Software;Applications Software(Business;Database Software/Programming;Programming Services;Other Software (inq. Games);Applications Software(Home);Desktop Publishing;Utilities/File Mgmt Software;Communication/Network Software</v>
      </c>
      <c r="Y1064" s="6" t="str">
        <v>Database Software/Programming;Applications Software(Home);Desktop Publishing;Applications Software(Business;Communication/Network Software;Programming Services;Utilities/File Mgmt Software;Other Software (inq. Games);Internet Services &amp; Software</v>
      </c>
      <c r="Z1064" s="6" t="str">
        <v>Programming Services;Applications Software(Business;Database Software/Programming;Communication/Network Software;Utilities/File Mgmt Software;Desktop Publishing;Applications Software(Home);Internet Services &amp; Software;Other Software (inq. Games)</v>
      </c>
      <c r="AA1064" s="6" t="str">
        <v>Monitors/Terminals;Portable Computers;Mainframes &amp; Super Computers;Disk Drives;Other Software (inq. Games);Printers;Micro-Computers (PCs);Other Peripherals</v>
      </c>
      <c r="AB1064" s="6" t="str">
        <v>Micro-Computers (PCs);Printers;Other Peripherals;Portable Computers;Monitors/Terminals;Disk Drives;Mainframes &amp; Super Computers;Other Software (inq. Games)</v>
      </c>
      <c r="AC1064" s="8">
        <v>5.63995019332853</v>
      </c>
      <c r="AD1064" s="7">
        <f>=DATE(2019,3,22)</f>
        <v>43545.99949074074</v>
      </c>
      <c r="AL1064" s="8">
        <v>5.63995019332853</v>
      </c>
    </row>
    <row r="1065">
      <c r="A1065" s="6" t="str">
        <v>023135</v>
      </c>
      <c r="B1065" s="6" t="str">
        <v>United States</v>
      </c>
      <c r="C1065" s="6" t="str">
        <v>Amazon.com Inc</v>
      </c>
      <c r="D1065" s="6" t="str">
        <v>Amazon.com Inc</v>
      </c>
      <c r="F1065" s="6" t="str">
        <v>United States</v>
      </c>
      <c r="G1065" s="6" t="str">
        <v>Canvas Technology LLC</v>
      </c>
      <c r="H1065" s="6" t="str">
        <v>Business Services</v>
      </c>
      <c r="I1065" s="6" t="str">
        <v>2J7601</v>
      </c>
      <c r="J1065" s="6" t="str">
        <v>Canvas Technology LLC</v>
      </c>
      <c r="K1065" s="6" t="str">
        <v>Canvas Technology LLC</v>
      </c>
      <c r="L1065" s="7">
        <f>=DATE(2019,4,10)</f>
        <v>43564.99949074074</v>
      </c>
      <c r="M1065" s="7">
        <f>=DATE(2019,4,10)</f>
        <v>43564.99949074074</v>
      </c>
      <c r="W1065" s="6" t="str">
        <v>Primary Business not Hi-Tech</v>
      </c>
      <c r="X1065" s="6" t="str">
        <v>Other Computer Systems;Operating Systems;Communication/Network Software;Turnkey Systems;Computer Consulting Services;Internet Services &amp; Software;Data Commun(Exclude networking;Workstations;CAD/CAM/CAE/Graphics Systems;Other Computer Related Svcs;Networking Systems (LAN,WAN)</v>
      </c>
      <c r="Y1065" s="6" t="str">
        <v>Turnkey Systems;Workstations;Other Computer Systems;Operating Systems;Other Computer Related Svcs;CAD/CAM/CAE/Graphics Systems;Internet Services &amp; Software;Data Commun(Exclude networking;Communication/Network Software;Computer Consulting Services;Networking Systems (LAN,WAN)</v>
      </c>
      <c r="Z1065" s="6" t="str">
        <v>Communication/Network Software;CAD/CAM/CAE/Graphics Systems;Turnkey Systems;Workstations;Other Computer Related Svcs;Operating Systems;Internet Services &amp; Software;Computer Consulting Services;Networking Systems (LAN,WAN);Data Commun(Exclude networking;Other Computer Systems</v>
      </c>
      <c r="AA1065" s="6" t="str">
        <v>Primary Business not Hi-Tech</v>
      </c>
      <c r="AB1065" s="6" t="str">
        <v>Primary Business not Hi-Tech</v>
      </c>
    </row>
    <row r="1066">
      <c r="A1066" s="6" t="str">
        <v>594918</v>
      </c>
      <c r="B1066" s="6" t="str">
        <v>United States</v>
      </c>
      <c r="C1066" s="6" t="str">
        <v>Microsoft Corp</v>
      </c>
      <c r="D1066" s="6" t="str">
        <v>Microsoft Corp</v>
      </c>
      <c r="F1066" s="6" t="str">
        <v>United States</v>
      </c>
      <c r="G1066" s="6" t="str">
        <v>Express Logic Inc</v>
      </c>
      <c r="H1066" s="6" t="str">
        <v>Prepackaged Software</v>
      </c>
      <c r="I1066" s="6" t="str">
        <v>2J8760</v>
      </c>
      <c r="J1066" s="6" t="str">
        <v>Express Logic Inc</v>
      </c>
      <c r="K1066" s="6" t="str">
        <v>Express Logic Inc</v>
      </c>
      <c r="L1066" s="7">
        <f>=DATE(2019,4,18)</f>
        <v>43572.99949074074</v>
      </c>
      <c r="M1066" s="7">
        <f>=DATE(2019,4,18)</f>
        <v>43572.99949074074</v>
      </c>
      <c r="W1066" s="6" t="str">
        <v>Other Peripherals;Internet Services &amp; Software;Computer Consulting Services;Operating Systems;Applications Software(Business;Monitors/Terminals</v>
      </c>
      <c r="X1066" s="6" t="str">
        <v>Other Software (inq. Games)</v>
      </c>
      <c r="Y1066" s="6" t="str">
        <v>Other Software (inq. Games)</v>
      </c>
      <c r="Z1066" s="6" t="str">
        <v>Other Software (inq. Games)</v>
      </c>
      <c r="AA1066" s="6" t="str">
        <v>Monitors/Terminals;Applications Software(Business;Computer Consulting Services;Internet Services &amp; Software;Operating Systems;Other Peripherals</v>
      </c>
      <c r="AB1066" s="6" t="str">
        <v>Monitors/Terminals;Other Peripherals;Applications Software(Business;Operating Systems;Internet Services &amp; Software;Computer Consulting Services</v>
      </c>
    </row>
    <row r="1067">
      <c r="A1067" s="6" t="str">
        <v>023135</v>
      </c>
      <c r="B1067" s="6" t="str">
        <v>United States</v>
      </c>
      <c r="C1067" s="6" t="str">
        <v>Amazon.com Inc</v>
      </c>
      <c r="D1067" s="6" t="str">
        <v>Amazon.com Inc</v>
      </c>
      <c r="E1067" s="6" t="str">
        <v>YCOR</v>
      </c>
      <c r="F1067" s="6" t="str">
        <v>United States</v>
      </c>
      <c r="G1067" s="6" t="str">
        <v>Sizmek Inc-Sizmek Ad Server &amp; Sizmek Dynamic Creative Optimization Business</v>
      </c>
      <c r="H1067" s="6" t="str">
        <v>Business Services</v>
      </c>
      <c r="I1067" s="6" t="str">
        <v>3J9627</v>
      </c>
      <c r="J1067" s="6" t="str">
        <v>Bpost SA</v>
      </c>
      <c r="K1067" s="6" t="str">
        <v>Sizmek Inc</v>
      </c>
      <c r="L1067" s="7">
        <f>=DATE(2019,5,31)</f>
        <v>43615.99949074074</v>
      </c>
      <c r="W1067" s="6" t="str">
        <v>Primary Business not Hi-Tech</v>
      </c>
      <c r="X1067" s="6" t="str">
        <v>Programming Services;Database Software/Programming;Other Computer Related Svcs</v>
      </c>
      <c r="Y1067" s="6" t="str">
        <v>Primary Business not Hi-Tech</v>
      </c>
      <c r="Z1067" s="6" t="str">
        <v>Primary Business not Hi-Tech</v>
      </c>
      <c r="AA1067" s="6" t="str">
        <v>Primary Business not Hi-Tech</v>
      </c>
      <c r="AB1067" s="6" t="str">
        <v>Primary Business not Hi-Tech</v>
      </c>
    </row>
    <row r="1068">
      <c r="A1068" s="6" t="str">
        <v>7J8440</v>
      </c>
      <c r="B1068" s="6" t="str">
        <v>United States</v>
      </c>
      <c r="C1068" s="6" t="str">
        <v>Google LLC</v>
      </c>
      <c r="D1068" s="6" t="str">
        <v>Alphabet Inc</v>
      </c>
      <c r="F1068" s="6" t="str">
        <v>United States</v>
      </c>
      <c r="G1068" s="6" t="str">
        <v>Looker Data Sciences Inc</v>
      </c>
      <c r="H1068" s="6" t="str">
        <v>Prepackaged Software</v>
      </c>
      <c r="I1068" s="6" t="str">
        <v>8H8322</v>
      </c>
      <c r="J1068" s="6" t="str">
        <v>Looker Data Sciences Inc</v>
      </c>
      <c r="K1068" s="6" t="str">
        <v>Looker Data Sciences Inc</v>
      </c>
      <c r="L1068" s="7">
        <f>=DATE(2019,6,6)</f>
        <v>43621.99949074074</v>
      </c>
      <c r="M1068" s="7">
        <f>=DATE(2020,2,12)</f>
        <v>43872.99949074074</v>
      </c>
      <c r="N1068" s="8">
        <v>2600</v>
      </c>
      <c r="O1068" s="8">
        <v>2600</v>
      </c>
      <c r="W1068" s="6" t="str">
        <v>Internet Services &amp; Software;Programming Services</v>
      </c>
      <c r="X1068" s="6" t="str">
        <v>Other Software (inq. Games);Applications Software(Business;Applications Software(Home);Communication/Network Software;Utilities/File Mgmt Software;Database Software/Programming;Internet Services &amp; Software;Programming Services;Desktop Publishing</v>
      </c>
      <c r="Y1068" s="6" t="str">
        <v>Communication/Network Software;Applications Software(Home);Database Software/Programming;Applications Software(Business;Programming Services;Other Software (inq. Games);Utilities/File Mgmt Software;Internet Services &amp; Software;Desktop Publishing</v>
      </c>
      <c r="Z1068" s="6" t="str">
        <v>Internet Services &amp; Software;Desktop Publishing;Communication/Network Software;Programming Services;Other Software (inq. Games);Utilities/File Mgmt Software;Applications Software(Business;Database Software/Programming;Applications Software(Home)</v>
      </c>
      <c r="AA1068" s="6" t="str">
        <v>Programming Services;Computer Consulting Services;Internet Services &amp; Software;Telecommunications Equipment;Primary Business not Hi-Tech</v>
      </c>
      <c r="AB1068" s="6" t="str">
        <v>Computer Consulting Services;Telecommunications Equipment;Internet Services &amp; Software;Programming Services;Primary Business not Hi-Tech</v>
      </c>
      <c r="AC1068" s="8">
        <v>2600</v>
      </c>
      <c r="AD1068" s="7">
        <f>=DATE(2019,6,6)</f>
        <v>43621.99949074074</v>
      </c>
      <c r="AJ1068" s="8" t="str">
        <v>2,600.00</v>
      </c>
      <c r="AK1068" s="6" t="str">
        <v>US Dollar</v>
      </c>
      <c r="AL1068" s="8">
        <v>2600</v>
      </c>
    </row>
    <row r="1069">
      <c r="A1069" s="6" t="str">
        <v>59476P</v>
      </c>
      <c r="B1069" s="6" t="str">
        <v>United States</v>
      </c>
      <c r="C1069" s="6" t="str">
        <v>Microsoft Game Studios</v>
      </c>
      <c r="D1069" s="6" t="str">
        <v>Microsoft Corp</v>
      </c>
      <c r="F1069" s="6" t="str">
        <v>United States</v>
      </c>
      <c r="G1069" s="6" t="str">
        <v>Double Fine Productions Inc</v>
      </c>
      <c r="H1069" s="6" t="str">
        <v>Prepackaged Software</v>
      </c>
      <c r="I1069" s="6" t="str">
        <v>6J5947</v>
      </c>
      <c r="J1069" s="6" t="str">
        <v>Double Fine Productions Inc</v>
      </c>
      <c r="K1069" s="6" t="str">
        <v>Double Fine Productions Inc</v>
      </c>
      <c r="L1069" s="7">
        <f>=DATE(2019,6,9)</f>
        <v>43624.99949074074</v>
      </c>
      <c r="M1069" s="7">
        <f>=DATE(2019,6,9)</f>
        <v>43624.99949074074</v>
      </c>
      <c r="W1069" s="6" t="str">
        <v>Communication/Network Software;Desktop Publishing;Applications Software(Home);Utilities/File Mgmt Software;Other Software (inq. Games);Internet Services &amp; Software;Applications Software(Business</v>
      </c>
      <c r="X1069" s="6" t="str">
        <v>Communication/Network Software;Applications Software(Home);Applications Software(Business</v>
      </c>
      <c r="Y1069" s="6" t="str">
        <v>Applications Software(Business;Applications Software(Home);Communication/Network Software</v>
      </c>
      <c r="Z1069" s="6" t="str">
        <v>Applications Software(Business;Applications Software(Home);Communication/Network Software</v>
      </c>
      <c r="AA1069" s="6" t="str">
        <v>Monitors/Terminals;Operating Systems;Applications Software(Business;Other Peripherals;Internet Services &amp; Software;Computer Consulting Services</v>
      </c>
      <c r="AB1069" s="6" t="str">
        <v>Internet Services &amp; Software;Computer Consulting Services;Applications Software(Business;Monitors/Terminals;Operating Systems;Other Peripherals</v>
      </c>
    </row>
    <row r="1070">
      <c r="A1070" s="6" t="str">
        <v>37657R</v>
      </c>
      <c r="B1070" s="6" t="str">
        <v>United States</v>
      </c>
      <c r="C1070" s="6" t="str">
        <v>GitHub Inc</v>
      </c>
      <c r="D1070" s="6" t="str">
        <v>Microsoft Corp</v>
      </c>
      <c r="F1070" s="6" t="str">
        <v>United States</v>
      </c>
      <c r="G1070" s="6" t="str">
        <v>Good Software LLC</v>
      </c>
      <c r="H1070" s="6" t="str">
        <v>Prepackaged Software</v>
      </c>
      <c r="I1070" s="6" t="str">
        <v>4J4163</v>
      </c>
      <c r="J1070" s="6" t="str">
        <v>Good Software LLC</v>
      </c>
      <c r="K1070" s="6" t="str">
        <v>Good Software LLC</v>
      </c>
      <c r="L1070" s="7">
        <f>=DATE(2019,6,17)</f>
        <v>43632.99949074074</v>
      </c>
      <c r="M1070" s="7">
        <f>=DATE(2019,6,17)</f>
        <v>43632.99949074074</v>
      </c>
      <c r="W1070" s="6" t="str">
        <v>Internet Services &amp; Software</v>
      </c>
      <c r="X1070" s="6" t="str">
        <v>Other Software (inq. Games);Internet Services &amp; Software;Utilities/File Mgmt Software</v>
      </c>
      <c r="Y1070" s="6" t="str">
        <v>Other Software (inq. Games);Utilities/File Mgmt Software;Internet Services &amp; Software</v>
      </c>
      <c r="Z1070" s="6" t="str">
        <v>Utilities/File Mgmt Software;Other Software (inq. Games);Internet Services &amp; Software</v>
      </c>
      <c r="AA1070" s="6" t="str">
        <v>Operating Systems;Monitors/Terminals;Applications Software(Business;Other Peripherals;Computer Consulting Services;Internet Services &amp; Software</v>
      </c>
      <c r="AB1070" s="6" t="str">
        <v>Operating Systems;Other Peripherals;Computer Consulting Services;Internet Services &amp; Software;Applications Software(Business;Monitors/Terminals</v>
      </c>
    </row>
    <row r="1071">
      <c r="A1071" s="6" t="str">
        <v>037833</v>
      </c>
      <c r="B1071" s="6" t="str">
        <v>United States</v>
      </c>
      <c r="C1071" s="6" t="str">
        <v>Apple Inc</v>
      </c>
      <c r="D1071" s="6" t="str">
        <v>Apple Inc</v>
      </c>
      <c r="F1071" s="6" t="str">
        <v>United States</v>
      </c>
      <c r="G1071" s="6" t="str">
        <v>Drive.ai Inc</v>
      </c>
      <c r="H1071" s="6" t="str">
        <v>Prepackaged Software</v>
      </c>
      <c r="I1071" s="6" t="str">
        <v>4J7013</v>
      </c>
      <c r="J1071" s="6" t="str">
        <v>Drive.ai Inc</v>
      </c>
      <c r="K1071" s="6" t="str">
        <v>Drive.ai Inc</v>
      </c>
      <c r="L1071" s="7">
        <f>=DATE(2019,6,25)</f>
        <v>43640.99949074074</v>
      </c>
      <c r="M1071" s="7">
        <f>=DATE(2019,6,25)</f>
        <v>43640.99949074074</v>
      </c>
      <c r="W1071" s="6" t="str">
        <v>Other Software (inq. Games);Monitors/Terminals;Micro-Computers (PCs);Other Peripherals;Disk Drives;Portable Computers;Mainframes &amp; Super Computers;Printers</v>
      </c>
      <c r="X1071" s="6" t="str">
        <v>Other Software (inq. Games)</v>
      </c>
      <c r="Y1071" s="6" t="str">
        <v>Other Software (inq. Games)</v>
      </c>
      <c r="Z1071" s="6" t="str">
        <v>Other Software (inq. Games)</v>
      </c>
      <c r="AA1071" s="6" t="str">
        <v>Micro-Computers (PCs);Other Software (inq. Games);Mainframes &amp; Super Computers;Printers;Monitors/Terminals;Disk Drives;Other Peripherals;Portable Computers</v>
      </c>
      <c r="AB1071" s="6" t="str">
        <v>Portable Computers;Mainframes &amp; Super Computers;Monitors/Terminals;Micro-Computers (PCs);Disk Drives;Other Peripherals;Other Software (inq. Games);Printers</v>
      </c>
    </row>
    <row r="1072">
      <c r="A1072" s="6" t="str">
        <v>037833</v>
      </c>
      <c r="B1072" s="6" t="str">
        <v>United States</v>
      </c>
      <c r="C1072" s="6" t="str">
        <v>Apple Inc</v>
      </c>
      <c r="D1072" s="6" t="str">
        <v>Apple Inc</v>
      </c>
      <c r="F1072" s="6" t="str">
        <v>United States</v>
      </c>
      <c r="G1072" s="6" t="str">
        <v>Intel Corp-Smartphone modem chip business</v>
      </c>
      <c r="H1072" s="6" t="str">
        <v>Communications Equipment</v>
      </c>
      <c r="I1072" s="6" t="str">
        <v>3J0816</v>
      </c>
      <c r="J1072" s="6" t="str">
        <v>Intel Corp</v>
      </c>
      <c r="K1072" s="6" t="str">
        <v>Intel Corp</v>
      </c>
      <c r="L1072" s="7">
        <f>=DATE(2019,7,25)</f>
        <v>43670.99949074074</v>
      </c>
      <c r="M1072" s="7">
        <f>=DATE(2019,12,2)</f>
        <v>43800.99949074074</v>
      </c>
      <c r="N1072" s="8">
        <v>1000</v>
      </c>
      <c r="O1072" s="8">
        <v>1000</v>
      </c>
      <c r="W1072" s="6" t="str">
        <v>Other Peripherals;Mainframes &amp; Super Computers;Disk Drives;Micro-Computers (PCs);Other Software (inq. Games);Portable Computers;Printers;Monitors/Terminals</v>
      </c>
      <c r="X1072" s="6" t="str">
        <v>Modems;Other Telecommunications Equip;Telecommunications Equipment;Primary Business not Hi-Tech;Telephone Interconnect Equip</v>
      </c>
      <c r="Y1072" s="6" t="str">
        <v>Other Peripherals;Semiconductors;Telecommunications Equipment;Other Electronics</v>
      </c>
      <c r="Z1072" s="6" t="str">
        <v>Telecommunications Equipment;Other Electronics;Other Peripherals;Semiconductors</v>
      </c>
      <c r="AA1072" s="6" t="str">
        <v>Portable Computers;Printers;Disk Drives;Monitors/Terminals;Other Peripherals;Micro-Computers (PCs);Other Software (inq. Games);Mainframes &amp; Super Computers</v>
      </c>
      <c r="AB1072" s="6" t="str">
        <v>Portable Computers;Printers;Micro-Computers (PCs);Other Peripherals;Mainframes &amp; Super Computers;Disk Drives;Other Software (inq. Games);Monitors/Terminals</v>
      </c>
      <c r="AC1072" s="8">
        <v>1000</v>
      </c>
      <c r="AD1072" s="7">
        <f>=DATE(2019,7,25)</f>
        <v>43670.99949074074</v>
      </c>
      <c r="AJ1072" s="8" t="str">
        <v>1,000.00</v>
      </c>
      <c r="AK1072" s="6" t="str">
        <v>US Dollar</v>
      </c>
      <c r="AL1072" s="8">
        <v>1000</v>
      </c>
    </row>
    <row r="1073">
      <c r="A1073" s="6" t="str">
        <v>594918</v>
      </c>
      <c r="B1073" s="6" t="str">
        <v>United States</v>
      </c>
      <c r="C1073" s="6" t="str">
        <v>Microsoft Corp</v>
      </c>
      <c r="D1073" s="6" t="str">
        <v>Microsoft Corp</v>
      </c>
      <c r="F1073" s="6" t="str">
        <v>United States</v>
      </c>
      <c r="G1073" s="6" t="str">
        <v>BlueTalon Inc</v>
      </c>
      <c r="H1073" s="6" t="str">
        <v>Business Services</v>
      </c>
      <c r="I1073" s="6" t="str">
        <v>8E8808</v>
      </c>
      <c r="J1073" s="6" t="str">
        <v>BlueTalon Inc</v>
      </c>
      <c r="K1073" s="6" t="str">
        <v>BlueTalon Inc</v>
      </c>
      <c r="L1073" s="7">
        <f>=DATE(2019,7,29)</f>
        <v>43674.99949074074</v>
      </c>
      <c r="M1073" s="7">
        <f>=DATE(2019,7,29)</f>
        <v>43674.99949074074</v>
      </c>
      <c r="W1073" s="6" t="str">
        <v>Other Peripherals;Monitors/Terminals;Internet Services &amp; Software;Computer Consulting Services;Operating Systems;Applications Software(Business</v>
      </c>
      <c r="X1073" s="6" t="str">
        <v>Data Processing Services</v>
      </c>
      <c r="Y1073" s="6" t="str">
        <v>Data Processing Services</v>
      </c>
      <c r="Z1073" s="6" t="str">
        <v>Data Processing Services</v>
      </c>
      <c r="AA1073" s="6" t="str">
        <v>Operating Systems;Other Peripherals;Applications Software(Business;Internet Services &amp; Software;Computer Consulting Services;Monitors/Terminals</v>
      </c>
      <c r="AB1073" s="6" t="str">
        <v>Internet Services &amp; Software;Computer Consulting Services;Monitors/Terminals;Other Peripherals;Applications Software(Business;Operating Systems</v>
      </c>
    </row>
    <row r="1074">
      <c r="A1074" s="6" t="str">
        <v>594918</v>
      </c>
      <c r="B1074" s="6" t="str">
        <v>United States</v>
      </c>
      <c r="C1074" s="6" t="str">
        <v>Microsoft Corp</v>
      </c>
      <c r="D1074" s="6" t="str">
        <v>Microsoft Corp</v>
      </c>
      <c r="F1074" s="6" t="str">
        <v>United States</v>
      </c>
      <c r="G1074" s="6" t="str">
        <v>Spotfront Inc</v>
      </c>
      <c r="H1074" s="6" t="str">
        <v>Business Services</v>
      </c>
      <c r="I1074" s="6" t="str">
        <v>6J2269</v>
      </c>
      <c r="J1074" s="6" t="str">
        <v>Microsoft Corp</v>
      </c>
      <c r="K1074" s="6" t="str">
        <v>Microsoft Corp</v>
      </c>
      <c r="L1074" s="7">
        <f>=DATE(2019,8,5)</f>
        <v>43681.99949074074</v>
      </c>
      <c r="M1074" s="7">
        <f>=DATE(2019,8,5)</f>
        <v>43681.99949074074</v>
      </c>
      <c r="W1074" s="6" t="str">
        <v>Computer Consulting Services;Internet Services &amp; Software;Operating Systems;Other Peripherals;Applications Software(Business;Monitors/Terminals</v>
      </c>
      <c r="X1074" s="6" t="str">
        <v>Internet Services &amp; Software</v>
      </c>
      <c r="Y1074" s="6" t="str">
        <v>Computer Consulting Services;Monitors/Terminals;Internet Services &amp; Software;Operating Systems;Applications Software(Business;Other Peripherals</v>
      </c>
      <c r="Z1074" s="6" t="str">
        <v>Other Peripherals;Computer Consulting Services;Monitors/Terminals;Applications Software(Business;Internet Services &amp; Software;Operating Systems</v>
      </c>
      <c r="AA1074" s="6" t="str">
        <v>Other Peripherals;Operating Systems;Computer Consulting Services;Monitors/Terminals;Internet Services &amp; Software;Applications Software(Business</v>
      </c>
      <c r="AB1074" s="6" t="str">
        <v>Other Peripherals;Computer Consulting Services;Internet Services &amp; Software;Operating Systems;Applications Software(Business;Monitors/Terminals</v>
      </c>
    </row>
    <row r="1075">
      <c r="A1075" s="6" t="str">
        <v>594918</v>
      </c>
      <c r="B1075" s="6" t="str">
        <v>United States</v>
      </c>
      <c r="C1075" s="6" t="str">
        <v>Microsoft Corp</v>
      </c>
      <c r="D1075" s="6" t="str">
        <v>Microsoft Corp</v>
      </c>
      <c r="F1075" s="6" t="str">
        <v>United Kingdom</v>
      </c>
      <c r="G1075" s="6" t="str">
        <v>Jclarity Ltd</v>
      </c>
      <c r="H1075" s="6" t="str">
        <v>Prepackaged Software</v>
      </c>
      <c r="I1075" s="6" t="str">
        <v>6J0497</v>
      </c>
      <c r="J1075" s="6" t="str">
        <v>Jclarity Ltd</v>
      </c>
      <c r="K1075" s="6" t="str">
        <v>Jclarity Ltd</v>
      </c>
      <c r="L1075" s="7">
        <f>=DATE(2019,8,19)</f>
        <v>43695.99949074074</v>
      </c>
      <c r="M1075" s="7">
        <f>=DATE(2019,8,19)</f>
        <v>43695.99949074074</v>
      </c>
      <c r="W1075" s="6" t="str">
        <v>Operating Systems;Computer Consulting Services;Monitors/Terminals;Other Peripherals;Internet Services &amp; Software;Applications Software(Business</v>
      </c>
      <c r="X1075" s="6" t="str">
        <v>Other Software (inq. Games)</v>
      </c>
      <c r="Y1075" s="6" t="str">
        <v>Other Software (inq. Games)</v>
      </c>
      <c r="Z1075" s="6" t="str">
        <v>Other Software (inq. Games)</v>
      </c>
      <c r="AA1075" s="6" t="str">
        <v>Internet Services &amp; Software;Computer Consulting Services;Applications Software(Business;Monitors/Terminals;Operating Systems;Other Peripherals</v>
      </c>
      <c r="AB1075" s="6" t="str">
        <v>Internet Services &amp; Software;Computer Consulting Services;Monitors/Terminals;Other Peripherals;Applications Software(Business;Operating Systems</v>
      </c>
    </row>
    <row r="1076">
      <c r="A1076" s="6" t="str">
        <v>3F8100</v>
      </c>
      <c r="B1076" s="6" t="str">
        <v>United States</v>
      </c>
      <c r="C1076" s="6" t="str">
        <v>GV Management Co LLC</v>
      </c>
      <c r="D1076" s="6" t="str">
        <v>Alphabet Inc</v>
      </c>
      <c r="F1076" s="6" t="str">
        <v>United States</v>
      </c>
      <c r="G1076" s="6" t="str">
        <v>Ethos Technologies Inc</v>
      </c>
      <c r="H1076" s="6" t="str">
        <v>Prepackaged Software</v>
      </c>
      <c r="I1076" s="6" t="str">
        <v>7H8660</v>
      </c>
      <c r="J1076" s="6" t="str">
        <v>Ethos Technologies Inc</v>
      </c>
      <c r="K1076" s="6" t="str">
        <v>Ethos Technologies Inc</v>
      </c>
      <c r="L1076" s="7">
        <f>=DATE(2019,8,27)</f>
        <v>43703.99949074074</v>
      </c>
      <c r="M1076" s="7">
        <f>=DATE(2019,8,27)</f>
        <v>43703.99949074074</v>
      </c>
      <c r="N1076" s="8">
        <v>60</v>
      </c>
      <c r="O1076" s="8">
        <v>60</v>
      </c>
      <c r="W1076" s="6" t="str">
        <v>Primary Business not Hi-Tech</v>
      </c>
      <c r="X1076" s="6" t="str">
        <v>Other Software (inq. Games)</v>
      </c>
      <c r="Y1076" s="6" t="str">
        <v>Other Software (inq. Games)</v>
      </c>
      <c r="Z1076" s="6" t="str">
        <v>Other Software (inq. Games)</v>
      </c>
      <c r="AA1076" s="6" t="str">
        <v>Programming Services;Internet Services &amp; Software</v>
      </c>
      <c r="AB1076" s="6" t="str">
        <v>Primary Business not Hi-Tech;Computer Consulting Services;Internet Services &amp; Software;Programming Services;Telecommunications Equipment</v>
      </c>
      <c r="AC1076" s="8">
        <v>60</v>
      </c>
      <c r="AD1076" s="7">
        <f>=DATE(2019,8,27)</f>
        <v>43703.99949074074</v>
      </c>
      <c r="AL1076" s="8">
        <v>60</v>
      </c>
    </row>
    <row r="1077">
      <c r="A1077" s="6" t="str">
        <v>9H9297</v>
      </c>
      <c r="B1077" s="6" t="str">
        <v>United States</v>
      </c>
      <c r="C1077" s="6" t="str">
        <v>Microsoft Azure</v>
      </c>
      <c r="D1077" s="6" t="str">
        <v>Microsoft Corp</v>
      </c>
      <c r="F1077" s="6" t="str">
        <v>United States</v>
      </c>
      <c r="G1077" s="6" t="str">
        <v>Movere Inc</v>
      </c>
      <c r="H1077" s="6" t="str">
        <v>Business Services</v>
      </c>
      <c r="I1077" s="6" t="str">
        <v>7J2819</v>
      </c>
      <c r="J1077" s="6" t="str">
        <v>Movere Inc</v>
      </c>
      <c r="K1077" s="6" t="str">
        <v>Movere Inc</v>
      </c>
      <c r="L1077" s="7">
        <f>=DATE(2019,9,4)</f>
        <v>43711.99949074074</v>
      </c>
      <c r="M1077" s="7">
        <f>=DATE(2019,9,4)</f>
        <v>43711.99949074074</v>
      </c>
      <c r="W1077" s="6" t="str">
        <v>Other Computer Related Svcs;Internet Services &amp; Software;Computer Consulting Services;Primary Business not Hi-Tech;Data Processing Services</v>
      </c>
      <c r="X1077" s="6" t="str">
        <v>Computer Consulting Services;Other Computer Related Svcs;Data Processing Services;Primary Business not Hi-Tech;Internet Services &amp; Software</v>
      </c>
      <c r="Y1077" s="6" t="str">
        <v>Computer Consulting Services;Data Processing Services;Primary Business not Hi-Tech;Other Computer Related Svcs;Internet Services &amp; Software</v>
      </c>
      <c r="Z1077" s="6" t="str">
        <v>Data Processing Services;Primary Business not Hi-Tech;Internet Services &amp; Software;Other Computer Related Svcs;Computer Consulting Services</v>
      </c>
      <c r="AA1077" s="6" t="str">
        <v>Operating Systems;Other Peripherals;Computer Consulting Services;Applications Software(Business;Internet Services &amp; Software;Monitors/Terminals</v>
      </c>
      <c r="AB1077" s="6" t="str">
        <v>Applications Software(Business;Other Peripherals;Operating Systems;Computer Consulting Services;Monitors/Terminals;Internet Services &amp; Software</v>
      </c>
    </row>
    <row r="1078">
      <c r="A1078" s="6" t="str">
        <v>0C6551</v>
      </c>
      <c r="B1078" s="6" t="str">
        <v>United States</v>
      </c>
      <c r="C1078" s="6" t="str">
        <v>Twitch Interactive Inc</v>
      </c>
      <c r="D1078" s="6" t="str">
        <v>Amazon.com Inc</v>
      </c>
      <c r="F1078" s="6" t="str">
        <v>Sweden</v>
      </c>
      <c r="G1078" s="6" t="str">
        <v>8 Dudes In A Garage AB</v>
      </c>
      <c r="H1078" s="6" t="str">
        <v>Business Services</v>
      </c>
      <c r="I1078" s="6" t="str">
        <v>6J8469</v>
      </c>
      <c r="J1078" s="6" t="str">
        <v>8 Dudes In A Garage AB</v>
      </c>
      <c r="K1078" s="6" t="str">
        <v>8 Dudes In A Garage AB</v>
      </c>
      <c r="L1078" s="7">
        <f>=DATE(2019,9,17)</f>
        <v>43724.99949074074</v>
      </c>
      <c r="M1078" s="7">
        <f>=DATE(2019,9,17)</f>
        <v>43724.99949074074</v>
      </c>
      <c r="W1078" s="6" t="str">
        <v>Internet Services &amp; Software</v>
      </c>
      <c r="X1078" s="6" t="str">
        <v>Internet Services &amp; Software;Other Computer Related Svcs;Communication/Network Software;Other Software (inq. Games);Programming Services</v>
      </c>
      <c r="Y1078" s="6" t="str">
        <v>Other Software (inq. Games);Communication/Network Software;Other Computer Related Svcs;Internet Services &amp; Software;Programming Services</v>
      </c>
      <c r="Z1078" s="6" t="str">
        <v>Communication/Network Software;Programming Services;Other Software (inq. Games);Other Computer Related Svcs;Internet Services &amp; Software</v>
      </c>
      <c r="AA1078" s="6" t="str">
        <v>Primary Business not Hi-Tech</v>
      </c>
      <c r="AB1078" s="6" t="str">
        <v>Primary Business not Hi-Tech</v>
      </c>
    </row>
    <row r="1079">
      <c r="A1079" s="6" t="str">
        <v>594918</v>
      </c>
      <c r="B1079" s="6" t="str">
        <v>United States</v>
      </c>
      <c r="C1079" s="6" t="str">
        <v>Microsoft Corp</v>
      </c>
      <c r="D1079" s="6" t="str">
        <v>Microsoft Corp</v>
      </c>
      <c r="F1079" s="6" t="str">
        <v>United States</v>
      </c>
      <c r="G1079" s="6" t="str">
        <v>Microsoft Corp</v>
      </c>
      <c r="H1079" s="6" t="str">
        <v>Prepackaged Software</v>
      </c>
      <c r="I1079" s="6" t="str">
        <v>594918</v>
      </c>
      <c r="J1079" s="6" t="str">
        <v>Microsoft Corp</v>
      </c>
      <c r="K1079" s="6" t="str">
        <v>Microsoft Corp</v>
      </c>
      <c r="L1079" s="7">
        <f>=DATE(2019,9,18)</f>
        <v>43725.99949074074</v>
      </c>
      <c r="N1079" s="8">
        <v>40000</v>
      </c>
      <c r="O1079" s="8">
        <v>40000</v>
      </c>
      <c r="R1079" s="8">
        <v>39397</v>
      </c>
      <c r="S1079" s="8">
        <v>125843</v>
      </c>
      <c r="T1079" s="8">
        <v>-36887</v>
      </c>
      <c r="U1079" s="8">
        <v>-15773</v>
      </c>
      <c r="V1079" s="8">
        <v>52185</v>
      </c>
      <c r="W1079" s="6" t="str">
        <v>Operating Systems;Applications Software(Business;Monitors/Terminals;Computer Consulting Services;Other Peripherals;Internet Services &amp; Software</v>
      </c>
      <c r="X1079" s="6" t="str">
        <v>Internet Services &amp; Software;Monitors/Terminals;Operating Systems;Other Peripherals;Computer Consulting Services;Applications Software(Business</v>
      </c>
      <c r="Y1079" s="6" t="str">
        <v>Other Peripherals;Applications Software(Business;Operating Systems;Computer Consulting Services;Monitors/Terminals;Internet Services &amp; Software</v>
      </c>
      <c r="Z1079" s="6" t="str">
        <v>Operating Systems;Applications Software(Business;Monitors/Terminals;Internet Services &amp; Software;Other Peripherals;Computer Consulting Services</v>
      </c>
      <c r="AA1079" s="6" t="str">
        <v>Monitors/Terminals;Operating Systems;Internet Services &amp; Software;Other Peripherals;Computer Consulting Services;Applications Software(Business</v>
      </c>
      <c r="AB1079" s="6" t="str">
        <v>Computer Consulting Services;Operating Systems;Applications Software(Business;Other Peripherals;Monitors/Terminals;Internet Services &amp; Software</v>
      </c>
      <c r="AC1079" s="8">
        <v>40000</v>
      </c>
      <c r="AD1079" s="7">
        <f>=DATE(2019,9,18)</f>
        <v>43725.99949074074</v>
      </c>
      <c r="AJ1079" s="8" t="str">
        <v>40,000.00</v>
      </c>
      <c r="AK1079" s="6" t="str">
        <v>US Dollar</v>
      </c>
      <c r="AL1079" s="8">
        <v>40000</v>
      </c>
    </row>
    <row r="1080">
      <c r="A1080" s="6" t="str">
        <v>37657R</v>
      </c>
      <c r="B1080" s="6" t="str">
        <v>United States</v>
      </c>
      <c r="C1080" s="6" t="str">
        <v>GitHub Inc</v>
      </c>
      <c r="D1080" s="6" t="str">
        <v>Microsoft Corp</v>
      </c>
      <c r="F1080" s="6" t="str">
        <v>United States</v>
      </c>
      <c r="G1080" s="6" t="str">
        <v>Semmle Inc</v>
      </c>
      <c r="H1080" s="6" t="str">
        <v>Prepackaged Software</v>
      </c>
      <c r="I1080" s="6" t="str">
        <v>7H2669</v>
      </c>
      <c r="J1080" s="6" t="str">
        <v>Semmle Inc</v>
      </c>
      <c r="K1080" s="6" t="str">
        <v>Semmle Inc</v>
      </c>
      <c r="L1080" s="7">
        <f>=DATE(2019,9,18)</f>
        <v>43725.99949074074</v>
      </c>
      <c r="M1080" s="7">
        <f>=DATE(2019,9,18)</f>
        <v>43725.99949074074</v>
      </c>
      <c r="W1080" s="6" t="str">
        <v>Internet Services &amp; Software</v>
      </c>
      <c r="X1080" s="6" t="str">
        <v>Other Software (inq. Games)</v>
      </c>
      <c r="Y1080" s="6" t="str">
        <v>Other Software (inq. Games)</v>
      </c>
      <c r="Z1080" s="6" t="str">
        <v>Other Software (inq. Games)</v>
      </c>
      <c r="AA1080" s="6" t="str">
        <v>Internet Services &amp; Software;Other Peripherals;Computer Consulting Services;Applications Software(Business;Monitors/Terminals;Operating Systems</v>
      </c>
      <c r="AB1080" s="6" t="str">
        <v>Internet Services &amp; Software;Operating Systems;Monitors/Terminals;Applications Software(Business;Other Peripherals;Computer Consulting Services</v>
      </c>
    </row>
    <row r="1081">
      <c r="A1081" s="6" t="str">
        <v>30303M</v>
      </c>
      <c r="B1081" s="6" t="str">
        <v>United States</v>
      </c>
      <c r="C1081" s="6" t="str">
        <v>Facebook Inc</v>
      </c>
      <c r="D1081" s="6" t="str">
        <v>Facebook Inc</v>
      </c>
      <c r="F1081" s="6" t="str">
        <v>Israel</v>
      </c>
      <c r="G1081" s="6" t="str">
        <v>Servicefriend Ltd</v>
      </c>
      <c r="H1081" s="6" t="str">
        <v>Prepackaged Software</v>
      </c>
      <c r="I1081" s="6" t="str">
        <v>7J0473</v>
      </c>
      <c r="J1081" s="6" t="str">
        <v>Servicefriend Ltd</v>
      </c>
      <c r="K1081" s="6" t="str">
        <v>Servicefriend Ltd</v>
      </c>
      <c r="L1081" s="7">
        <f>=DATE(2019,9,22)</f>
        <v>43729.99949074074</v>
      </c>
      <c r="M1081" s="7">
        <f>=DATE(2019,9,22)</f>
        <v>43729.99949074074</v>
      </c>
      <c r="W1081" s="6" t="str">
        <v>Internet Services &amp; Software</v>
      </c>
      <c r="X1081" s="6" t="str">
        <v>Applications Software(Home);Desktop Publishing;Applications Software(Business;Communication/Network Software;Internet Services &amp; Software;Other Software (inq. Games);Utilities/File Mgmt Software</v>
      </c>
      <c r="Y1081" s="6" t="str">
        <v>Utilities/File Mgmt Software;Other Software (inq. Games);Applications Software(Business;Desktop Publishing;Applications Software(Home);Internet Services &amp; Software;Communication/Network Software</v>
      </c>
      <c r="Z1081" s="6" t="str">
        <v>Other Software (inq. Games);Utilities/File Mgmt Software;Communication/Network Software;Desktop Publishing;Internet Services &amp; Software;Applications Software(Home);Applications Software(Business</v>
      </c>
      <c r="AA1081" s="6" t="str">
        <v>Internet Services &amp; Software</v>
      </c>
      <c r="AB1081" s="6" t="str">
        <v>Internet Services &amp; Software</v>
      </c>
    </row>
    <row r="1082">
      <c r="A1082" s="6" t="str">
        <v>30303M</v>
      </c>
      <c r="B1082" s="6" t="str">
        <v>United States</v>
      </c>
      <c r="C1082" s="6" t="str">
        <v>Facebook Inc</v>
      </c>
      <c r="D1082" s="6" t="str">
        <v>Facebook Inc</v>
      </c>
      <c r="F1082" s="6" t="str">
        <v>United States</v>
      </c>
      <c r="G1082" s="6" t="str">
        <v>CTRL-Labs Corp</v>
      </c>
      <c r="H1082" s="6" t="str">
        <v>Prepackaged Software</v>
      </c>
      <c r="I1082" s="6" t="str">
        <v>6J9290</v>
      </c>
      <c r="J1082" s="6" t="str">
        <v>CTRL-Labs Corp</v>
      </c>
      <c r="K1082" s="6" t="str">
        <v>CTRL-Labs Corp</v>
      </c>
      <c r="L1082" s="7">
        <f>=DATE(2019,9,23)</f>
        <v>43730.99949074074</v>
      </c>
      <c r="M1082" s="7">
        <f>=DATE(2019,9,23)</f>
        <v>43730.99949074074</v>
      </c>
      <c r="W1082" s="6" t="str">
        <v>Internet Services &amp; Software</v>
      </c>
      <c r="X1082" s="6" t="str">
        <v>Desktop Publishing;Other Software (inq. Games);Applications Software(Business;Primary Business not Hi-Tech;Applications Software(Home);Communication/Network Software;Utilities/File Mgmt Software;Internet Services &amp; Software</v>
      </c>
      <c r="Y1082" s="6" t="str">
        <v>Communication/Network Software;Other Software (inq. Games);Primary Business not Hi-Tech;Desktop Publishing;Applications Software(Home);Internet Services &amp; Software;Applications Software(Business;Utilities/File Mgmt Software</v>
      </c>
      <c r="Z1082" s="6" t="str">
        <v>Applications Software(Home);Desktop Publishing;Applications Software(Business;Other Software (inq. Games);Primary Business not Hi-Tech;Internet Services &amp; Software;Utilities/File Mgmt Software;Communication/Network Software</v>
      </c>
      <c r="AA1082" s="6" t="str">
        <v>Internet Services &amp; Software</v>
      </c>
      <c r="AB1082" s="6" t="str">
        <v>Internet Services &amp; Software</v>
      </c>
      <c r="AD1082" s="7">
        <f>=DATE(2019,9,23)</f>
        <v>43730.99949074074</v>
      </c>
    </row>
    <row r="1083">
      <c r="A1083" s="6" t="str">
        <v>7J8440</v>
      </c>
      <c r="B1083" s="6" t="str">
        <v>United States</v>
      </c>
      <c r="C1083" s="6" t="str">
        <v>Google LLC</v>
      </c>
      <c r="D1083" s="6" t="str">
        <v>Alphabet Inc</v>
      </c>
      <c r="F1083" s="6" t="str">
        <v>United States</v>
      </c>
      <c r="G1083" s="6" t="str">
        <v>Loop Now Technologies Inc</v>
      </c>
      <c r="H1083" s="6" t="str">
        <v>Prepackaged Software</v>
      </c>
      <c r="I1083" s="6" t="str">
        <v>7J3450</v>
      </c>
      <c r="J1083" s="6" t="str">
        <v>Loop Now Technologies Inc</v>
      </c>
      <c r="K1083" s="6" t="str">
        <v>Loop Now Technologies Inc</v>
      </c>
      <c r="L1083" s="7">
        <f>=DATE(2019,10,4)</f>
        <v>43741.99949074074</v>
      </c>
      <c r="W1083" s="6" t="str">
        <v>Internet Services &amp; Software;Programming Services</v>
      </c>
      <c r="X1083" s="6" t="str">
        <v>Other Software (inq. Games)</v>
      </c>
      <c r="Y1083" s="6" t="str">
        <v>Other Software (inq. Games)</v>
      </c>
      <c r="Z1083" s="6" t="str">
        <v>Other Software (inq. Games)</v>
      </c>
      <c r="AA1083" s="6" t="str">
        <v>Primary Business not Hi-Tech;Computer Consulting Services;Telecommunications Equipment;Programming Services;Internet Services &amp; Software</v>
      </c>
      <c r="AB1083" s="6" t="str">
        <v>Internet Services &amp; Software;Programming Services;Computer Consulting Services;Telecommunications Equipment;Primary Business not Hi-Tech</v>
      </c>
    </row>
    <row r="1084">
      <c r="A1084" s="6" t="str">
        <v>037833</v>
      </c>
      <c r="B1084" s="6" t="str">
        <v>United States</v>
      </c>
      <c r="C1084" s="6" t="str">
        <v>Apple Inc</v>
      </c>
      <c r="D1084" s="6" t="str">
        <v>Apple Inc</v>
      </c>
      <c r="F1084" s="6" t="str">
        <v>United Kingdom</v>
      </c>
      <c r="G1084" s="6" t="str">
        <v>IKINEMA Ltd</v>
      </c>
      <c r="H1084" s="6" t="str">
        <v>Motion Picture Production and Distribution</v>
      </c>
      <c r="I1084" s="6" t="str">
        <v>7J3755</v>
      </c>
      <c r="J1084" s="6" t="str">
        <v>IKINEMA Ltd</v>
      </c>
      <c r="K1084" s="6" t="str">
        <v>IKINEMA Ltd</v>
      </c>
      <c r="L1084" s="7">
        <f>=DATE(2019,10,4)</f>
        <v>43741.99949074074</v>
      </c>
      <c r="M1084" s="7">
        <f>=DATE(2019,10,4)</f>
        <v>43741.99949074074</v>
      </c>
      <c r="W1084" s="6" t="str">
        <v>Printers;Disk Drives;Micro-Computers (PCs);Mainframes &amp; Super Computers;Other Peripherals;Monitors/Terminals;Portable Computers;Other Software (inq. Games)</v>
      </c>
      <c r="X1084" s="6" t="str">
        <v>Applications Software(Home);Primary Business not Hi-Tech;Other Software (inq. Games);Applications Software(Business;Communication/Network Software;Desktop Publishing;Utilities/File Mgmt Software;Internet Services &amp; Software</v>
      </c>
      <c r="Y1084" s="6" t="str">
        <v>Primary Business not Hi-Tech;Internet Services &amp; Software;Utilities/File Mgmt Software;Applications Software(Business;Other Software (inq. Games);Applications Software(Home);Communication/Network Software;Desktop Publishing</v>
      </c>
      <c r="Z1084" s="6" t="str">
        <v>Applications Software(Business;Applications Software(Home);Desktop Publishing;Communication/Network Software;Primary Business not Hi-Tech;Utilities/File Mgmt Software;Internet Services &amp; Software;Other Software (inq. Games)</v>
      </c>
      <c r="AA1084" s="6" t="str">
        <v>Printers;Portable Computers;Disk Drives;Monitors/Terminals;Mainframes &amp; Super Computers;Micro-Computers (PCs);Other Peripherals;Other Software (inq. Games)</v>
      </c>
      <c r="AB1084" s="6" t="str">
        <v>Other Peripherals;Mainframes &amp; Super Computers;Other Software (inq. Games);Micro-Computers (PCs);Portable Computers;Printers;Monitors/Terminals;Disk Drives</v>
      </c>
    </row>
    <row r="1085">
      <c r="A1085" s="6" t="str">
        <v>73959W</v>
      </c>
      <c r="B1085" s="6" t="str">
        <v>United States</v>
      </c>
      <c r="C1085" s="6" t="str">
        <v>PowerSchool Group LLC</v>
      </c>
      <c r="D1085" s="6" t="str">
        <v>PowerSchool Holdings Inc</v>
      </c>
      <c r="F1085" s="6" t="str">
        <v>United States</v>
      </c>
      <c r="G1085" s="6" t="str">
        <v>AccelaSchool LLC</v>
      </c>
      <c r="H1085" s="6" t="str">
        <v>Prepackaged Software</v>
      </c>
      <c r="I1085" s="6" t="str">
        <v>9J6254</v>
      </c>
      <c r="J1085" s="6" t="str">
        <v>AccelaSchool LLC</v>
      </c>
      <c r="K1085" s="6" t="str">
        <v>AccelaSchool LLC</v>
      </c>
      <c r="L1085" s="7">
        <f>=DATE(2019,10,15)</f>
        <v>43752.99949074074</v>
      </c>
      <c r="M1085" s="7">
        <f>=DATE(2019,10,15)</f>
        <v>43752.99949074074</v>
      </c>
      <c r="W1085" s="6" t="str">
        <v>Other Software (inq. Games)</v>
      </c>
      <c r="X1085" s="6" t="str">
        <v>Applications Software(Business</v>
      </c>
      <c r="Y1085" s="6" t="str">
        <v>Applications Software(Business</v>
      </c>
      <c r="Z1085" s="6" t="str">
        <v>Applications Software(Business</v>
      </c>
      <c r="AA1085" s="6" t="str">
        <v>Other Software (inq. Games);Primary Business not Hi-Tech;Utilities/File Mgmt Software;Desktop Publishing;Internet Services &amp; Software;Applications Software(Home);Applications Software(Business;Communication/Network Software</v>
      </c>
      <c r="AB1085" s="6" t="str">
        <v>Desktop Publishing;Primary Business not Hi-Tech;Other Software (inq. Games);Communication/Network Software;Utilities/File Mgmt Software;Internet Services &amp; Software;Applications Software(Business;Applications Software(Home)</v>
      </c>
    </row>
    <row r="1086">
      <c r="A1086" s="6" t="str">
        <v>5J9777</v>
      </c>
      <c r="B1086" s="6" t="str">
        <v>United States</v>
      </c>
      <c r="C1086" s="6" t="str">
        <v>Xandr Inc</v>
      </c>
      <c r="D1086" s="6" t="str">
        <v>AT&amp;T Inc</v>
      </c>
      <c r="F1086" s="6" t="str">
        <v>United States</v>
      </c>
      <c r="G1086" s="6" t="str">
        <v>Clypd Inc</v>
      </c>
      <c r="H1086" s="6" t="str">
        <v>Advertising Services</v>
      </c>
      <c r="I1086" s="6" t="str">
        <v>4J1459</v>
      </c>
      <c r="J1086" s="6" t="str">
        <v>Clypd Inc</v>
      </c>
      <c r="K1086" s="6" t="str">
        <v>Clypd Inc</v>
      </c>
      <c r="L1086" s="7">
        <f>=DATE(2019,10,18)</f>
        <v>43755.99949074074</v>
      </c>
      <c r="M1086" s="7">
        <f>=DATE(2019,10,18)</f>
        <v>43755.99949074074</v>
      </c>
      <c r="W1086" s="6" t="str">
        <v>Other Software (inq. Games)</v>
      </c>
      <c r="X1086" s="6" t="str">
        <v>Primary Business not Hi-Tech;Applications Software(Home);Other Software (inq. Games);Internet Services &amp; Software;Communication/Network Software;Applications Software(Business;Desktop Publishing;Utilities/File Mgmt Software</v>
      </c>
      <c r="Y1086" s="6" t="str">
        <v>Other Software (inq. Games);Utilities/File Mgmt Software;Communication/Network Software;Applications Software(Business;Desktop Publishing;Primary Business not Hi-Tech;Applications Software(Home);Internet Services &amp; Software</v>
      </c>
      <c r="Z1086" s="6" t="str">
        <v>Primary Business not Hi-Tech;Applications Software(Home);Utilities/File Mgmt Software;Internet Services &amp; Software;Communication/Network Software;Applications Software(Business;Desktop Publishing;Other Software (inq. Games)</v>
      </c>
      <c r="AA1086" s="6" t="str">
        <v>Networking Systems (LAN,WAN);Data Commun(Exclude networking;Internet Services &amp; Software;Satellite Communications;Cellular Communications</v>
      </c>
      <c r="AB1086" s="6" t="str">
        <v>Data Commun(Exclude networking;Satellite Communications;Cellular Communications;Networking Systems (LAN,WAN);Internet Services &amp; Software</v>
      </c>
    </row>
    <row r="1087">
      <c r="A1087" s="6" t="str">
        <v>594918</v>
      </c>
      <c r="B1087" s="6" t="str">
        <v>United States</v>
      </c>
      <c r="C1087" s="6" t="str">
        <v>Microsoft Corp</v>
      </c>
      <c r="D1087" s="6" t="str">
        <v>Microsoft Corp</v>
      </c>
      <c r="F1087" s="6" t="str">
        <v>Canada</v>
      </c>
      <c r="G1087" s="6" t="str">
        <v>Mover Inc</v>
      </c>
      <c r="H1087" s="6" t="str">
        <v>Business Services</v>
      </c>
      <c r="I1087" s="6" t="str">
        <v>7J7073</v>
      </c>
      <c r="J1087" s="6" t="str">
        <v>Mover Inc</v>
      </c>
      <c r="K1087" s="6" t="str">
        <v>Mover Inc</v>
      </c>
      <c r="L1087" s="7">
        <f>=DATE(2019,10,21)</f>
        <v>43758.99949074074</v>
      </c>
      <c r="M1087" s="7">
        <f>=DATE(2019,10,21)</f>
        <v>43758.99949074074</v>
      </c>
      <c r="W1087" s="6" t="str">
        <v>Internet Services &amp; Software;Computer Consulting Services;Operating Systems;Other Peripherals;Applications Software(Business;Monitors/Terminals</v>
      </c>
      <c r="X1087" s="6" t="str">
        <v>Other Computer Related Svcs;Other Software (inq. Games);Data Processing Services;Computer Consulting Services</v>
      </c>
      <c r="Y1087" s="6" t="str">
        <v>Other Computer Related Svcs;Other Software (inq. Games);Computer Consulting Services;Data Processing Services</v>
      </c>
      <c r="Z1087" s="6" t="str">
        <v>Other Computer Related Svcs;Data Processing Services;Computer Consulting Services;Other Software (inq. Games)</v>
      </c>
      <c r="AA1087" s="6" t="str">
        <v>Applications Software(Business;Monitors/Terminals;Computer Consulting Services;Operating Systems;Internet Services &amp; Software;Other Peripherals</v>
      </c>
      <c r="AB1087" s="6" t="str">
        <v>Computer Consulting Services;Operating Systems;Internet Services &amp; Software;Applications Software(Business;Monitors/Terminals;Other Peripherals</v>
      </c>
    </row>
    <row r="1088">
      <c r="A1088" s="6" t="str">
        <v>023135</v>
      </c>
      <c r="B1088" s="6" t="str">
        <v>United States</v>
      </c>
      <c r="C1088" s="6" t="str">
        <v>Amazon.com Inc</v>
      </c>
      <c r="D1088" s="6" t="str">
        <v>Amazon.com Inc</v>
      </c>
      <c r="F1088" s="6" t="str">
        <v>United States</v>
      </c>
      <c r="G1088" s="6" t="str">
        <v>Health Navigator Inc</v>
      </c>
      <c r="H1088" s="6" t="str">
        <v>Prepackaged Software</v>
      </c>
      <c r="I1088" s="6" t="str">
        <v>7J8512</v>
      </c>
      <c r="J1088" s="6" t="str">
        <v>Health Navigator Inc</v>
      </c>
      <c r="K1088" s="6" t="str">
        <v>Health Navigator Inc</v>
      </c>
      <c r="L1088" s="7">
        <f>=DATE(2019,10,23)</f>
        <v>43760.99949074074</v>
      </c>
      <c r="M1088" s="7">
        <f>=DATE(2019,10,23)</f>
        <v>43760.99949074074</v>
      </c>
      <c r="W1088" s="6" t="str">
        <v>Primary Business not Hi-Tech</v>
      </c>
      <c r="X1088" s="6" t="str">
        <v>Other Software (inq. Games)</v>
      </c>
      <c r="Y1088" s="6" t="str">
        <v>Other Software (inq. Games)</v>
      </c>
      <c r="Z1088" s="6" t="str">
        <v>Other Software (inq. Games)</v>
      </c>
      <c r="AA1088" s="6" t="str">
        <v>Primary Business not Hi-Tech</v>
      </c>
      <c r="AB1088" s="6" t="str">
        <v>Primary Business not Hi-Tech</v>
      </c>
    </row>
    <row r="1089">
      <c r="A1089" s="6" t="str">
        <v>73959W</v>
      </c>
      <c r="B1089" s="6" t="str">
        <v>United States</v>
      </c>
      <c r="C1089" s="6" t="str">
        <v>PowerSchool Group LLC</v>
      </c>
      <c r="D1089" s="6" t="str">
        <v>PowerSchool Holdings Inc</v>
      </c>
      <c r="F1089" s="6" t="str">
        <v>United States</v>
      </c>
      <c r="G1089" s="6" t="str">
        <v>Schoology Inc</v>
      </c>
      <c r="H1089" s="6" t="str">
        <v>Educational Services</v>
      </c>
      <c r="I1089" s="6" t="str">
        <v>7J7555</v>
      </c>
      <c r="J1089" s="6" t="str">
        <v>Schoology Inc</v>
      </c>
      <c r="K1089" s="6" t="str">
        <v>Schoology Inc</v>
      </c>
      <c r="L1089" s="7">
        <f>=DATE(2019,10,24)</f>
        <v>43761.99949074074</v>
      </c>
      <c r="M1089" s="7">
        <f>=DATE(2019,11,25)</f>
        <v>43793.99949074074</v>
      </c>
      <c r="W1089" s="6" t="str">
        <v>Other Software (inq. Games)</v>
      </c>
      <c r="X1089" s="6" t="str">
        <v>Internet Services &amp; Software</v>
      </c>
      <c r="Y1089" s="6" t="str">
        <v>Internet Services &amp; Software</v>
      </c>
      <c r="Z1089" s="6" t="str">
        <v>Internet Services &amp; Software</v>
      </c>
      <c r="AA1089" s="6" t="str">
        <v>Utilities/File Mgmt Software;Communication/Network Software;Applications Software(Home);Primary Business not Hi-Tech;Desktop Publishing;Other Software (inq. Games);Internet Services &amp; Software;Applications Software(Business</v>
      </c>
      <c r="AB1089" s="6" t="str">
        <v>Utilities/File Mgmt Software;Communication/Network Software;Other Software (inq. Games);Internet Services &amp; Software;Desktop Publishing;Applications Software(Home);Primary Business not Hi-Tech;Applications Software(Business</v>
      </c>
    </row>
    <row r="1090">
      <c r="A1090" s="6" t="str">
        <v>3H3084</v>
      </c>
      <c r="B1090" s="6" t="str">
        <v>United States</v>
      </c>
      <c r="C1090" s="6" t="str">
        <v>Tenor Inc</v>
      </c>
      <c r="D1090" s="6" t="str">
        <v>Alphabet Inc</v>
      </c>
      <c r="F1090" s="6" t="str">
        <v>United States</v>
      </c>
      <c r="G1090" s="6" t="str">
        <v>Zya Inc</v>
      </c>
      <c r="H1090" s="6" t="str">
        <v>Prepackaged Software</v>
      </c>
      <c r="I1090" s="6" t="str">
        <v>9J7405</v>
      </c>
      <c r="J1090" s="6" t="str">
        <v>Zya Inc</v>
      </c>
      <c r="K1090" s="6" t="str">
        <v>Zya Inc</v>
      </c>
      <c r="L1090" s="7">
        <f>=DATE(2019,10,25)</f>
        <v>43762.99949074074</v>
      </c>
      <c r="M1090" s="7">
        <f>=DATE(2019,10,25)</f>
        <v>43762.99949074074</v>
      </c>
      <c r="W1090" s="6" t="str">
        <v>Applications Software(Business;Applications Software(Home);Utilities/File Mgmt Software;Desktop Publishing;Internet Services &amp; Software;Other Software (inq. Games);Communication/Network Software</v>
      </c>
      <c r="X1090" s="6" t="str">
        <v>Utilities/File Mgmt Software;Applications Software(Home);Desktop Publishing;Applications Software(Business;Communication/Network Software;Other Software (inq. Games);Internet Services &amp; Software</v>
      </c>
      <c r="Y1090" s="6" t="str">
        <v>Internet Services &amp; Software;Applications Software(Business;Applications Software(Home);Other Software (inq. Games);Desktop Publishing;Communication/Network Software;Utilities/File Mgmt Software</v>
      </c>
      <c r="Z1090" s="6" t="str">
        <v>Other Software (inq. Games);Applications Software(Business;Desktop Publishing;Internet Services &amp; Software;Communication/Network Software;Utilities/File Mgmt Software;Applications Software(Home)</v>
      </c>
      <c r="AA1090" s="6" t="str">
        <v>Programming Services;Internet Services &amp; Software</v>
      </c>
      <c r="AB1090" s="6" t="str">
        <v>Primary Business not Hi-Tech;Programming Services;Computer Consulting Services;Internet Services &amp; Software;Telecommunications Equipment</v>
      </c>
    </row>
    <row r="1091">
      <c r="A1091" s="6" t="str">
        <v>594918</v>
      </c>
      <c r="B1091" s="6" t="str">
        <v>United States</v>
      </c>
      <c r="C1091" s="6" t="str">
        <v>Microsoft Corp</v>
      </c>
      <c r="D1091" s="6" t="str">
        <v>Microsoft Corp</v>
      </c>
      <c r="F1091" s="6" t="str">
        <v>India</v>
      </c>
      <c r="G1091" s="6" t="str">
        <v>ANI Technologies Pvt Ltd</v>
      </c>
      <c r="H1091" s="6" t="str">
        <v>Transportation and Shipping (except air)</v>
      </c>
      <c r="I1091" s="6" t="str">
        <v>3C7940</v>
      </c>
      <c r="J1091" s="6" t="str">
        <v>ANI Technologies Pvt Ltd</v>
      </c>
      <c r="K1091" s="6" t="str">
        <v>ANI Technologies Pvt Ltd</v>
      </c>
      <c r="L1091" s="7">
        <f>=DATE(2019,10,29)</f>
        <v>43766.99949074074</v>
      </c>
      <c r="R1091" s="8">
        <v>-374.8091934085</v>
      </c>
      <c r="S1091" s="8">
        <v>367.682856316855</v>
      </c>
      <c r="W1091" s="6" t="str">
        <v>Other Peripherals;Internet Services &amp; Software;Applications Software(Business;Monitors/Terminals;Operating Systems;Computer Consulting Services</v>
      </c>
      <c r="X1091" s="6" t="str">
        <v>Internet Services &amp; Software;Applications Software(Business</v>
      </c>
      <c r="Y1091" s="6" t="str">
        <v>Internet Services &amp; Software;Applications Software(Business</v>
      </c>
      <c r="Z1091" s="6" t="str">
        <v>Applications Software(Business;Internet Services &amp; Software</v>
      </c>
      <c r="AA1091" s="6" t="str">
        <v>Operating Systems;Internet Services &amp; Software;Applications Software(Business;Other Peripherals;Computer Consulting Services;Monitors/Terminals</v>
      </c>
      <c r="AB1091" s="6" t="str">
        <v>Operating Systems;Internet Services &amp; Software;Monitors/Terminals;Other Peripherals;Applications Software(Business;Computer Consulting Services</v>
      </c>
      <c r="AD1091" s="7">
        <f>=DATE(2019,10,29)</f>
        <v>43766.99949074074</v>
      </c>
    </row>
    <row r="1092">
      <c r="A1092" s="6" t="str">
        <v>7J8440</v>
      </c>
      <c r="B1092" s="6" t="str">
        <v>United States</v>
      </c>
      <c r="C1092" s="6" t="str">
        <v>Google LLC</v>
      </c>
      <c r="D1092" s="6" t="str">
        <v>Alphabet Inc</v>
      </c>
      <c r="F1092" s="6" t="str">
        <v>United States</v>
      </c>
      <c r="G1092" s="6" t="str">
        <v>Fitbit Inc</v>
      </c>
      <c r="H1092" s="6" t="str">
        <v>Computer and Office Equipment</v>
      </c>
      <c r="I1092" s="6" t="str">
        <v>33812L</v>
      </c>
      <c r="J1092" s="6" t="str">
        <v>Fitbit Inc</v>
      </c>
      <c r="K1092" s="6" t="str">
        <v>Fitbit Inc</v>
      </c>
      <c r="L1092" s="7">
        <f>=DATE(2019,11,1)</f>
        <v>43769.99949074074</v>
      </c>
      <c r="M1092" s="7">
        <f>=DATE(2021,1,14)</f>
        <v>44209.99949074074</v>
      </c>
      <c r="N1092" s="8">
        <v>2113.374</v>
      </c>
      <c r="O1092" s="8">
        <v>2113.374</v>
      </c>
      <c r="P1092" s="8" t="str">
        <v>1,477.06</v>
      </c>
      <c r="R1092" s="8">
        <v>-184.504</v>
      </c>
      <c r="S1092" s="8">
        <v>1503.845</v>
      </c>
      <c r="T1092" s="8">
        <v>-2.613</v>
      </c>
      <c r="U1092" s="8">
        <v>-38.764</v>
      </c>
      <c r="V1092" s="8">
        <v>-73.429</v>
      </c>
      <c r="W1092" s="6" t="str">
        <v>Internet Services &amp; Software;Programming Services</v>
      </c>
      <c r="X1092" s="6" t="str">
        <v>Medical Monitoring Systems;Primary Business not Hi-Tech;Portable Computers</v>
      </c>
      <c r="Y1092" s="6" t="str">
        <v>Primary Business not Hi-Tech;Medical Monitoring Systems;Portable Computers</v>
      </c>
      <c r="Z1092" s="6" t="str">
        <v>Portable Computers;Primary Business not Hi-Tech;Medical Monitoring Systems</v>
      </c>
      <c r="AA1092" s="6" t="str">
        <v>Telecommunications Equipment;Computer Consulting Services;Programming Services;Internet Services &amp; Software;Primary Business not Hi-Tech</v>
      </c>
      <c r="AB1092" s="6" t="str">
        <v>Computer Consulting Services;Telecommunications Equipment;Primary Business not Hi-Tech;Programming Services;Internet Services &amp; Software</v>
      </c>
      <c r="AC1092" s="8">
        <v>2113.374</v>
      </c>
      <c r="AD1092" s="7">
        <f>=DATE(2019,11,1)</f>
        <v>43769.99949074074</v>
      </c>
      <c r="AE1092" s="8">
        <v>2161.09160715</v>
      </c>
      <c r="AF1092" s="8" t="str">
        <v>1,477.15</v>
      </c>
      <c r="AG1092" s="8" t="str">
        <v>1,477.06</v>
      </c>
      <c r="AH1092" s="8" t="str">
        <v>1,978.84</v>
      </c>
      <c r="AI1092" s="8" t="str">
        <v>1,978.93</v>
      </c>
      <c r="AJ1092" s="8" t="str">
        <v>;;;;66.90</v>
      </c>
      <c r="AK1092" s="6" t="str">
        <v>US Dollar;US Dollar;US Dollar;US Dollar;US Dollar</v>
      </c>
      <c r="AL1092" s="8">
        <v>2113.374</v>
      </c>
    </row>
    <row r="1093">
      <c r="A1093" s="6" t="str">
        <v>9H1420</v>
      </c>
      <c r="B1093" s="6" t="str">
        <v>United States</v>
      </c>
      <c r="C1093" s="6" t="str">
        <v>Google Cloud Platform</v>
      </c>
      <c r="D1093" s="6" t="str">
        <v>Alphabet Inc</v>
      </c>
      <c r="F1093" s="6" t="str">
        <v>United States</v>
      </c>
      <c r="G1093" s="6" t="str">
        <v>Cloudsimple Inc</v>
      </c>
      <c r="H1093" s="6" t="str">
        <v>Business Services</v>
      </c>
      <c r="I1093" s="6" t="str">
        <v>6J2802</v>
      </c>
      <c r="J1093" s="6" t="str">
        <v>Cloudsimple Inc</v>
      </c>
      <c r="K1093" s="6" t="str">
        <v>Cloudsimple Inc</v>
      </c>
      <c r="L1093" s="7">
        <f>=DATE(2019,11,19)</f>
        <v>43787.99949074074</v>
      </c>
      <c r="M1093" s="7">
        <f>=DATE(2019,11,19)</f>
        <v>43787.99949074074</v>
      </c>
      <c r="W1093" s="6" t="str">
        <v>Other Software (inq. Games)</v>
      </c>
      <c r="X1093" s="6" t="str">
        <v>Programming Services;Database Software/Programming</v>
      </c>
      <c r="Y1093" s="6" t="str">
        <v>Programming Services;Database Software/Programming</v>
      </c>
      <c r="Z1093" s="6" t="str">
        <v>Database Software/Programming;Programming Services</v>
      </c>
      <c r="AA1093" s="6" t="str">
        <v>Programming Services;Internet Services &amp; Software</v>
      </c>
      <c r="AB1093" s="6" t="str">
        <v>Programming Services;Telecommunications Equipment;Primary Business not Hi-Tech;Computer Consulting Services;Internet Services &amp; Software</v>
      </c>
    </row>
    <row r="1094">
      <c r="A1094" s="6" t="str">
        <v>30303M</v>
      </c>
      <c r="B1094" s="6" t="str">
        <v>United States</v>
      </c>
      <c r="C1094" s="6" t="str">
        <v>Facebook Inc</v>
      </c>
      <c r="D1094" s="6" t="str">
        <v>Facebook Inc</v>
      </c>
      <c r="F1094" s="6" t="str">
        <v>Czech Republic</v>
      </c>
      <c r="G1094" s="6" t="str">
        <v>Beat Games S.R.O.</v>
      </c>
      <c r="H1094" s="6" t="str">
        <v>Prepackaged Software</v>
      </c>
      <c r="I1094" s="6" t="str">
        <v>8J5430</v>
      </c>
      <c r="J1094" s="6" t="str">
        <v>Beat Games S.R.O.</v>
      </c>
      <c r="K1094" s="6" t="str">
        <v>Beat Games S.R.O.</v>
      </c>
      <c r="L1094" s="7">
        <f>=DATE(2019,11,26)</f>
        <v>43794.99949074074</v>
      </c>
      <c r="M1094" s="7">
        <f>=DATE(2019,11,26)</f>
        <v>43794.99949074074</v>
      </c>
      <c r="W1094" s="6" t="str">
        <v>Internet Services &amp; Software</v>
      </c>
      <c r="X1094" s="6" t="str">
        <v>Other Software (inq. Games);Applications Software(Home);Utilities/File Mgmt Software;Desktop Publishing;Communication/Network Software;Computer Consulting Services;Networking Systems (LAN,WAN);Applications Software(Business;Other Computer Related Svcs;Primary Business not Hi-Tech;Internet Services &amp; Software</v>
      </c>
      <c r="Y1094" s="6" t="str">
        <v>Primary Business not Hi-Tech;Computer Consulting Services;Desktop Publishing;Utilities/File Mgmt Software;Other Software (inq. Games);Networking Systems (LAN,WAN);Communication/Network Software;Applications Software(Home);Internet Services &amp; Software;Applications Software(Business;Other Computer Related Svcs</v>
      </c>
      <c r="Z1094" s="6" t="str">
        <v>Other Software (inq. Games);Internet Services &amp; Software;Utilities/File Mgmt Software;Communication/Network Software;Primary Business not Hi-Tech;Desktop Publishing;Applications Software(Home);Applications Software(Business;Other Computer Related Svcs;Computer Consulting Services;Networking Systems (LAN,WAN)</v>
      </c>
      <c r="AA1094" s="6" t="str">
        <v>Internet Services &amp; Software</v>
      </c>
      <c r="AB1094" s="6" t="str">
        <v>Internet Services &amp; Software</v>
      </c>
    </row>
    <row r="1095">
      <c r="A1095" s="6" t="str">
        <v>037833</v>
      </c>
      <c r="B1095" s="6" t="str">
        <v>United States</v>
      </c>
      <c r="C1095" s="6" t="str">
        <v>Apple Inc</v>
      </c>
      <c r="D1095" s="6" t="str">
        <v>Apple Inc</v>
      </c>
      <c r="F1095" s="6" t="str">
        <v>United States</v>
      </c>
      <c r="G1095" s="6" t="str">
        <v>Apple Inc</v>
      </c>
      <c r="H1095" s="6" t="str">
        <v>Computer and Office Equipment</v>
      </c>
      <c r="I1095" s="6" t="str">
        <v>037833</v>
      </c>
      <c r="J1095" s="6" t="str">
        <v>Apple Inc</v>
      </c>
      <c r="K1095" s="6" t="str">
        <v>Apple Inc</v>
      </c>
      <c r="L1095" s="7">
        <f>=DATE(2019,11,30)</f>
        <v>43798.99949074074</v>
      </c>
      <c r="M1095" s="7">
        <f>=DATE(2020,5,31)</f>
        <v>43981.99949074074</v>
      </c>
      <c r="N1095" s="8">
        <v>10000</v>
      </c>
      <c r="O1095" s="8">
        <v>10000</v>
      </c>
      <c r="P1095" s="8" t="str">
        <v>1,269,781.19</v>
      </c>
      <c r="R1095" s="8">
        <v>55256</v>
      </c>
      <c r="S1095" s="8">
        <v>260174</v>
      </c>
      <c r="T1095" s="8">
        <v>-90976</v>
      </c>
      <c r="U1095" s="8">
        <v>45896</v>
      </c>
      <c r="V1095" s="8">
        <v>69391</v>
      </c>
      <c r="W1095" s="6" t="str">
        <v>Portable Computers;Disk Drives;Printers;Other Peripherals;Other Software (inq. Games);Mainframes &amp; Super Computers;Monitors/Terminals;Micro-Computers (PCs)</v>
      </c>
      <c r="X1095" s="6" t="str">
        <v>Other Software (inq. Games);Printers;Portable Computers;Micro-Computers (PCs);Disk Drives;Other Peripherals;Monitors/Terminals;Mainframes &amp; Super Computers</v>
      </c>
      <c r="Y1095" s="6" t="str">
        <v>Printers;Other Peripherals;Monitors/Terminals;Other Software (inq. Games);Portable Computers;Micro-Computers (PCs);Mainframes &amp; Super Computers;Disk Drives</v>
      </c>
      <c r="Z1095" s="6" t="str">
        <v>Other Peripherals;Disk Drives;Printers;Micro-Computers (PCs);Monitors/Terminals;Portable Computers;Other Software (inq. Games);Mainframes &amp; Super Computers</v>
      </c>
      <c r="AA1095" s="6" t="str">
        <v>Other Software (inq. Games);Micro-Computers (PCs);Printers;Other Peripherals;Monitors/Terminals;Mainframes &amp; Super Computers;Portable Computers;Disk Drives</v>
      </c>
      <c r="AB1095" s="6" t="str">
        <v>Printers;Portable Computers;Mainframes &amp; Super Computers;Other Software (inq. Games);Monitors/Terminals;Micro-Computers (PCs);Other Peripherals;Disk Drives</v>
      </c>
      <c r="AC1095" s="8">
        <v>10000</v>
      </c>
      <c r="AD1095" s="7">
        <f>=DATE(2019,11,30)</f>
        <v>43798.99949074074</v>
      </c>
      <c r="AF1095" s="8" t="str">
        <v>1,269,781.19</v>
      </c>
      <c r="AG1095" s="8" t="str">
        <v>1,269,781.19</v>
      </c>
      <c r="AH1095" s="8" t="str">
        <v>1,262,291.19</v>
      </c>
      <c r="AI1095" s="8" t="str">
        <v>1,262,291.19</v>
      </c>
      <c r="AJ1095" s="8" t="str">
        <v>10,000.00</v>
      </c>
      <c r="AK1095" s="6" t="str">
        <v>US Dollar</v>
      </c>
      <c r="AL1095" s="8">
        <v>10000</v>
      </c>
    </row>
    <row r="1096">
      <c r="A1096" s="6" t="str">
        <v>2F3138</v>
      </c>
      <c r="B1096" s="6" t="str">
        <v>United States</v>
      </c>
      <c r="C1096" s="6" t="str">
        <v>CapitalG Management Co LLC</v>
      </c>
      <c r="D1096" s="6" t="str">
        <v>Alphabet Inc</v>
      </c>
      <c r="F1096" s="6" t="str">
        <v>United States</v>
      </c>
      <c r="G1096" s="6" t="str">
        <v>Duolingo Inc</v>
      </c>
      <c r="H1096" s="6" t="str">
        <v>Educational Services</v>
      </c>
      <c r="I1096" s="6" t="str">
        <v>26603R</v>
      </c>
      <c r="J1096" s="6" t="str">
        <v>Alphabet Inc</v>
      </c>
      <c r="K1096" s="6" t="str">
        <v>CapitalG Management Co LLC</v>
      </c>
      <c r="L1096" s="7">
        <f>=DATE(2019,12,4)</f>
        <v>43802.99949074074</v>
      </c>
      <c r="M1096" s="7">
        <f>=DATE(2019,12,4)</f>
        <v>43802.99949074074</v>
      </c>
      <c r="N1096" s="8">
        <v>30</v>
      </c>
      <c r="O1096" s="8">
        <v>30</v>
      </c>
      <c r="R1096" s="8">
        <v>-22.697</v>
      </c>
      <c r="S1096" s="8">
        <v>118.315</v>
      </c>
      <c r="T1096" s="8">
        <v>30.97</v>
      </c>
      <c r="U1096" s="8">
        <v>2.431</v>
      </c>
      <c r="V1096" s="8">
        <v>2.152</v>
      </c>
      <c r="W1096" s="6" t="str">
        <v>Primary Business not Hi-Tech</v>
      </c>
      <c r="X1096" s="6" t="str">
        <v>Communication/Network Software;Other Software (inq. Games);Primary Business not Hi-Tech;Applications Software(Home)</v>
      </c>
      <c r="Y1096" s="6" t="str">
        <v>Primary Business not Hi-Tech</v>
      </c>
      <c r="Z1096" s="6" t="str">
        <v>Telecommunications Equipment;Internet Services &amp; Software;Primary Business not Hi-Tech;Computer Consulting Services;Programming Services</v>
      </c>
      <c r="AA1096" s="6" t="str">
        <v>Programming Services;Internet Services &amp; Software</v>
      </c>
      <c r="AB1096" s="6" t="str">
        <v>Computer Consulting Services;Internet Services &amp; Software;Programming Services;Telecommunications Equipment;Primary Business not Hi-Tech</v>
      </c>
      <c r="AC1096" s="8">
        <v>30</v>
      </c>
      <c r="AD1096" s="7">
        <f>=DATE(2019,12,4)</f>
        <v>43802.99949074074</v>
      </c>
      <c r="AL1096" s="8">
        <v>30</v>
      </c>
    </row>
    <row r="1097">
      <c r="A1097" s="6" t="str">
        <v>037833</v>
      </c>
      <c r="B1097" s="6" t="str">
        <v>United States</v>
      </c>
      <c r="C1097" s="6" t="str">
        <v>Apple Inc</v>
      </c>
      <c r="D1097" s="6" t="str">
        <v>Apple Inc</v>
      </c>
      <c r="F1097" s="6" t="str">
        <v>United Kingdom</v>
      </c>
      <c r="G1097" s="6" t="str">
        <v>SPECTRAL EDGE LTD</v>
      </c>
      <c r="H1097" s="6" t="str">
        <v>Prepackaged Software</v>
      </c>
      <c r="I1097" s="6" t="str">
        <v>8K6183</v>
      </c>
      <c r="J1097" s="6" t="str">
        <v>SPECTRAL EDGE LTD</v>
      </c>
      <c r="K1097" s="6" t="str">
        <v>SPECTRAL EDGE LTD</v>
      </c>
      <c r="L1097" s="7">
        <f>=DATE(2019,12,12)</f>
        <v>43810.99949074074</v>
      </c>
      <c r="M1097" s="7">
        <f>=DATE(2019,12,12)</f>
        <v>43810.99949074074</v>
      </c>
      <c r="W1097" s="6" t="str">
        <v>Mainframes &amp; Super Computers;Printers;Portable Computers;Other Peripherals;Other Software (inq. Games);Micro-Computers (PCs);Monitors/Terminals;Disk Drives</v>
      </c>
      <c r="X1097" s="6" t="str">
        <v>Applications Software(Business;Internet Services &amp; Software;Applications Software(Home);Other Software (inq. Games);Desktop Publishing;Communication/Network Software;Utilities/File Mgmt Software</v>
      </c>
      <c r="Y1097" s="6" t="str">
        <v>Internet Services &amp; Software;Other Software (inq. Games);Applications Software(Home);Utilities/File Mgmt Software;Desktop Publishing;Applications Software(Business;Communication/Network Software</v>
      </c>
      <c r="Z1097" s="6" t="str">
        <v>Applications Software(Home);Internet Services &amp; Software;Other Software (inq. Games);Applications Software(Business;Desktop Publishing;Utilities/File Mgmt Software;Communication/Network Software</v>
      </c>
      <c r="AA1097" s="6" t="str">
        <v>Other Software (inq. Games);Printers;Mainframes &amp; Super Computers;Portable Computers;Other Peripherals;Disk Drives;Micro-Computers (PCs);Monitors/Terminals</v>
      </c>
      <c r="AB1097" s="6" t="str">
        <v>Monitors/Terminals;Printers;Disk Drives;Other Software (inq. Games);Mainframes &amp; Super Computers;Portable Computers;Other Peripherals;Micro-Computers (PCs)</v>
      </c>
    </row>
    <row r="1098">
      <c r="A1098" s="6" t="str">
        <v>30303M</v>
      </c>
      <c r="B1098" s="6" t="str">
        <v>United States</v>
      </c>
      <c r="C1098" s="6" t="str">
        <v>Facebook Inc</v>
      </c>
      <c r="D1098" s="6" t="str">
        <v>Facebook Inc</v>
      </c>
      <c r="F1098" s="6" t="str">
        <v>United Kingdom</v>
      </c>
      <c r="G1098" s="6" t="str">
        <v>Papers With Code</v>
      </c>
      <c r="H1098" s="6" t="str">
        <v>Business Services</v>
      </c>
      <c r="I1098" s="6" t="str">
        <v>9J5421</v>
      </c>
      <c r="J1098" s="6" t="str">
        <v>Papers With Code</v>
      </c>
      <c r="K1098" s="6" t="str">
        <v>Papers With Code</v>
      </c>
      <c r="L1098" s="7">
        <f>=DATE(2019,12,14)</f>
        <v>43812.99949074074</v>
      </c>
      <c r="M1098" s="7">
        <f>=DATE(2019,12,14)</f>
        <v>43812.99949074074</v>
      </c>
      <c r="W1098" s="6" t="str">
        <v>Internet Services &amp; Software</v>
      </c>
      <c r="X1098" s="6" t="str">
        <v>Other Computer Related Svcs;Data Processing Services;Other Software (inq. Games);Computer Consulting Services</v>
      </c>
      <c r="Y1098" s="6" t="str">
        <v>Computer Consulting Services;Other Software (inq. Games);Data Processing Services;Other Computer Related Svcs</v>
      </c>
      <c r="Z1098" s="6" t="str">
        <v>Other Software (inq. Games);Data Processing Services;Other Computer Related Svcs;Computer Consulting Services</v>
      </c>
      <c r="AA1098" s="6" t="str">
        <v>Internet Services &amp; Software</v>
      </c>
      <c r="AB1098" s="6" t="str">
        <v>Internet Services &amp; Software</v>
      </c>
    </row>
    <row r="1099">
      <c r="A1099" s="6" t="str">
        <v>023135</v>
      </c>
      <c r="B1099" s="6" t="str">
        <v>United States</v>
      </c>
      <c r="C1099" s="6" t="str">
        <v>Amazon.com Inc</v>
      </c>
      <c r="D1099" s="6" t="str">
        <v>Amazon.com Inc</v>
      </c>
      <c r="F1099" s="6" t="str">
        <v>Sweden</v>
      </c>
      <c r="G1099" s="6" t="str">
        <v>Net Insight AB-Sye Consumer Streaming Business</v>
      </c>
      <c r="H1099" s="6" t="str">
        <v>Business Services</v>
      </c>
      <c r="I1099" s="6" t="str">
        <v>9J6762</v>
      </c>
      <c r="J1099" s="6" t="str">
        <v>Net Insight AB</v>
      </c>
      <c r="K1099" s="6" t="str">
        <v>Net Insight AB</v>
      </c>
      <c r="L1099" s="7">
        <f>=DATE(2019,12,17)</f>
        <v>43815.99949074074</v>
      </c>
      <c r="M1099" s="7">
        <f>=DATE(2020,1,3)</f>
        <v>43832.99949074074</v>
      </c>
      <c r="N1099" s="8">
        <v>37.3891678239504</v>
      </c>
      <c r="O1099" s="8">
        <v>37.3891678239504</v>
      </c>
      <c r="W1099" s="6" t="str">
        <v>Primary Business not Hi-Tech</v>
      </c>
      <c r="X1099" s="6" t="str">
        <v>Internet Services &amp; Software;Data Processing Services;Other Computer Related Svcs</v>
      </c>
      <c r="Y1099" s="6" t="str">
        <v>Networking Systems (LAN,WAN);Other Telecommunications Equip;Telephone Interconnect Equip</v>
      </c>
      <c r="Z1099" s="6" t="str">
        <v>Networking Systems (LAN,WAN);Other Telecommunications Equip;Telephone Interconnect Equip</v>
      </c>
      <c r="AA1099" s="6" t="str">
        <v>Primary Business not Hi-Tech</v>
      </c>
      <c r="AB1099" s="6" t="str">
        <v>Primary Business not Hi-Tech</v>
      </c>
      <c r="AC1099" s="8">
        <v>37.3891678239504</v>
      </c>
      <c r="AD1099" s="7">
        <f>=DATE(2019,12,17)</f>
        <v>43815.99949074074</v>
      </c>
      <c r="AL1099" s="8">
        <v>37.3891678239504</v>
      </c>
    </row>
    <row r="1100">
      <c r="A1100" s="6" t="str">
        <v>30303M</v>
      </c>
      <c r="B1100" s="6" t="str">
        <v>United States</v>
      </c>
      <c r="C1100" s="6" t="str">
        <v>Facebook Inc</v>
      </c>
      <c r="D1100" s="6" t="str">
        <v>Facebook Inc</v>
      </c>
      <c r="F1100" s="6" t="str">
        <v>Spain</v>
      </c>
      <c r="G1100" s="6" t="str">
        <v>PLAYGIGA SL</v>
      </c>
      <c r="H1100" s="6" t="str">
        <v>Prepackaged Software</v>
      </c>
      <c r="I1100" s="6" t="str">
        <v>9J3021</v>
      </c>
      <c r="J1100" s="6" t="str">
        <v>PLAYGIGA SL</v>
      </c>
      <c r="K1100" s="6" t="str">
        <v>PLAYGIGA SL</v>
      </c>
      <c r="L1100" s="7">
        <f>=DATE(2019,12,18)</f>
        <v>43816.99949074074</v>
      </c>
      <c r="M1100" s="7">
        <f>=DATE(2019,12,18)</f>
        <v>43816.99949074074</v>
      </c>
      <c r="R1100" s="8">
        <v>-2.25364712358932</v>
      </c>
      <c r="S1100" s="8">
        <v>3.37645655564731</v>
      </c>
      <c r="W1100" s="6" t="str">
        <v>Internet Services &amp; Software</v>
      </c>
      <c r="X1100" s="6" t="str">
        <v>Other Software (inq. Games)</v>
      </c>
      <c r="Y1100" s="6" t="str">
        <v>Other Software (inq. Games)</v>
      </c>
      <c r="Z1100" s="6" t="str">
        <v>Other Software (inq. Games)</v>
      </c>
      <c r="AA1100" s="6" t="str">
        <v>Internet Services &amp; Software</v>
      </c>
      <c r="AB1100" s="6" t="str">
        <v>Internet Services &amp; Software</v>
      </c>
    </row>
    <row r="1101">
      <c r="A1101" s="6" t="str">
        <v>30303M</v>
      </c>
      <c r="B1101" s="6" t="str">
        <v>United States</v>
      </c>
      <c r="C1101" s="6" t="str">
        <v>Facebook Inc</v>
      </c>
      <c r="D1101" s="6" t="str">
        <v>Facebook Inc</v>
      </c>
      <c r="F1101" s="6" t="str">
        <v>United States</v>
      </c>
      <c r="G1101" s="6" t="str">
        <v>Packagd Corp</v>
      </c>
      <c r="H1101" s="6" t="str">
        <v>Prepackaged Software</v>
      </c>
      <c r="I1101" s="6" t="str">
        <v>9J9399</v>
      </c>
      <c r="J1101" s="6" t="str">
        <v>Packagd Corp</v>
      </c>
      <c r="K1101" s="6" t="str">
        <v>Packagd Corp</v>
      </c>
      <c r="L1101" s="7">
        <f>=DATE(2019,12,19)</f>
        <v>43817.99949074074</v>
      </c>
      <c r="M1101" s="7">
        <f>=DATE(2019,12,19)</f>
        <v>43817.99949074074</v>
      </c>
      <c r="W1101" s="6" t="str">
        <v>Internet Services &amp; Software</v>
      </c>
      <c r="X1101" s="6" t="str">
        <v>Other Software (inq. Games)</v>
      </c>
      <c r="Y1101" s="6" t="str">
        <v>Other Software (inq. Games)</v>
      </c>
      <c r="Z1101" s="6" t="str">
        <v>Other Software (inq. Games)</v>
      </c>
      <c r="AA1101" s="6" t="str">
        <v>Internet Services &amp; Software</v>
      </c>
      <c r="AB1101" s="6" t="str">
        <v>Internet Services &amp; Software</v>
      </c>
    </row>
    <row r="1102">
      <c r="A1102" s="6" t="str">
        <v>3F2082</v>
      </c>
      <c r="B1102" s="6" t="str">
        <v>United States</v>
      </c>
      <c r="C1102" s="6" t="str">
        <v>M12 Venture</v>
      </c>
      <c r="D1102" s="6" t="str">
        <v>Microsoft Corp</v>
      </c>
      <c r="F1102" s="6" t="str">
        <v>United Kingdom</v>
      </c>
      <c r="G1102" s="6" t="str">
        <v>SuperAwesome Ltd</v>
      </c>
      <c r="H1102" s="6" t="str">
        <v>Business Services</v>
      </c>
      <c r="I1102" s="6" t="str">
        <v>9A0227</v>
      </c>
      <c r="J1102" s="6" t="str">
        <v>SuperAwesome Ltd</v>
      </c>
      <c r="K1102" s="6" t="str">
        <v>SuperAwesome Ltd</v>
      </c>
      <c r="L1102" s="7">
        <f>=DATE(2019,12,24)</f>
        <v>43822.99949074074</v>
      </c>
      <c r="R1102" s="8">
        <v>-5.95371740572537</v>
      </c>
      <c r="S1102" s="8">
        <v>27.0449558605909</v>
      </c>
      <c r="W1102" s="6" t="str">
        <v>Primary Business not Hi-Tech</v>
      </c>
      <c r="X1102" s="6" t="str">
        <v>Applications Software(Home);Communication/Network Software;Applications Software(Business</v>
      </c>
      <c r="Y1102" s="6" t="str">
        <v>Communication/Network Software;Applications Software(Home);Applications Software(Business</v>
      </c>
      <c r="Z1102" s="6" t="str">
        <v>Applications Software(Business;Communication/Network Software;Applications Software(Home)</v>
      </c>
      <c r="AA1102" s="6" t="str">
        <v>Operating Systems;Monitors/Terminals;Other Peripherals;Computer Consulting Services;Applications Software(Business;Internet Services &amp; Software</v>
      </c>
      <c r="AB1102" s="6" t="str">
        <v>Internet Services &amp; Software;Operating Systems;Other Peripherals;Monitors/Terminals;Applications Software(Business;Computer Consulting Services</v>
      </c>
    </row>
    <row r="1103">
      <c r="A1103" s="6" t="str">
        <v>9J7201</v>
      </c>
      <c r="B1103" s="6" t="str">
        <v>United States</v>
      </c>
      <c r="C1103" s="6" t="str">
        <v>Armis Inc SPV</v>
      </c>
      <c r="D1103" s="6" t="str">
        <v>Insight Holdings Group LLC</v>
      </c>
      <c r="F1103" s="6" t="str">
        <v>United States</v>
      </c>
      <c r="G1103" s="6" t="str">
        <v>Armis Inc</v>
      </c>
      <c r="H1103" s="6" t="str">
        <v>Business Services</v>
      </c>
      <c r="I1103" s="6" t="str">
        <v>3H5923</v>
      </c>
      <c r="J1103" s="6" t="str">
        <v>Armis Inc</v>
      </c>
      <c r="K1103" s="6" t="str">
        <v>Armis Inc</v>
      </c>
      <c r="L1103" s="7">
        <f>=DATE(2020,1,6)</f>
        <v>43835.99949074074</v>
      </c>
      <c r="M1103" s="7">
        <f>=DATE(2020,2,11)</f>
        <v>43871.99949074074</v>
      </c>
      <c r="N1103" s="8">
        <v>1100</v>
      </c>
      <c r="O1103" s="8">
        <v>1100</v>
      </c>
      <c r="W1103" s="6" t="str">
        <v>Primary Business not Hi-Tech</v>
      </c>
      <c r="X1103" s="6" t="str">
        <v>Database Software/Programming;Programming Services;Other Computer Related Svcs;Computer Consulting Services;Data Processing Services;Internet Services &amp; Software</v>
      </c>
      <c r="Y1103" s="6" t="str">
        <v>Internet Services &amp; Software;Programming Services;Other Computer Related Svcs;Database Software/Programming;Computer Consulting Services;Data Processing Services</v>
      </c>
      <c r="Z1103" s="6" t="str">
        <v>Other Computer Related Svcs;Programming Services;Data Processing Services;Database Software/Programming;Internet Services &amp; Software;Computer Consulting Services</v>
      </c>
      <c r="AA1103" s="6" t="str">
        <v>Primary Business not Hi-Tech</v>
      </c>
      <c r="AB1103" s="6" t="str">
        <v>Primary Business not Hi-Tech</v>
      </c>
      <c r="AC1103" s="8">
        <v>1100</v>
      </c>
      <c r="AD1103" s="7">
        <f>=DATE(2020,1,6)</f>
        <v>43835.99949074074</v>
      </c>
      <c r="AJ1103" s="8" t="str">
        <v>1,100.00</v>
      </c>
      <c r="AK1103" s="6" t="str">
        <v>US Dollar</v>
      </c>
      <c r="AL1103" s="8">
        <v>1100</v>
      </c>
    </row>
    <row r="1104">
      <c r="A1104" s="6" t="str">
        <v>7J8440</v>
      </c>
      <c r="B1104" s="6" t="str">
        <v>United States</v>
      </c>
      <c r="C1104" s="6" t="str">
        <v>Google LLC</v>
      </c>
      <c r="D1104" s="6" t="str">
        <v>Alphabet Inc</v>
      </c>
      <c r="F1104" s="6" t="str">
        <v>Ireland</v>
      </c>
      <c r="G1104" s="6" t="str">
        <v>Pomo Search Ltd</v>
      </c>
      <c r="H1104" s="6" t="str">
        <v>Prepackaged Software</v>
      </c>
      <c r="I1104" s="6" t="str">
        <v>0K0169</v>
      </c>
      <c r="J1104" s="6" t="str">
        <v>Pomo Search Ltd</v>
      </c>
      <c r="K1104" s="6" t="str">
        <v>Pomo Search Ltd</v>
      </c>
      <c r="L1104" s="7">
        <f>=DATE(2020,1,14)</f>
        <v>43843.99949074074</v>
      </c>
      <c r="M1104" s="7">
        <f>=DATE(2020,1,14)</f>
        <v>43843.99949074074</v>
      </c>
      <c r="R1104" s="8">
        <v>-8.99715265789297</v>
      </c>
      <c r="S1104" s="8">
        <v>1.98192946662781</v>
      </c>
      <c r="W1104" s="6" t="str">
        <v>Programming Services;Internet Services &amp; Software</v>
      </c>
      <c r="X1104" s="6" t="str">
        <v>Desktop Publishing;Printed Circuit Boards;Other Software (inq. Games);Communication/Network Software;Semiconductors;Superconductors;Internet Services &amp; Software;Applications Software(Home);Applications Software(Business;Utilities/File Mgmt Software</v>
      </c>
      <c r="Y1104" s="6" t="str">
        <v>Superconductors;Printed Circuit Boards;Communication/Network Software;Semiconductors;Utilities/File Mgmt Software;Applications Software(Business;Applications Software(Home);Desktop Publishing;Internet Services &amp; Software;Other Software (inq. Games)</v>
      </c>
      <c r="Z1104" s="6" t="str">
        <v>Applications Software(Home);Applications Software(Business;Desktop Publishing;Communication/Network Software;Superconductors;Utilities/File Mgmt Software;Printed Circuit Boards;Internet Services &amp; Software;Other Software (inq. Games);Semiconductors</v>
      </c>
      <c r="AA1104" s="6" t="str">
        <v>Computer Consulting Services;Programming Services;Primary Business not Hi-Tech;Internet Services &amp; Software;Telecommunications Equipment</v>
      </c>
      <c r="AB1104" s="6" t="str">
        <v>Primary Business not Hi-Tech;Telecommunications Equipment;Internet Services &amp; Software;Computer Consulting Services;Programming Services</v>
      </c>
      <c r="AD1104" s="7">
        <f>=DATE(2020,1,20)</f>
        <v>43849.99949074074</v>
      </c>
    </row>
    <row r="1105">
      <c r="A1105" s="6" t="str">
        <v>7J8440</v>
      </c>
      <c r="B1105" s="6" t="str">
        <v>United States</v>
      </c>
      <c r="C1105" s="6" t="str">
        <v>Google LLC</v>
      </c>
      <c r="D1105" s="6" t="str">
        <v>Alphabet Inc</v>
      </c>
      <c r="F1105" s="6" t="str">
        <v>United States</v>
      </c>
      <c r="G1105" s="6" t="str">
        <v>AppSheet Inc</v>
      </c>
      <c r="H1105" s="6" t="str">
        <v>Prepackaged Software</v>
      </c>
      <c r="I1105" s="6" t="str">
        <v>3J8307</v>
      </c>
      <c r="J1105" s="6" t="str">
        <v>AppSheet Inc</v>
      </c>
      <c r="K1105" s="6" t="str">
        <v>AppSheet Inc</v>
      </c>
      <c r="L1105" s="7">
        <f>=DATE(2020,1,14)</f>
        <v>43843.99949074074</v>
      </c>
      <c r="M1105" s="7">
        <f>=DATE(2020,1,14)</f>
        <v>43843.99949074074</v>
      </c>
      <c r="W1105" s="6" t="str">
        <v>Programming Services;Internet Services &amp; Software</v>
      </c>
      <c r="X1105" s="6" t="str">
        <v>Other Software (inq. Games)</v>
      </c>
      <c r="Y1105" s="6" t="str">
        <v>Other Software (inq. Games)</v>
      </c>
      <c r="Z1105" s="6" t="str">
        <v>Other Software (inq. Games)</v>
      </c>
      <c r="AA1105" s="6" t="str">
        <v>Telecommunications Equipment;Primary Business not Hi-Tech;Programming Services;Internet Services &amp; Software;Computer Consulting Services</v>
      </c>
      <c r="AB1105" s="6" t="str">
        <v>Telecommunications Equipment;Programming Services;Primary Business not Hi-Tech;Internet Services &amp; Software;Computer Consulting Services</v>
      </c>
    </row>
    <row r="1106">
      <c r="A1106" s="6" t="str">
        <v>037833</v>
      </c>
      <c r="B1106" s="6" t="str">
        <v>United States</v>
      </c>
      <c r="C1106" s="6" t="str">
        <v>Apple Inc</v>
      </c>
      <c r="D1106" s="6" t="str">
        <v>Apple Inc</v>
      </c>
      <c r="F1106" s="6" t="str">
        <v>United States</v>
      </c>
      <c r="G1106" s="6" t="str">
        <v>Xnor.Ai Inc</v>
      </c>
      <c r="H1106" s="6" t="str">
        <v>Prepackaged Software</v>
      </c>
      <c r="I1106" s="6" t="str">
        <v>1K1350</v>
      </c>
      <c r="J1106" s="6" t="str">
        <v>Xnor.Ai Inc</v>
      </c>
      <c r="K1106" s="6" t="str">
        <v>Xnor.Ai Inc</v>
      </c>
      <c r="L1106" s="7">
        <f>=DATE(2020,1,15)</f>
        <v>43844.99949074074</v>
      </c>
      <c r="M1106" s="7">
        <f>=DATE(2020,1,15)</f>
        <v>43844.99949074074</v>
      </c>
      <c r="W1106" s="6" t="str">
        <v>Mainframes &amp; Super Computers;Micro-Computers (PCs);Printers;Portable Computers;Other Software (inq. Games);Monitors/Terminals;Other Peripherals;Disk Drives</v>
      </c>
      <c r="X1106" s="6" t="str">
        <v>Other Software (inq. Games);Utilities/File Mgmt Software;Communication/Network Software;Desktop Publishing;Applications Software(Home);Applications Software(Business;Internet Services &amp; Software</v>
      </c>
      <c r="Y1106" s="6" t="str">
        <v>Internet Services &amp; Software;Desktop Publishing;Applications Software(Business;Applications Software(Home);Other Software (inq. Games);Utilities/File Mgmt Software;Communication/Network Software</v>
      </c>
      <c r="Z1106" s="6" t="str">
        <v>Applications Software(Home);Applications Software(Business;Desktop Publishing;Communication/Network Software;Utilities/File Mgmt Software;Other Software (inq. Games);Internet Services &amp; Software</v>
      </c>
      <c r="AA1106" s="6" t="str">
        <v>Printers;Monitors/Terminals;Portable Computers;Micro-Computers (PCs);Other Software (inq. Games);Disk Drives;Mainframes &amp; Super Computers;Other Peripherals</v>
      </c>
      <c r="AB1106" s="6" t="str">
        <v>Disk Drives;Micro-Computers (PCs);Mainframes &amp; Super Computers;Portable Computers;Other Software (inq. Games);Other Peripherals;Printers;Monitors/Terminals</v>
      </c>
      <c r="AD1106" s="7">
        <f>=DATE(2020,1,15)</f>
        <v>43844.99949074074</v>
      </c>
    </row>
    <row r="1107">
      <c r="A1107" s="6" t="str">
        <v>30303M</v>
      </c>
      <c r="B1107" s="6" t="str">
        <v>United States</v>
      </c>
      <c r="C1107" s="6" t="str">
        <v>Facebook Inc</v>
      </c>
      <c r="D1107" s="6" t="str">
        <v>Facebook Inc</v>
      </c>
      <c r="F1107" s="6" t="str">
        <v>United Kingdom</v>
      </c>
      <c r="G1107" s="6" t="str">
        <v>Scape Technologies Ltd</v>
      </c>
      <c r="H1107" s="6" t="str">
        <v>Prepackaged Software</v>
      </c>
      <c r="I1107" s="6" t="str">
        <v>0K9500</v>
      </c>
      <c r="J1107" s="6" t="str">
        <v>Scape Technologies Ltd</v>
      </c>
      <c r="K1107" s="6" t="str">
        <v>Scape Technologies Ltd</v>
      </c>
      <c r="L1107" s="7">
        <f>=DATE(2020,2,10)</f>
        <v>43870.99949074074</v>
      </c>
      <c r="M1107" s="7">
        <f>=DATE(2020,2,10)</f>
        <v>43870.99949074074</v>
      </c>
      <c r="W1107" s="6" t="str">
        <v>Internet Services &amp; Software</v>
      </c>
      <c r="X1107" s="6" t="str">
        <v>Communication/Network Software</v>
      </c>
      <c r="Y1107" s="6" t="str">
        <v>Communication/Network Software</v>
      </c>
      <c r="Z1107" s="6" t="str">
        <v>Communication/Network Software</v>
      </c>
      <c r="AA1107" s="6" t="str">
        <v>Internet Services &amp; Software</v>
      </c>
      <c r="AB1107" s="6" t="str">
        <v>Internet Services &amp; Software</v>
      </c>
      <c r="AD1107" s="7">
        <f>=DATE(2020,2,10)</f>
        <v>43870.99949074074</v>
      </c>
    </row>
    <row r="1108">
      <c r="A1108" s="6" t="str">
        <v>7J8440</v>
      </c>
      <c r="B1108" s="6" t="str">
        <v>United States</v>
      </c>
      <c r="C1108" s="6" t="str">
        <v>Google LLC</v>
      </c>
      <c r="D1108" s="6" t="str">
        <v>Alphabet Inc</v>
      </c>
      <c r="F1108" s="6" t="str">
        <v>Netherlands</v>
      </c>
      <c r="G1108" s="6" t="str">
        <v>Cornerstone Technology BV</v>
      </c>
      <c r="H1108" s="6" t="str">
        <v>Business Services</v>
      </c>
      <c r="I1108" s="6" t="str">
        <v>1K3053</v>
      </c>
      <c r="J1108" s="6" t="str">
        <v>Cornerstone Technology BV</v>
      </c>
      <c r="K1108" s="6" t="str">
        <v>Cornerstone Technology BV</v>
      </c>
      <c r="L1108" s="7">
        <f>=DATE(2020,2,19)</f>
        <v>43879.99949074074</v>
      </c>
      <c r="M1108" s="7">
        <f>=DATE(2020,2,19)</f>
        <v>43879.99949074074</v>
      </c>
      <c r="W1108" s="6" t="str">
        <v>Internet Services &amp; Software;Programming Services</v>
      </c>
      <c r="X1108" s="6" t="str">
        <v>Computer Consulting Services;Other Computer Related Svcs;Other Software (inq. Games);Data Processing Services</v>
      </c>
      <c r="Y1108" s="6" t="str">
        <v>Other Computer Related Svcs;Other Software (inq. Games);Data Processing Services;Computer Consulting Services</v>
      </c>
      <c r="Z1108" s="6" t="str">
        <v>Data Processing Services;Other Software (inq. Games);Computer Consulting Services;Other Computer Related Svcs</v>
      </c>
      <c r="AA1108" s="6" t="str">
        <v>Telecommunications Equipment;Programming Services;Computer Consulting Services;Internet Services &amp; Software;Primary Business not Hi-Tech</v>
      </c>
      <c r="AB1108" s="6" t="str">
        <v>Internet Services &amp; Software;Telecommunications Equipment;Computer Consulting Services;Programming Services;Primary Business not Hi-Tech</v>
      </c>
    </row>
    <row r="1109">
      <c r="A1109" s="6" t="str">
        <v>4C7902</v>
      </c>
      <c r="B1109" s="6" t="str">
        <v>United States</v>
      </c>
      <c r="C1109" s="6" t="str">
        <v>Amazon Web Services Inc</v>
      </c>
      <c r="D1109" s="6" t="str">
        <v>Amazon.com Inc</v>
      </c>
      <c r="F1109" s="6" t="str">
        <v>United States</v>
      </c>
      <c r="G1109" s="6" t="str">
        <v>DataRow</v>
      </c>
      <c r="H1109" s="6" t="str">
        <v>Prepackaged Software</v>
      </c>
      <c r="I1109" s="6" t="str">
        <v>1K3414</v>
      </c>
      <c r="J1109" s="6" t="str">
        <v>DataRow</v>
      </c>
      <c r="K1109" s="6" t="str">
        <v>DataRow</v>
      </c>
      <c r="L1109" s="7">
        <f>=DATE(2020,2,21)</f>
        <v>43881.99949074074</v>
      </c>
      <c r="M1109" s="7">
        <f>=DATE(2020,2,21)</f>
        <v>43881.99949074074</v>
      </c>
      <c r="W1109" s="6" t="str">
        <v>Internet Services &amp; Software;Other Computer Related Svcs;Primary Business not Hi-Tech;Computer Consulting Services;Data Processing Services</v>
      </c>
      <c r="X1109" s="6" t="str">
        <v>Networking Systems (LAN,WAN);Operating Systems;Communication/Network Software;Utilities/File Mgmt Software;Turnkey Systems;Other Software (inq. Games);Data Commun(Exclude networking;Other Computer Systems;Other Computer Related Svcs;Desktop Publishing;Data Processing Services;Internet Services &amp; Software;CAD/CAM/CAE/Graphics Systems;Computer Consulting Services;Workstations;Applications Software(Business;Applications Software(Home);Primary Business not Hi-Tech</v>
      </c>
      <c r="Y1109" s="6" t="str">
        <v>Applications Software(Home);Computer Consulting Services;Other Computer Systems;Data Processing Services;Other Computer Related Svcs;CAD/CAM/CAE/Graphics Systems;Operating Systems;Applications Software(Business;Data Commun(Exclude networking;Desktop Publishing;Workstations;Networking Systems (LAN,WAN);Communication/Network Software;Utilities/File Mgmt Software;Turnkey Systems;Primary Business not Hi-Tech;Other Software (inq. Games);Internet Services &amp; Software</v>
      </c>
      <c r="Z1109" s="6" t="str">
        <v>Data Processing Services;Other Software (inq. Games);Utilities/File Mgmt Software;Networking Systems (LAN,WAN);Communication/Network Software;Other Computer Systems;Internet Services &amp; Software;Applications Software(Business;Primary Business not Hi-Tech;Workstations;Data Commun(Exclude networking;Operating Systems;Desktop Publishing;Turnkey Systems;CAD/CAM/CAE/Graphics Systems;Computer Consulting Services;Applications Software(Home);Other Computer Related Svcs</v>
      </c>
      <c r="AA1109" s="6" t="str">
        <v>Primary Business not Hi-Tech</v>
      </c>
      <c r="AB1109" s="6" t="str">
        <v>Primary Business not Hi-Tech</v>
      </c>
    </row>
    <row r="1110">
      <c r="A1110" s="6" t="str">
        <v>8J8006</v>
      </c>
      <c r="B1110" s="6" t="str">
        <v>United States</v>
      </c>
      <c r="C1110" s="6" t="str">
        <v>Facebook Technologies Inc</v>
      </c>
      <c r="D1110" s="6" t="str">
        <v>Facebook Inc</v>
      </c>
      <c r="F1110" s="6" t="str">
        <v>United States</v>
      </c>
      <c r="G1110" s="6" t="str">
        <v>Sanzaru Games Inc</v>
      </c>
      <c r="H1110" s="6" t="str">
        <v>Business Services</v>
      </c>
      <c r="I1110" s="6" t="str">
        <v>1K1072</v>
      </c>
      <c r="J1110" s="6" t="str">
        <v>Sanzaru Games Inc</v>
      </c>
      <c r="K1110" s="6" t="str">
        <v>Sanzaru Games Inc</v>
      </c>
      <c r="L1110" s="7">
        <f>=DATE(2020,2,26)</f>
        <v>43886.99949074074</v>
      </c>
      <c r="M1110" s="7">
        <f>=DATE(2020,2,26)</f>
        <v>43886.99949074074</v>
      </c>
      <c r="W1110" s="6" t="str">
        <v>Applications Software(Home);Communication/Network Software;Programming Services;Applications Software(Business</v>
      </c>
      <c r="X1110" s="6" t="str">
        <v>Database Software/Programming;Programming Services</v>
      </c>
      <c r="Y1110" s="6" t="str">
        <v>Database Software/Programming;Programming Services</v>
      </c>
      <c r="Z1110" s="6" t="str">
        <v>Database Software/Programming;Programming Services</v>
      </c>
      <c r="AA1110" s="6" t="str">
        <v>Internet Services &amp; Software</v>
      </c>
      <c r="AB1110" s="6" t="str">
        <v>Internet Services &amp; Software</v>
      </c>
    </row>
    <row r="1111">
      <c r="A1111" s="6" t="str">
        <v>594918</v>
      </c>
      <c r="B1111" s="6" t="str">
        <v>United States</v>
      </c>
      <c r="C1111" s="6" t="str">
        <v>Microsoft Corp</v>
      </c>
      <c r="D1111" s="6" t="str">
        <v>Microsoft Corp</v>
      </c>
      <c r="F1111" s="6" t="str">
        <v>United States</v>
      </c>
      <c r="G1111" s="6" t="str">
        <v>Affirmed Networks Inc</v>
      </c>
      <c r="H1111" s="6" t="str">
        <v>Telecommunications</v>
      </c>
      <c r="I1111" s="6" t="str">
        <v>1J2383</v>
      </c>
      <c r="J1111" s="6" t="str">
        <v>Affirmed Networks Inc</v>
      </c>
      <c r="K1111" s="6" t="str">
        <v>Affirmed Networks Inc</v>
      </c>
      <c r="L1111" s="7">
        <f>=DATE(2020,3,26)</f>
        <v>43915.99949074074</v>
      </c>
      <c r="M1111" s="7">
        <f>=DATE(2020,4,23)</f>
        <v>43943.99949074074</v>
      </c>
      <c r="W1111" s="6" t="str">
        <v>Other Peripherals;Operating Systems;Applications Software(Business;Monitors/Terminals;Computer Consulting Services;Internet Services &amp; Software</v>
      </c>
      <c r="X1111" s="6" t="str">
        <v>Database Software/Programming;Satellite Communications;Programming Services</v>
      </c>
      <c r="Y1111" s="6" t="str">
        <v>Satellite Communications;Programming Services;Database Software/Programming</v>
      </c>
      <c r="Z1111" s="6" t="str">
        <v>Satellite Communications;Programming Services;Database Software/Programming</v>
      </c>
      <c r="AA1111" s="6" t="str">
        <v>Internet Services &amp; Software;Computer Consulting Services;Other Peripherals;Monitors/Terminals;Applications Software(Business;Operating Systems</v>
      </c>
      <c r="AB1111" s="6" t="str">
        <v>Monitors/Terminals;Internet Services &amp; Software;Operating Systems;Other Peripherals;Computer Consulting Services;Applications Software(Business</v>
      </c>
    </row>
    <row r="1112">
      <c r="A1112" s="6" t="str">
        <v>037833</v>
      </c>
      <c r="B1112" s="6" t="str">
        <v>United States</v>
      </c>
      <c r="C1112" s="6" t="str">
        <v>Apple Inc</v>
      </c>
      <c r="D1112" s="6" t="str">
        <v>Apple Inc</v>
      </c>
      <c r="F1112" s="6" t="str">
        <v>United Kingdom</v>
      </c>
      <c r="G1112" s="6" t="str">
        <v>Plessey Semiconductors Ltd</v>
      </c>
      <c r="H1112" s="6" t="str">
        <v>Electronic and Electrical Equipment</v>
      </c>
      <c r="I1112" s="6" t="str">
        <v>72905J</v>
      </c>
      <c r="J1112" s="6" t="str">
        <v>Plessey Semiconductors Ltd</v>
      </c>
      <c r="K1112" s="6" t="str">
        <v>Plessey Semiconductors Ltd</v>
      </c>
      <c r="L1112" s="7">
        <f>=DATE(2020,3,30)</f>
        <v>43919.99949074074</v>
      </c>
      <c r="W1112" s="6" t="str">
        <v>Other Peripherals;Disk Drives;Printers;Portable Computers;Micro-Computers (PCs);Mainframes &amp; Super Computers;Monitors/Terminals;Other Software (inq. Games)</v>
      </c>
      <c r="X1112" s="6" t="str">
        <v>Semiconductors;Superconductors;Other Electronics</v>
      </c>
      <c r="Y1112" s="6" t="str">
        <v>Other Electronics;Superconductors;Semiconductors</v>
      </c>
      <c r="Z1112" s="6" t="str">
        <v>Semiconductors;Other Electronics;Superconductors</v>
      </c>
      <c r="AA1112" s="6" t="str">
        <v>Other Peripherals;Micro-Computers (PCs);Printers;Portable Computers;Other Software (inq. Games);Disk Drives;Mainframes &amp; Super Computers;Monitors/Terminals</v>
      </c>
      <c r="AB1112" s="6" t="str">
        <v>Other Software (inq. Games);Other Peripherals;Printers;Mainframes &amp; Super Computers;Micro-Computers (PCs);Disk Drives;Portable Computers;Monitors/Terminals</v>
      </c>
    </row>
    <row r="1113">
      <c r="A1113" s="6" t="str">
        <v>037833</v>
      </c>
      <c r="B1113" s="6" t="str">
        <v>United States</v>
      </c>
      <c r="C1113" s="6" t="str">
        <v>Apple Inc</v>
      </c>
      <c r="D1113" s="6" t="str">
        <v>Apple Inc</v>
      </c>
      <c r="F1113" s="6" t="str">
        <v>United States</v>
      </c>
      <c r="G1113" s="6" t="str">
        <v>Dark Sky Co LLC</v>
      </c>
      <c r="H1113" s="6" t="str">
        <v>Prepackaged Software</v>
      </c>
      <c r="I1113" s="6" t="str">
        <v>1K7924</v>
      </c>
      <c r="J1113" s="6" t="str">
        <v>Dark Sky Co LLC</v>
      </c>
      <c r="K1113" s="6" t="str">
        <v>Dark Sky Co LLC</v>
      </c>
      <c r="L1113" s="7">
        <f>=DATE(2020,3,31)</f>
        <v>43920.99949074074</v>
      </c>
      <c r="M1113" s="7">
        <f>=DATE(2020,3,31)</f>
        <v>43920.99949074074</v>
      </c>
      <c r="W1113" s="6" t="str">
        <v>Other Software (inq. Games);Portable Computers;Mainframes &amp; Super Computers;Printers;Monitors/Terminals;Disk Drives;Micro-Computers (PCs);Other Peripherals</v>
      </c>
      <c r="X1113" s="6" t="str">
        <v>Other Software (inq. Games);Utilities/File Mgmt Software;Communication/Network Software;Internet Services &amp; Software;Applications Software(Business;Applications Software(Home);Desktop Publishing</v>
      </c>
      <c r="Y1113" s="6" t="str">
        <v>Desktop Publishing;Applications Software(Business;Applications Software(Home);Internet Services &amp; Software;Other Software (inq. Games);Communication/Network Software;Utilities/File Mgmt Software</v>
      </c>
      <c r="Z1113" s="6" t="str">
        <v>Other Software (inq. Games);Utilities/File Mgmt Software;Communication/Network Software;Desktop Publishing;Applications Software(Home);Internet Services &amp; Software;Applications Software(Business</v>
      </c>
      <c r="AA1113" s="6" t="str">
        <v>Other Peripherals;Other Software (inq. Games);Portable Computers;Printers;Monitors/Terminals;Disk Drives;Micro-Computers (PCs);Mainframes &amp; Super Computers</v>
      </c>
      <c r="AB1113" s="6" t="str">
        <v>Other Software (inq. Games);Portable Computers;Monitors/Terminals;Micro-Computers (PCs);Disk Drives;Mainframes &amp; Super Computers;Other Peripherals;Printers</v>
      </c>
    </row>
    <row r="1114">
      <c r="A1114" s="6" t="str">
        <v>037833</v>
      </c>
      <c r="B1114" s="6" t="str">
        <v>United States</v>
      </c>
      <c r="C1114" s="6" t="str">
        <v>Apple Inc</v>
      </c>
      <c r="D1114" s="6" t="str">
        <v>Apple Inc</v>
      </c>
      <c r="F1114" s="6" t="str">
        <v>Ireland</v>
      </c>
      <c r="G1114" s="6" t="str">
        <v>Voysis Ltd</v>
      </c>
      <c r="H1114" s="6" t="str">
        <v>Prepackaged Software</v>
      </c>
      <c r="I1114" s="6" t="str">
        <v>2K1109</v>
      </c>
      <c r="J1114" s="6" t="str">
        <v>Voysis Ltd</v>
      </c>
      <c r="K1114" s="6" t="str">
        <v>Voysis Ltd</v>
      </c>
      <c r="L1114" s="7">
        <f>=DATE(2020,4,3)</f>
        <v>43923.99949074074</v>
      </c>
      <c r="M1114" s="7">
        <f>=DATE(2020,4,3)</f>
        <v>43923.99949074074</v>
      </c>
      <c r="W1114" s="6" t="str">
        <v>Disk Drives;Micro-Computers (PCs);Mainframes &amp; Super Computers;Portable Computers;Other Software (inq. Games);Monitors/Terminals;Printers;Other Peripherals</v>
      </c>
      <c r="X1114" s="6" t="str">
        <v>Applications Software(Business</v>
      </c>
      <c r="Y1114" s="6" t="str">
        <v>Applications Software(Business</v>
      </c>
      <c r="Z1114" s="6" t="str">
        <v>Applications Software(Business</v>
      </c>
      <c r="AA1114" s="6" t="str">
        <v>Other Software (inq. Games);Other Peripherals;Printers;Mainframes &amp; Super Computers;Disk Drives;Portable Computers;Monitors/Terminals;Micro-Computers (PCs)</v>
      </c>
      <c r="AB1114" s="6" t="str">
        <v>Printers;Other Peripherals;Portable Computers;Micro-Computers (PCs);Mainframes &amp; Super Computers;Disk Drives;Monitors/Terminals;Other Software (inq. Games)</v>
      </c>
    </row>
    <row r="1115">
      <c r="A1115" s="6" t="str">
        <v>3K7275</v>
      </c>
      <c r="B1115" s="6" t="str">
        <v>United States</v>
      </c>
      <c r="C1115" s="6" t="str">
        <v>Jaadhu Holdings LLC</v>
      </c>
      <c r="D1115" s="6" t="str">
        <v>Facebook Inc</v>
      </c>
      <c r="F1115" s="6" t="str">
        <v>India</v>
      </c>
      <c r="G1115" s="6" t="str">
        <v>Jio Platforms Ltd</v>
      </c>
      <c r="H1115" s="6" t="str">
        <v>Telecommunications</v>
      </c>
      <c r="I1115" s="6" t="str">
        <v>2K1242</v>
      </c>
      <c r="J1115" s="6" t="str">
        <v>Reliance Industries Ltd</v>
      </c>
      <c r="K1115" s="6" t="str">
        <v>Reliance Industries Ltd</v>
      </c>
      <c r="L1115" s="7">
        <f>=DATE(2020,4,21)</f>
        <v>43941.99949074074</v>
      </c>
      <c r="M1115" s="7">
        <f>=DATE(2020,7,7)</f>
        <v>44018.99949074074</v>
      </c>
      <c r="N1115" s="8">
        <v>5690.7404988899</v>
      </c>
      <c r="O1115" s="8">
        <v>5690.7404988899</v>
      </c>
      <c r="P1115" s="8" t="str">
        <v>63,049.46</v>
      </c>
      <c r="S1115" s="8">
        <v>12.9111592945938</v>
      </c>
      <c r="W1115" s="6" t="str">
        <v>Primary Business not Hi-Tech</v>
      </c>
      <c r="X1115" s="6" t="str">
        <v>Internet Services &amp; Software;Satellite Communications;Telecommunications Equipment;Primary Business not Hi-Tech</v>
      </c>
      <c r="Y1115" s="6" t="str">
        <v>Primary Business not Hi-Tech</v>
      </c>
      <c r="Z1115" s="6" t="str">
        <v>Primary Business not Hi-Tech</v>
      </c>
      <c r="AA1115" s="6" t="str">
        <v>Internet Services &amp; Software</v>
      </c>
      <c r="AB1115" s="6" t="str">
        <v>Internet Services &amp; Software</v>
      </c>
      <c r="AC1115" s="8">
        <v>5690.7404988899</v>
      </c>
      <c r="AD1115" s="7">
        <f>=DATE(2020,4,21)</f>
        <v>43941.99949074074</v>
      </c>
      <c r="AF1115" s="8" t="str">
        <v>56,668.34</v>
      </c>
      <c r="AG1115" s="8" t="str">
        <v>58,308.43</v>
      </c>
      <c r="AH1115" s="8" t="str">
        <v>58,308.43</v>
      </c>
      <c r="AI1115" s="8" t="str">
        <v>56,668.34</v>
      </c>
      <c r="AJ1115" s="8" t="str">
        <v>5,690.74</v>
      </c>
      <c r="AK1115" s="6" t="str">
        <v>Indian Rupee</v>
      </c>
      <c r="AL1115" s="8">
        <v>5690.7404988899</v>
      </c>
    </row>
    <row r="1116">
      <c r="A1116" s="6" t="str">
        <v>7J8440</v>
      </c>
      <c r="B1116" s="6" t="str">
        <v>United States</v>
      </c>
      <c r="C1116" s="6" t="str">
        <v>Google LLC</v>
      </c>
      <c r="D1116" s="6" t="str">
        <v>Alphabet Inc</v>
      </c>
      <c r="F1116" s="6" t="str">
        <v>United States</v>
      </c>
      <c r="G1116" s="6" t="str">
        <v>D2iq Inc</v>
      </c>
      <c r="H1116" s="6" t="str">
        <v>Prepackaged Software</v>
      </c>
      <c r="I1116" s="6" t="str">
        <v>5J7777</v>
      </c>
      <c r="J1116" s="6" t="str">
        <v>D2iq Inc</v>
      </c>
      <c r="K1116" s="6" t="str">
        <v>D2iq Inc</v>
      </c>
      <c r="L1116" s="7">
        <f>=DATE(2020,4,27)</f>
        <v>43947.99949074074</v>
      </c>
      <c r="W1116" s="6" t="str">
        <v>Programming Services;Internet Services &amp; Software</v>
      </c>
      <c r="X1116" s="6" t="str">
        <v>Applications Software(Business</v>
      </c>
      <c r="Y1116" s="6" t="str">
        <v>Applications Software(Business</v>
      </c>
      <c r="Z1116" s="6" t="str">
        <v>Applications Software(Business</v>
      </c>
      <c r="AA1116" s="6" t="str">
        <v>Primary Business not Hi-Tech;Telecommunications Equipment;Programming Services;Computer Consulting Services;Internet Services &amp; Software</v>
      </c>
      <c r="AB1116" s="6" t="str">
        <v>Internet Services &amp; Software;Programming Services;Primary Business not Hi-Tech;Telecommunications Equipment;Computer Consulting Services</v>
      </c>
    </row>
    <row r="1117">
      <c r="A1117" s="6" t="str">
        <v>594918</v>
      </c>
      <c r="B1117" s="6" t="str">
        <v>United States</v>
      </c>
      <c r="C1117" s="6" t="str">
        <v>Microsoft Corp</v>
      </c>
      <c r="D1117" s="6" t="str">
        <v>Microsoft Corp</v>
      </c>
      <c r="F1117" s="6" t="str">
        <v>United States</v>
      </c>
      <c r="G1117" s="6" t="str">
        <v>CyberX Inc</v>
      </c>
      <c r="H1117" s="6" t="str">
        <v>Prepackaged Software</v>
      </c>
      <c r="I1117" s="6" t="str">
        <v>2H5276</v>
      </c>
      <c r="J1117" s="6" t="str">
        <v>CyberX Inc</v>
      </c>
      <c r="K1117" s="6" t="str">
        <v>CyberX Inc</v>
      </c>
      <c r="L1117" s="7">
        <f>=DATE(2020,5,5)</f>
        <v>43955.99949074074</v>
      </c>
      <c r="M1117" s="7">
        <f>=DATE(2020,6,22)</f>
        <v>44003.99949074074</v>
      </c>
      <c r="W1117" s="6" t="str">
        <v>Other Peripherals;Applications Software(Business;Internet Services &amp; Software;Operating Systems;Computer Consulting Services;Monitors/Terminals</v>
      </c>
      <c r="X1117" s="6" t="str">
        <v>Applications Software(Business;Applications Software(Home);Desktop Publishing;Other Software (inq. Games);Utilities/File Mgmt Software;Internet Services &amp; Software;Communication/Network Software</v>
      </c>
      <c r="Y1117" s="6" t="str">
        <v>Desktop Publishing;Communication/Network Software;Applications Software(Home);Other Software (inq. Games);Applications Software(Business;Internet Services &amp; Software;Utilities/File Mgmt Software</v>
      </c>
      <c r="Z1117" s="6" t="str">
        <v>Other Software (inq. Games);Internet Services &amp; Software;Communication/Network Software;Utilities/File Mgmt Software;Desktop Publishing;Applications Software(Business;Applications Software(Home)</v>
      </c>
      <c r="AA1117" s="6" t="str">
        <v>Computer Consulting Services;Monitors/Terminals;Other Peripherals;Applications Software(Business;Internet Services &amp; Software;Operating Systems</v>
      </c>
      <c r="AB1117" s="6" t="str">
        <v>Computer Consulting Services;Other Peripherals;Monitors/Terminals;Applications Software(Business;Operating Systems;Internet Services &amp; Software</v>
      </c>
    </row>
    <row r="1118">
      <c r="A1118" s="6" t="str">
        <v>4H9237</v>
      </c>
      <c r="B1118" s="6" t="str">
        <v>United States</v>
      </c>
      <c r="C1118" s="6" t="str">
        <v>Kustomer Inc</v>
      </c>
      <c r="D1118" s="6" t="str">
        <v>Kustomer Inc</v>
      </c>
      <c r="F1118" s="6" t="str">
        <v>United States</v>
      </c>
      <c r="G1118" s="6" t="str">
        <v>Reply Inc</v>
      </c>
      <c r="H1118" s="6" t="str">
        <v>Business Services</v>
      </c>
      <c r="I1118" s="6" t="str">
        <v>2K7621</v>
      </c>
      <c r="J1118" s="6" t="str">
        <v>Reply Inc</v>
      </c>
      <c r="K1118" s="6" t="str">
        <v>Reply Inc</v>
      </c>
      <c r="L1118" s="7">
        <f>=DATE(2020,5,14)</f>
        <v>43964.99949074074</v>
      </c>
      <c r="M1118" s="7">
        <f>=DATE(2020,5,14)</f>
        <v>43964.99949074074</v>
      </c>
      <c r="W1118" s="6" t="str">
        <v>CAD/CAM/CAE/Graphics Systems;Other Software (inq. Games);Utilities/File Mgmt Software;Desktop Publishing;Applications Software(Home);Internet Services &amp; Software;Other Computer Related Svcs;Operating Systems;Applications Software(Business;Turnkey Systems;Computer Consulting Services;Data Commun(Exclude networking;Networking Systems (LAN,WAN);Communication/Network Software;Primary Business not Hi-Tech;Other Computer Systems;Workstations</v>
      </c>
      <c r="X1118" s="6" t="str">
        <v>Programming Services;Database Software/Programming</v>
      </c>
      <c r="Y1118" s="6" t="str">
        <v>Programming Services;Database Software/Programming</v>
      </c>
      <c r="Z1118" s="6" t="str">
        <v>Database Software/Programming;Programming Services</v>
      </c>
      <c r="AA1118" s="6" t="str">
        <v>Applications Software(Home);Computer Consulting Services;Operating Systems;Other Computer Related Svcs;Communication/Network Software;Other Computer Systems;Internet Services &amp; Software;Data Commun(Exclude networking;Other Software (inq. Games);Primary Business not Hi-Tech;Turnkey Systems;Workstations;Utilities/File Mgmt Software;Desktop Publishing;Applications Software(Business;Networking Systems (LAN,WAN);CAD/CAM/CAE/Graphics Systems</v>
      </c>
      <c r="AB1118" s="6" t="str">
        <v>Turnkey Systems;Other Computer Systems;CAD/CAM/CAE/Graphics Systems;Networking Systems (LAN,WAN);Workstations;Internet Services &amp; Software;Other Software (inq. Games);Other Computer Related Svcs;Operating Systems;Applications Software(Business;Applications Software(Home);Desktop Publishing;Primary Business not Hi-Tech;Communication/Network Software;Data Commun(Exclude networking;Utilities/File Mgmt Software;Computer Consulting Services</v>
      </c>
    </row>
    <row r="1119">
      <c r="A1119" s="6" t="str">
        <v>594918</v>
      </c>
      <c r="B1119" s="6" t="str">
        <v>United States</v>
      </c>
      <c r="C1119" s="6" t="str">
        <v>Microsoft Corp</v>
      </c>
      <c r="D1119" s="6" t="str">
        <v>Microsoft Corp</v>
      </c>
      <c r="F1119" s="6" t="str">
        <v>United Kingdom</v>
      </c>
      <c r="G1119" s="6" t="str">
        <v>Metaswitch Networks Ltd</v>
      </c>
      <c r="H1119" s="6" t="str">
        <v>Prepackaged Software</v>
      </c>
      <c r="I1119" s="6" t="str">
        <v>3F4749</v>
      </c>
      <c r="J1119" s="6" t="str">
        <v>Metaswitch Networks Ltd</v>
      </c>
      <c r="K1119" s="6" t="str">
        <v>Metaswitch Networks Ltd</v>
      </c>
      <c r="L1119" s="7">
        <f>=DATE(2020,5,14)</f>
        <v>43964.99949074074</v>
      </c>
      <c r="M1119" s="7">
        <f>=DATE(2020,7,15)</f>
        <v>44026.99949074074</v>
      </c>
      <c r="R1119" s="8">
        <v>-42.6407663133327</v>
      </c>
      <c r="S1119" s="8">
        <v>167.380628221336</v>
      </c>
      <c r="T1119" s="8">
        <v>10.2304896</v>
      </c>
      <c r="U1119" s="8">
        <v>12.4550376</v>
      </c>
      <c r="V1119" s="8">
        <v>-17.067024</v>
      </c>
      <c r="W1119" s="6" t="str">
        <v>Other Peripherals;Monitors/Terminals;Internet Services &amp; Software;Applications Software(Business;Computer Consulting Services;Operating Systems</v>
      </c>
      <c r="X1119" s="6" t="str">
        <v>Internet Services &amp; Software;Communication/Network Software</v>
      </c>
      <c r="Y1119" s="6" t="str">
        <v>Communication/Network Software;Internet Services &amp; Software</v>
      </c>
      <c r="Z1119" s="6" t="str">
        <v>Communication/Network Software;Internet Services &amp; Software</v>
      </c>
      <c r="AA1119" s="6" t="str">
        <v>Applications Software(Business;Computer Consulting Services;Internet Services &amp; Software;Operating Systems;Other Peripherals;Monitors/Terminals</v>
      </c>
      <c r="AB1119" s="6" t="str">
        <v>Operating Systems;Applications Software(Business;Other Peripherals;Monitors/Terminals;Computer Consulting Services;Internet Services &amp; Software</v>
      </c>
    </row>
    <row r="1120">
      <c r="A1120" s="6" t="str">
        <v>037833</v>
      </c>
      <c r="B1120" s="6" t="str">
        <v>United States</v>
      </c>
      <c r="C1120" s="6" t="str">
        <v>Apple Inc</v>
      </c>
      <c r="D1120" s="6" t="str">
        <v>Apple Inc</v>
      </c>
      <c r="F1120" s="6" t="str">
        <v>United States</v>
      </c>
      <c r="G1120" s="6" t="str">
        <v>NextVR Inc</v>
      </c>
      <c r="H1120" s="6" t="str">
        <v>Prepackaged Software</v>
      </c>
      <c r="I1120" s="6" t="str">
        <v>8C4335</v>
      </c>
      <c r="J1120" s="6" t="str">
        <v>Toba Capital LLC</v>
      </c>
      <c r="K1120" s="6" t="str">
        <v>Toba Capital LLC</v>
      </c>
      <c r="L1120" s="7">
        <f>=DATE(2020,5,14)</f>
        <v>43964.99949074074</v>
      </c>
      <c r="M1120" s="7">
        <f>=DATE(2020,5,14)</f>
        <v>43964.99949074074</v>
      </c>
      <c r="W1120" s="6" t="str">
        <v>Micro-Computers (PCs);Monitors/Terminals;Printers;Mainframes &amp; Super Computers;Other Software (inq. Games);Other Peripherals;Disk Drives;Portable Computers</v>
      </c>
      <c r="X1120" s="6" t="str">
        <v>Other Software (inq. Games);Communication/Network Software</v>
      </c>
      <c r="Y1120" s="6" t="str">
        <v>Primary Business not Hi-Tech</v>
      </c>
      <c r="Z1120" s="6" t="str">
        <v>Primary Business not Hi-Tech</v>
      </c>
      <c r="AA1120" s="6" t="str">
        <v>Disk Drives;Printers;Mainframes &amp; Super Computers;Portable Computers;Other Peripherals;Other Software (inq. Games);Micro-Computers (PCs);Monitors/Terminals</v>
      </c>
      <c r="AB1120" s="6" t="str">
        <v>Other Software (inq. Games);Mainframes &amp; Super Computers;Other Peripherals;Printers;Monitors/Terminals;Disk Drives;Micro-Computers (PCs);Portable Computers</v>
      </c>
    </row>
    <row r="1121">
      <c r="A1121" s="6" t="str">
        <v>30303M</v>
      </c>
      <c r="B1121" s="6" t="str">
        <v>United States</v>
      </c>
      <c r="C1121" s="6" t="str">
        <v>Facebook Inc</v>
      </c>
      <c r="D1121" s="6" t="str">
        <v>Facebook Inc</v>
      </c>
      <c r="F1121" s="6" t="str">
        <v>United States</v>
      </c>
      <c r="G1121" s="6" t="str">
        <v>Giphy Inc</v>
      </c>
      <c r="H1121" s="6" t="str">
        <v>Business Services</v>
      </c>
      <c r="I1121" s="6" t="str">
        <v>2H2017</v>
      </c>
      <c r="J1121" s="6" t="str">
        <v>Giphy Inc</v>
      </c>
      <c r="K1121" s="6" t="str">
        <v>Giphy Inc</v>
      </c>
      <c r="L1121" s="7">
        <f>=DATE(2020,5,15)</f>
        <v>43965.99949074074</v>
      </c>
      <c r="M1121" s="7">
        <f>=DATE(2020,5,15)</f>
        <v>43965.99949074074</v>
      </c>
      <c r="W1121" s="6" t="str">
        <v>Internet Services &amp; Software</v>
      </c>
      <c r="X1121" s="6" t="str">
        <v>Internet Services &amp; Software</v>
      </c>
      <c r="Y1121" s="6" t="str">
        <v>Internet Services &amp; Software</v>
      </c>
      <c r="Z1121" s="6" t="str">
        <v>Internet Services &amp; Software</v>
      </c>
      <c r="AA1121" s="6" t="str">
        <v>Internet Services &amp; Software</v>
      </c>
      <c r="AB1121" s="6" t="str">
        <v>Internet Services &amp; Software</v>
      </c>
      <c r="AD1121" s="7">
        <f>=DATE(2020,5,15)</f>
        <v>43965.99949074074</v>
      </c>
    </row>
    <row r="1122">
      <c r="A1122" s="6" t="str">
        <v>594918</v>
      </c>
      <c r="B1122" s="6" t="str">
        <v>United States</v>
      </c>
      <c r="C1122" s="6" t="str">
        <v>Microsoft Corp</v>
      </c>
      <c r="D1122" s="6" t="str">
        <v>Microsoft Corp</v>
      </c>
      <c r="F1122" s="6" t="str">
        <v>United Kingdom</v>
      </c>
      <c r="G1122" s="6" t="str">
        <v>Softomotive UK Ltd</v>
      </c>
      <c r="H1122" s="6" t="str">
        <v>Business Services</v>
      </c>
      <c r="I1122" s="6" t="str">
        <v>5F3802</v>
      </c>
      <c r="J1122" s="6" t="str">
        <v>Softomotive UK Ltd</v>
      </c>
      <c r="K1122" s="6" t="str">
        <v>Softomotive UK Ltd</v>
      </c>
      <c r="L1122" s="7">
        <f>=DATE(2020,5,19)</f>
        <v>43969.99949074074</v>
      </c>
      <c r="M1122" s="7">
        <f>=DATE(2020,5,19)</f>
        <v>43969.99949074074</v>
      </c>
      <c r="W1122" s="6" t="str">
        <v>Operating Systems;Other Peripherals;Internet Services &amp; Software;Monitors/Terminals;Computer Consulting Services;Applications Software(Business</v>
      </c>
      <c r="X1122" s="6" t="str">
        <v>Computer Consulting Services;Communication/Network Software;Internet Services &amp; Software;Programming Services</v>
      </c>
      <c r="Y1122" s="6" t="str">
        <v>Communication/Network Software;Programming Services;Computer Consulting Services;Internet Services &amp; Software</v>
      </c>
      <c r="Z1122" s="6" t="str">
        <v>Computer Consulting Services;Programming Services;Internet Services &amp; Software;Communication/Network Software</v>
      </c>
      <c r="AA1122" s="6" t="str">
        <v>Applications Software(Business;Other Peripherals;Computer Consulting Services;Internet Services &amp; Software;Monitors/Terminals;Operating Systems</v>
      </c>
      <c r="AB1122" s="6" t="str">
        <v>Internet Services &amp; Software;Operating Systems;Computer Consulting Services;Applications Software(Business;Other Peripherals;Monitors/Terminals</v>
      </c>
    </row>
    <row r="1123">
      <c r="A1123" s="6" t="str">
        <v>037833</v>
      </c>
      <c r="B1123" s="6" t="str">
        <v>United States</v>
      </c>
      <c r="C1123" s="6" t="str">
        <v>Apple Inc</v>
      </c>
      <c r="D1123" s="6" t="str">
        <v>Apple Inc</v>
      </c>
      <c r="F1123" s="6" t="str">
        <v>Canada</v>
      </c>
      <c r="G1123" s="6" t="str">
        <v>Inductiv Inc</v>
      </c>
      <c r="H1123" s="6" t="str">
        <v>Prepackaged Software</v>
      </c>
      <c r="I1123" s="6" t="str">
        <v>2K9278</v>
      </c>
      <c r="J1123" s="6" t="str">
        <v>Inductiv Inc</v>
      </c>
      <c r="K1123" s="6" t="str">
        <v>Inductiv Inc</v>
      </c>
      <c r="L1123" s="7">
        <f>=DATE(2020,5,27)</f>
        <v>43977.99949074074</v>
      </c>
      <c r="M1123" s="7">
        <f>=DATE(2020,5,27)</f>
        <v>43977.99949074074</v>
      </c>
      <c r="W1123" s="6" t="str">
        <v>Micro-Computers (PCs);Mainframes &amp; Super Computers;Monitors/Terminals;Other Software (inq. Games);Other Peripherals;Disk Drives;Printers;Portable Computers</v>
      </c>
      <c r="X1123" s="6" t="str">
        <v>Other Software (inq. Games);Utilities/File Mgmt Software;Applications Software(Home);Applications Software(Business;Internet Services &amp; Software;Communication/Network Software;Desktop Publishing</v>
      </c>
      <c r="Y1123" s="6" t="str">
        <v>Applications Software(Home);Communication/Network Software;Utilities/File Mgmt Software;Desktop Publishing;Internet Services &amp; Software;Other Software (inq. Games);Applications Software(Business</v>
      </c>
      <c r="Z1123" s="6" t="str">
        <v>Applications Software(Home);Communication/Network Software;Desktop Publishing;Applications Software(Business;Other Software (inq. Games);Utilities/File Mgmt Software;Internet Services &amp; Software</v>
      </c>
      <c r="AA1123" s="6" t="str">
        <v>Printers;Other Software (inq. Games);Portable Computers;Monitors/Terminals;Other Peripherals;Mainframes &amp; Super Computers;Micro-Computers (PCs);Disk Drives</v>
      </c>
      <c r="AB1123" s="6" t="str">
        <v>Other Peripherals;Mainframes &amp; Super Computers;Printers;Portable Computers;Disk Drives;Other Software (inq. Games);Micro-Computers (PCs);Monitors/Terminals</v>
      </c>
    </row>
    <row r="1124">
      <c r="A1124" s="6" t="str">
        <v>7J8440</v>
      </c>
      <c r="B1124" s="6" t="str">
        <v>United States</v>
      </c>
      <c r="C1124" s="6" t="str">
        <v>Google LLC</v>
      </c>
      <c r="D1124" s="6" t="str">
        <v>Alphabet Inc</v>
      </c>
      <c r="F1124" s="6" t="str">
        <v>India</v>
      </c>
      <c r="G1124" s="6" t="str">
        <v>Vodafone Idea Ltd</v>
      </c>
      <c r="H1124" s="6" t="str">
        <v>Telecommunications</v>
      </c>
      <c r="I1124" s="6" t="str">
        <v>45157L</v>
      </c>
      <c r="J1124" s="6" t="str">
        <v>Vodafone Idea Ltd</v>
      </c>
      <c r="K1124" s="6" t="str">
        <v>Vodafone Idea Ltd</v>
      </c>
      <c r="L1124" s="7">
        <f>=DATE(2020,5,28)</f>
        <v>43978.99949074074</v>
      </c>
      <c r="R1124" s="8">
        <v>-9806.87082686206</v>
      </c>
      <c r="S1124" s="8">
        <v>5967.83614086788</v>
      </c>
      <c r="T1124" s="8">
        <v>1359.271501201</v>
      </c>
      <c r="U1124" s="8">
        <v>-438.984243293</v>
      </c>
      <c r="V1124" s="8">
        <v>-971.911380139</v>
      </c>
      <c r="W1124" s="6" t="str">
        <v>Internet Services &amp; Software;Programming Services</v>
      </c>
      <c r="X1124" s="6" t="str">
        <v>Telecommunications Equipment</v>
      </c>
      <c r="Y1124" s="6" t="str">
        <v>Telecommunications Equipment</v>
      </c>
      <c r="Z1124" s="6" t="str">
        <v>Telecommunications Equipment</v>
      </c>
      <c r="AA1124" s="6" t="str">
        <v>Primary Business not Hi-Tech;Programming Services;Computer Consulting Services;Telecommunications Equipment;Internet Services &amp; Software</v>
      </c>
      <c r="AB1124" s="6" t="str">
        <v>Programming Services;Computer Consulting Services;Primary Business not Hi-Tech;Internet Services &amp; Software;Telecommunications Equipment</v>
      </c>
    </row>
    <row r="1125">
      <c r="A1125" s="6" t="str">
        <v>037833</v>
      </c>
      <c r="B1125" s="6" t="str">
        <v>United States</v>
      </c>
      <c r="C1125" s="6" t="str">
        <v>Apple Inc</v>
      </c>
      <c r="D1125" s="6" t="str">
        <v>Apple Inc</v>
      </c>
      <c r="F1125" s="6" t="str">
        <v>United States</v>
      </c>
      <c r="G1125" s="6" t="str">
        <v>Apple Inc</v>
      </c>
      <c r="H1125" s="6" t="str">
        <v>Computer and Office Equipment</v>
      </c>
      <c r="I1125" s="6" t="str">
        <v>037833</v>
      </c>
      <c r="J1125" s="6" t="str">
        <v>Apple Inc</v>
      </c>
      <c r="K1125" s="6" t="str">
        <v>Apple Inc</v>
      </c>
      <c r="L1125" s="7">
        <f>=DATE(2020,5,31)</f>
        <v>43981.99949074074</v>
      </c>
      <c r="M1125" s="7">
        <f>=DATE(2020,8,29)</f>
        <v>44071.99949074074</v>
      </c>
      <c r="N1125" s="8">
        <v>6000</v>
      </c>
      <c r="O1125" s="8">
        <v>6000</v>
      </c>
      <c r="P1125" s="8" t="str">
        <v>422,447.91</v>
      </c>
      <c r="R1125" s="8">
        <v>57215</v>
      </c>
      <c r="S1125" s="8">
        <v>267981</v>
      </c>
      <c r="T1125" s="8">
        <v>-94190</v>
      </c>
      <c r="U1125" s="8">
        <v>22049</v>
      </c>
      <c r="V1125" s="8">
        <v>75373</v>
      </c>
      <c r="W1125" s="6" t="str">
        <v>Other Software (inq. Games);Printers;Micro-Computers (PCs);Monitors/Terminals;Other Peripherals;Portable Computers;Mainframes &amp; Super Computers;Disk Drives</v>
      </c>
      <c r="X1125" s="6" t="str">
        <v>Other Peripherals;Portable Computers;Micro-Computers (PCs);Monitors/Terminals;Mainframes &amp; Super Computers;Other Software (inq. Games);Disk Drives;Printers</v>
      </c>
      <c r="Y1125" s="6" t="str">
        <v>Disk Drives;Portable Computers;Printers;Monitors/Terminals;Other Software (inq. Games);Other Peripherals;Mainframes &amp; Super Computers;Micro-Computers (PCs)</v>
      </c>
      <c r="Z1125" s="6" t="str">
        <v>Disk Drives;Micro-Computers (PCs);Printers;Other Software (inq. Games);Other Peripherals;Portable Computers;Monitors/Terminals;Mainframes &amp; Super Computers</v>
      </c>
      <c r="AA1125" s="6" t="str">
        <v>Other Peripherals;Monitors/Terminals;Disk Drives;Printers;Micro-Computers (PCs);Mainframes &amp; Super Computers;Other Software (inq. Games);Portable Computers</v>
      </c>
      <c r="AB1125" s="6" t="str">
        <v>Mainframes &amp; Super Computers;Other Software (inq. Games);Printers;Portable Computers;Monitors/Terminals;Other Peripherals;Disk Drives;Micro-Computers (PCs)</v>
      </c>
      <c r="AC1125" s="8">
        <v>6000</v>
      </c>
      <c r="AD1125" s="7">
        <f>=DATE(2020,5,31)</f>
        <v>43981.99949074074</v>
      </c>
      <c r="AF1125" s="8" t="str">
        <v>422,447.91</v>
      </c>
      <c r="AG1125" s="8" t="str">
        <v>422,447.91</v>
      </c>
      <c r="AH1125" s="8" t="str">
        <v>406,343.91</v>
      </c>
      <c r="AI1125" s="8" t="str">
        <v>406,343.91</v>
      </c>
      <c r="AJ1125" s="8" t="str">
        <v>6,000.00</v>
      </c>
      <c r="AK1125" s="6" t="str">
        <v>US Dollar</v>
      </c>
      <c r="AL1125" s="8">
        <v>6000</v>
      </c>
    </row>
    <row r="1126">
      <c r="A1126" s="6" t="str">
        <v>023135</v>
      </c>
      <c r="B1126" s="6" t="str">
        <v>United States</v>
      </c>
      <c r="C1126" s="6" t="str">
        <v>Amazon.com Inc</v>
      </c>
      <c r="D1126" s="6" t="str">
        <v>Amazon.com Inc</v>
      </c>
      <c r="F1126" s="6" t="str">
        <v>India</v>
      </c>
      <c r="G1126" s="6" t="str">
        <v>Bharti Airtel Ltd</v>
      </c>
      <c r="H1126" s="6" t="str">
        <v>Telecommunications</v>
      </c>
      <c r="I1126" s="6" t="str">
        <v>08898H</v>
      </c>
      <c r="J1126" s="6" t="str">
        <v>Bharti Airtel Ltd</v>
      </c>
      <c r="K1126" s="6" t="str">
        <v>Bharti Airtel Ltd</v>
      </c>
      <c r="L1126" s="7">
        <f>=DATE(2020,6,4)</f>
        <v>43985.99949074074</v>
      </c>
      <c r="R1126" s="8">
        <v>-4070.48703755326</v>
      </c>
      <c r="S1126" s="8">
        <v>11620.2726560737</v>
      </c>
      <c r="T1126" s="8">
        <v>4001.393811477</v>
      </c>
      <c r="U1126" s="8">
        <v>-4110.642082487</v>
      </c>
      <c r="V1126" s="8">
        <v>1009.411546069</v>
      </c>
      <c r="W1126" s="6" t="str">
        <v>Primary Business not Hi-Tech</v>
      </c>
      <c r="X1126" s="6" t="str">
        <v>Telecommunications Equipment</v>
      </c>
      <c r="Y1126" s="6" t="str">
        <v>Telecommunications Equipment</v>
      </c>
      <c r="Z1126" s="6" t="str">
        <v>Telecommunications Equipment</v>
      </c>
      <c r="AA1126" s="6" t="str">
        <v>Primary Business not Hi-Tech</v>
      </c>
      <c r="AB1126" s="6" t="str">
        <v>Primary Business not Hi-Tech</v>
      </c>
      <c r="AD1126" s="7">
        <f>=DATE(2020,6,4)</f>
        <v>43985.99949074074</v>
      </c>
    </row>
    <row r="1127">
      <c r="A1127" s="6" t="str">
        <v>30303M</v>
      </c>
      <c r="B1127" s="6" t="str">
        <v>United States</v>
      </c>
      <c r="C1127" s="6" t="str">
        <v>Facebook Inc</v>
      </c>
      <c r="D1127" s="6" t="str">
        <v>Facebook Inc</v>
      </c>
      <c r="F1127" s="6" t="str">
        <v>Sweden</v>
      </c>
      <c r="G1127" s="6" t="str">
        <v>Mapillary AB</v>
      </c>
      <c r="H1127" s="6" t="str">
        <v>Prepackaged Software</v>
      </c>
      <c r="I1127" s="6" t="str">
        <v>0J3639</v>
      </c>
      <c r="J1127" s="6" t="str">
        <v>Mapillary AB</v>
      </c>
      <c r="K1127" s="6" t="str">
        <v>Mapillary AB</v>
      </c>
      <c r="L1127" s="7">
        <f>=DATE(2020,6,18)</f>
        <v>43999.99949074074</v>
      </c>
      <c r="M1127" s="7">
        <f>=DATE(2020,6,18)</f>
        <v>43999.99949074074</v>
      </c>
      <c r="R1127" s="8">
        <v>-6.84255500961333</v>
      </c>
      <c r="S1127" s="8">
        <v>2.19237342448195</v>
      </c>
      <c r="W1127" s="6" t="str">
        <v>Internet Services &amp; Software</v>
      </c>
      <c r="X1127" s="6" t="str">
        <v>Other Software (inq. Games)</v>
      </c>
      <c r="Y1127" s="6" t="str">
        <v>Other Software (inq. Games)</v>
      </c>
      <c r="Z1127" s="6" t="str">
        <v>Other Software (inq. Games)</v>
      </c>
      <c r="AA1127" s="6" t="str">
        <v>Internet Services &amp; Software</v>
      </c>
      <c r="AB1127" s="6" t="str">
        <v>Internet Services &amp; Software</v>
      </c>
    </row>
    <row r="1128">
      <c r="A1128" s="6" t="str">
        <v>9H9297</v>
      </c>
      <c r="B1128" s="6" t="str">
        <v>United States</v>
      </c>
      <c r="C1128" s="6" t="str">
        <v>Microsoft Azure</v>
      </c>
      <c r="D1128" s="6" t="str">
        <v>Microsoft Corp</v>
      </c>
      <c r="F1128" s="6" t="str">
        <v>United States</v>
      </c>
      <c r="G1128" s="6" t="str">
        <v>ADRM Software Inc</v>
      </c>
      <c r="H1128" s="6" t="str">
        <v>Prepackaged Software</v>
      </c>
      <c r="I1128" s="6" t="str">
        <v>5K5695</v>
      </c>
      <c r="J1128" s="6" t="str">
        <v>ADRM Software Inc</v>
      </c>
      <c r="K1128" s="6" t="str">
        <v>ADRM Software Inc</v>
      </c>
      <c r="L1128" s="7">
        <f>=DATE(2020,6,18)</f>
        <v>43999.99949074074</v>
      </c>
      <c r="M1128" s="7">
        <f>=DATE(2020,6,18)</f>
        <v>43999.99949074074</v>
      </c>
      <c r="W1128" s="6" t="str">
        <v>Other Computer Related Svcs;Internet Services &amp; Software;Computer Consulting Services;Data Processing Services;Primary Business not Hi-Tech</v>
      </c>
      <c r="X1128" s="6" t="str">
        <v>Other Software (inq. Games);Applications Software(Business;Desktop Publishing;Communication/Network Software;Applications Software(Home);Utilities/File Mgmt Software;Internet Services &amp; Software</v>
      </c>
      <c r="Y1128" s="6" t="str">
        <v>Communication/Network Software;Utilities/File Mgmt Software;Applications Software(Business;Other Software (inq. Games);Internet Services &amp; Software;Applications Software(Home);Desktop Publishing</v>
      </c>
      <c r="Z1128" s="6" t="str">
        <v>Applications Software(Business;Applications Software(Home);Desktop Publishing;Communication/Network Software;Utilities/File Mgmt Software;Internet Services &amp; Software;Other Software (inq. Games)</v>
      </c>
      <c r="AA1128" s="6" t="str">
        <v>Other Peripherals;Applications Software(Business;Monitors/Terminals;Internet Services &amp; Software;Operating Systems;Computer Consulting Services</v>
      </c>
      <c r="AB1128" s="6" t="str">
        <v>Monitors/Terminals;Internet Services &amp; Software;Other Peripherals;Computer Consulting Services;Applications Software(Business;Operating Systems</v>
      </c>
    </row>
    <row r="1129">
      <c r="A1129" s="6" t="str">
        <v>037833</v>
      </c>
      <c r="B1129" s="6" t="str">
        <v>United States</v>
      </c>
      <c r="C1129" s="6" t="str">
        <v>Apple Inc</v>
      </c>
      <c r="D1129" s="6" t="str">
        <v>Apple Inc</v>
      </c>
      <c r="F1129" s="6" t="str">
        <v>United States</v>
      </c>
      <c r="G1129" s="6" t="str">
        <v>Fleetsmith Inc</v>
      </c>
      <c r="H1129" s="6" t="str">
        <v>Prepackaged Software</v>
      </c>
      <c r="I1129" s="6" t="str">
        <v>3K7239</v>
      </c>
      <c r="J1129" s="6" t="str">
        <v>Fleetsmith Inc</v>
      </c>
      <c r="K1129" s="6" t="str">
        <v>Fleetsmith Inc</v>
      </c>
      <c r="L1129" s="7">
        <f>=DATE(2020,6,24)</f>
        <v>44005.99949074074</v>
      </c>
      <c r="M1129" s="7">
        <f>=DATE(2020,6,24)</f>
        <v>44005.99949074074</v>
      </c>
      <c r="W1129" s="6" t="str">
        <v>Other Peripherals;Printers;Micro-Computers (PCs);Disk Drives;Mainframes &amp; Super Computers;Portable Computers;Other Software (inq. Games);Monitors/Terminals</v>
      </c>
      <c r="X1129" s="6" t="str">
        <v>Utilities/File Mgmt Software;Other Software (inq. Games);Primary Business not Hi-Tech;Communication/Network Software;Desktop Publishing;Internet Services &amp; Software;Applications Software(Home);Applications Software(Business;Other Computer Related Svcs;Computer Consulting Services;Data Processing Services</v>
      </c>
      <c r="Y1129" s="6" t="str">
        <v>Other Software (inq. Games);Other Computer Related Svcs;Desktop Publishing;Applications Software(Home);Applications Software(Business;Data Processing Services;Computer Consulting Services;Primary Business not Hi-Tech;Communication/Network Software;Utilities/File Mgmt Software;Internet Services &amp; Software</v>
      </c>
      <c r="Z1129" s="6" t="str">
        <v>Applications Software(Home);Data Processing Services;Other Computer Related Svcs;Primary Business not Hi-Tech;Desktop Publishing;Communication/Network Software;Computer Consulting Services;Internet Services &amp; Software;Applications Software(Business;Utilities/File Mgmt Software;Other Software (inq. Games)</v>
      </c>
      <c r="AA1129" s="6" t="str">
        <v>Other Peripherals;Monitors/Terminals;Portable Computers;Disk Drives;Other Software (inq. Games);Mainframes &amp; Super Computers;Micro-Computers (PCs);Printers</v>
      </c>
      <c r="AB1129" s="6" t="str">
        <v>Printers;Other Software (inq. Games);Micro-Computers (PCs);Disk Drives;Other Peripherals;Portable Computers;Monitors/Terminals;Mainframes &amp; Super Computers</v>
      </c>
    </row>
    <row r="1130">
      <c r="A1130" s="6" t="str">
        <v>4K2733</v>
      </c>
      <c r="B1130" s="6" t="str">
        <v>United States</v>
      </c>
      <c r="C1130" s="6" t="str">
        <v>Google International LLC</v>
      </c>
      <c r="D1130" s="6" t="str">
        <v>Alphabet Inc</v>
      </c>
      <c r="F1130" s="6" t="str">
        <v>India</v>
      </c>
      <c r="G1130" s="6" t="str">
        <v>Jio Platforms Ltd</v>
      </c>
      <c r="H1130" s="6" t="str">
        <v>Telecommunications</v>
      </c>
      <c r="I1130" s="6" t="str">
        <v>2K1242</v>
      </c>
      <c r="J1130" s="6" t="str">
        <v>Reliance Industries Ltd</v>
      </c>
      <c r="K1130" s="6" t="str">
        <v>Reliance Industries Ltd</v>
      </c>
      <c r="L1130" s="7">
        <f>=DATE(2020,7,15)</f>
        <v>44026.99949074074</v>
      </c>
      <c r="M1130" s="7">
        <f>=DATE(2020,11,23)</f>
        <v>44157.99949074074</v>
      </c>
      <c r="N1130" s="8">
        <v>4475.73878146662</v>
      </c>
      <c r="O1130" s="8">
        <v>4475.73878146662</v>
      </c>
      <c r="P1130" s="8" t="str">
        <v>63,087.95</v>
      </c>
      <c r="S1130" s="8">
        <v>12.9111592945938</v>
      </c>
      <c r="W1130" s="6" t="str">
        <v>Internet Services &amp; Software</v>
      </c>
      <c r="X1130" s="6" t="str">
        <v>Telecommunications Equipment;Primary Business not Hi-Tech;Satellite Communications;Internet Services &amp; Software</v>
      </c>
      <c r="Y1130" s="6" t="str">
        <v>Primary Business not Hi-Tech</v>
      </c>
      <c r="Z1130" s="6" t="str">
        <v>Primary Business not Hi-Tech</v>
      </c>
      <c r="AA1130" s="6" t="str">
        <v>Programming Services;Internet Services &amp; Software</v>
      </c>
      <c r="AB1130" s="6" t="str">
        <v>Programming Services;Computer Consulting Services;Internet Services &amp; Software;Primary Business not Hi-Tech;Telecommunications Equipment</v>
      </c>
      <c r="AC1130" s="8">
        <v>4475.73878146662</v>
      </c>
      <c r="AD1130" s="7">
        <f>=DATE(2020,7,15)</f>
        <v>44026.99949074074</v>
      </c>
      <c r="AF1130" s="8" t="str">
        <v>58,099.37</v>
      </c>
      <c r="AG1130" s="8" t="str">
        <v>58,780.13</v>
      </c>
      <c r="AH1130" s="8" t="str">
        <v>58,780.13</v>
      </c>
      <c r="AI1130" s="8" t="str">
        <v>58,099.37</v>
      </c>
      <c r="AJ1130" s="8" t="str">
        <v>4,475.74</v>
      </c>
      <c r="AK1130" s="6" t="str">
        <v>Indian Rupee</v>
      </c>
      <c r="AL1130" s="8">
        <v>4475.73878146662</v>
      </c>
    </row>
    <row r="1131">
      <c r="A1131" s="6" t="str">
        <v>7J8440</v>
      </c>
      <c r="B1131" s="6" t="str">
        <v>United States</v>
      </c>
      <c r="C1131" s="6" t="str">
        <v>Google LLC</v>
      </c>
      <c r="D1131" s="6" t="str">
        <v>Alphabet Inc</v>
      </c>
      <c r="F1131" s="6" t="str">
        <v>United States</v>
      </c>
      <c r="G1131" s="6" t="str">
        <v>ADT Inc</v>
      </c>
      <c r="H1131" s="6" t="str">
        <v>Business Services</v>
      </c>
      <c r="I1131" s="6" t="str">
        <v>00090Q</v>
      </c>
      <c r="J1131" s="6" t="str">
        <v>Apollo Global Management Inc</v>
      </c>
      <c r="K1131" s="6" t="str">
        <v>Apollo Global Management Inc</v>
      </c>
      <c r="L1131" s="7">
        <f>=DATE(2020,8,3)</f>
        <v>44045.99949074074</v>
      </c>
      <c r="M1131" s="7">
        <f>=DATE(2020,9,17)</f>
        <v>44090.99949074074</v>
      </c>
      <c r="N1131" s="8">
        <v>450</v>
      </c>
      <c r="O1131" s="8">
        <v>450</v>
      </c>
      <c r="P1131" s="8" t="str">
        <v>16,035.81</v>
      </c>
      <c r="R1131" s="8">
        <v>-660.657</v>
      </c>
      <c r="S1131" s="8">
        <v>5299.992</v>
      </c>
      <c r="T1131" s="8">
        <v>-794.796</v>
      </c>
      <c r="U1131" s="8">
        <v>-726.112</v>
      </c>
      <c r="V1131" s="8">
        <v>1522.952</v>
      </c>
      <c r="W1131" s="6" t="str">
        <v>Internet Services &amp; Software;Programming Services</v>
      </c>
      <c r="X1131" s="6" t="str">
        <v>Other Computer Systems;Operating Systems;Programming Services;Other Computer Related Svcs</v>
      </c>
      <c r="Y1131" s="6" t="str">
        <v>Primary Business not Hi-Tech</v>
      </c>
      <c r="Z1131" s="6" t="str">
        <v>Primary Business not Hi-Tech</v>
      </c>
      <c r="AA1131" s="6" t="str">
        <v>Internet Services &amp; Software;Computer Consulting Services;Telecommunications Equipment;Primary Business not Hi-Tech;Programming Services</v>
      </c>
      <c r="AB1131" s="6" t="str">
        <v>Primary Business not Hi-Tech;Telecommunications Equipment;Programming Services;Internet Services &amp; Software;Computer Consulting Services</v>
      </c>
      <c r="AC1131" s="8">
        <v>450</v>
      </c>
      <c r="AD1131" s="7">
        <f>=DATE(2020,8,3)</f>
        <v>44045.99949074074</v>
      </c>
      <c r="AE1131" s="8">
        <v>6250.7551089</v>
      </c>
      <c r="AF1131" s="8" t="str">
        <v>15,953.63</v>
      </c>
      <c r="AG1131" s="8" t="str">
        <v>16,035.81</v>
      </c>
      <c r="AH1131" s="8" t="str">
        <v>6,332.93</v>
      </c>
      <c r="AI1131" s="8" t="str">
        <v>6,250.76</v>
      </c>
      <c r="AK1131" s="6" t="str">
        <v>US Dollar</v>
      </c>
      <c r="AL1131" s="8">
        <v>450</v>
      </c>
    </row>
    <row r="1132">
      <c r="A1132" s="6" t="str">
        <v>037833</v>
      </c>
      <c r="B1132" s="6" t="str">
        <v>United States</v>
      </c>
      <c r="C1132" s="6" t="str">
        <v>Apple Inc</v>
      </c>
      <c r="D1132" s="6" t="str">
        <v>Apple Inc</v>
      </c>
      <c r="F1132" s="6" t="str">
        <v>Canada</v>
      </c>
      <c r="G1132" s="6" t="str">
        <v>Mobeewave Inc</v>
      </c>
      <c r="H1132" s="6" t="str">
        <v>Prepackaged Software</v>
      </c>
      <c r="I1132" s="6" t="str">
        <v>9H3630</v>
      </c>
      <c r="J1132" s="6" t="str">
        <v>Mobeewave Inc</v>
      </c>
      <c r="K1132" s="6" t="str">
        <v>Mobeewave Inc</v>
      </c>
      <c r="L1132" s="7">
        <f>=DATE(2020,8,5)</f>
        <v>44047.99949074074</v>
      </c>
      <c r="M1132" s="7">
        <f>=DATE(2020,8,5)</f>
        <v>44047.99949074074</v>
      </c>
      <c r="W1132" s="6" t="str">
        <v>Other Peripherals;Monitors/Terminals;Mainframes &amp; Super Computers;Micro-Computers (PCs);Other Software (inq. Games);Printers;Portable Computers;Disk Drives</v>
      </c>
      <c r="X1132" s="6" t="str">
        <v>Communication/Network Software</v>
      </c>
      <c r="Y1132" s="6" t="str">
        <v>Communication/Network Software</v>
      </c>
      <c r="Z1132" s="6" t="str">
        <v>Communication/Network Software</v>
      </c>
      <c r="AA1132" s="6" t="str">
        <v>Monitors/Terminals;Other Software (inq. Games);Disk Drives;Other Peripherals;Printers;Mainframes &amp; Super Computers;Portable Computers;Micro-Computers (PCs)</v>
      </c>
      <c r="AB1132" s="6" t="str">
        <v>Other Software (inq. Games);Other Peripherals;Portable Computers;Disk Drives;Monitors/Terminals;Mainframes &amp; Super Computers;Printers;Micro-Computers (PCs)</v>
      </c>
      <c r="AD1132" s="7">
        <f>=DATE(2020,8,5)</f>
        <v>44047.99949074074</v>
      </c>
    </row>
    <row r="1133">
      <c r="A1133" s="6" t="str">
        <v>7J8440</v>
      </c>
      <c r="B1133" s="6" t="str">
        <v>United States</v>
      </c>
      <c r="C1133" s="6" t="str">
        <v>Google LLC</v>
      </c>
      <c r="D1133" s="6" t="str">
        <v>Alphabet Inc</v>
      </c>
      <c r="F1133" s="6" t="str">
        <v>India</v>
      </c>
      <c r="G1133" s="6" t="str">
        <v>Policybazaar Insurance Brokers Pvt Ltd</v>
      </c>
      <c r="H1133" s="6" t="str">
        <v>Insurance</v>
      </c>
      <c r="I1133" s="6" t="str">
        <v>8J0496</v>
      </c>
      <c r="J1133" s="6" t="str">
        <v>Etechaces Marketing &amp; Consulting Pvt Ltd</v>
      </c>
      <c r="K1133" s="6" t="str">
        <v>Etechaces Marketing &amp; Consulting Pvt Ltd</v>
      </c>
      <c r="L1133" s="7">
        <f>=DATE(2020,8,8)</f>
        <v>44050.99949074074</v>
      </c>
      <c r="W1133" s="6" t="str">
        <v>Internet Services &amp; Software;Programming Services</v>
      </c>
      <c r="X1133" s="6" t="str">
        <v>Networking Systems (LAN,WAN);Primary Business not Hi-Tech;Internet Services &amp; Software</v>
      </c>
      <c r="Y1133" s="6" t="str">
        <v>Internet Services &amp; Software</v>
      </c>
      <c r="Z1133" s="6" t="str">
        <v>Internet Services &amp; Software</v>
      </c>
      <c r="AA1133" s="6" t="str">
        <v>Computer Consulting Services;Internet Services &amp; Software;Telecommunications Equipment;Programming Services;Primary Business not Hi-Tech</v>
      </c>
      <c r="AB1133" s="6" t="str">
        <v>Primary Business not Hi-Tech;Programming Services;Computer Consulting Services;Internet Services &amp; Software;Telecommunications Equipment</v>
      </c>
      <c r="AD1133" s="7">
        <f>=DATE(2020,8,8)</f>
        <v>44050.99949074074</v>
      </c>
    </row>
    <row r="1134">
      <c r="A1134" s="6" t="str">
        <v>023135</v>
      </c>
      <c r="B1134" s="6" t="str">
        <v>United States</v>
      </c>
      <c r="C1134" s="6" t="str">
        <v>Amazon.com Inc</v>
      </c>
      <c r="D1134" s="6" t="str">
        <v>Amazon.com Inc</v>
      </c>
      <c r="F1134" s="6" t="str">
        <v>United States</v>
      </c>
      <c r="G1134" s="6" t="str">
        <v>Rackspace Technology Inc</v>
      </c>
      <c r="H1134" s="6" t="str">
        <v>Business Services</v>
      </c>
      <c r="I1134" s="6" t="str">
        <v>750102</v>
      </c>
      <c r="J1134" s="6" t="str">
        <v>Rackspace Technology Inc</v>
      </c>
      <c r="K1134" s="6" t="str">
        <v>Rackspace Technology Inc</v>
      </c>
      <c r="L1134" s="7">
        <f>=DATE(2020,8,17)</f>
        <v>44059.99949074074</v>
      </c>
      <c r="R1134" s="8">
        <v>-188.1</v>
      </c>
      <c r="S1134" s="8">
        <v>2538</v>
      </c>
      <c r="T1134" s="8">
        <v>-35.9</v>
      </c>
      <c r="U1134" s="8">
        <v>-449.3</v>
      </c>
      <c r="V1134" s="8">
        <v>391.7</v>
      </c>
      <c r="W1134" s="6" t="str">
        <v>Primary Business not Hi-Tech</v>
      </c>
      <c r="X1134" s="6" t="str">
        <v>Programming Services;Database Software/Programming</v>
      </c>
      <c r="Y1134" s="6" t="str">
        <v>Database Software/Programming;Programming Services</v>
      </c>
      <c r="Z1134" s="6" t="str">
        <v>Database Software/Programming;Programming Services</v>
      </c>
      <c r="AA1134" s="6" t="str">
        <v>Primary Business not Hi-Tech</v>
      </c>
      <c r="AB1134" s="6" t="str">
        <v>Primary Business not Hi-Tech</v>
      </c>
    </row>
    <row r="1135">
      <c r="A1135" s="6" t="str">
        <v>037833</v>
      </c>
      <c r="B1135" s="6" t="str">
        <v>United States</v>
      </c>
      <c r="C1135" s="6" t="str">
        <v>Apple Inc</v>
      </c>
      <c r="D1135" s="6" t="str">
        <v>Apple Inc</v>
      </c>
      <c r="F1135" s="6" t="str">
        <v>Israel</v>
      </c>
      <c r="G1135" s="6" t="str">
        <v>Camerai Ltd</v>
      </c>
      <c r="H1135" s="6" t="str">
        <v>Prepackaged Software</v>
      </c>
      <c r="I1135" s="6" t="str">
        <v>8K6203</v>
      </c>
      <c r="J1135" s="6" t="str">
        <v>Camerai Ltd</v>
      </c>
      <c r="K1135" s="6" t="str">
        <v>Camerai Ltd</v>
      </c>
      <c r="L1135" s="7">
        <f>=DATE(2020,8,20)</f>
        <v>44062.99949074074</v>
      </c>
      <c r="M1135" s="7">
        <f>=DATE(2020,8,20)</f>
        <v>44062.99949074074</v>
      </c>
      <c r="W1135" s="6" t="str">
        <v>Micro-Computers (PCs);Monitors/Terminals;Printers;Other Peripherals;Portable Computers;Other Software (inq. Games);Mainframes &amp; Super Computers;Disk Drives</v>
      </c>
      <c r="X1135" s="6" t="str">
        <v>Communication/Network Software</v>
      </c>
      <c r="Y1135" s="6" t="str">
        <v>Communication/Network Software</v>
      </c>
      <c r="Z1135" s="6" t="str">
        <v>Communication/Network Software</v>
      </c>
      <c r="AA1135" s="6" t="str">
        <v>Micro-Computers (PCs);Printers;Other Peripherals;Monitors/Terminals;Other Software (inq. Games);Disk Drives;Portable Computers;Mainframes &amp; Super Computers</v>
      </c>
      <c r="AB1135" s="6" t="str">
        <v>Other Peripherals;Other Software (inq. Games);Mainframes &amp; Super Computers;Portable Computers;Disk Drives;Monitors/Terminals;Micro-Computers (PCs);Printers</v>
      </c>
    </row>
    <row r="1136">
      <c r="A1136" s="6" t="str">
        <v>9H1420</v>
      </c>
      <c r="B1136" s="6" t="str">
        <v>United States</v>
      </c>
      <c r="C1136" s="6" t="str">
        <v>Google Cloud Platform</v>
      </c>
      <c r="D1136" s="6" t="str">
        <v>Alphabet Inc</v>
      </c>
      <c r="F1136" s="6" t="str">
        <v>United States</v>
      </c>
      <c r="G1136" s="6" t="str">
        <v>American Well Corp</v>
      </c>
      <c r="H1136" s="6" t="str">
        <v>Prepackaged Software</v>
      </c>
      <c r="I1136" s="6" t="str">
        <v>3F0892</v>
      </c>
      <c r="J1136" s="6" t="str">
        <v>American Well Corp</v>
      </c>
      <c r="K1136" s="6" t="str">
        <v>American Well Corp</v>
      </c>
      <c r="L1136" s="7">
        <f>=DATE(2020,8,24)</f>
        <v>44066.99949074074</v>
      </c>
      <c r="M1136" s="7">
        <f>=DATE(2020,8,24)</f>
        <v>44066.99949074074</v>
      </c>
      <c r="N1136" s="8">
        <v>100</v>
      </c>
      <c r="O1136" s="8">
        <v>100</v>
      </c>
      <c r="R1136" s="8">
        <v>-160.238</v>
      </c>
      <c r="S1136" s="8">
        <v>202.058</v>
      </c>
      <c r="T1136" s="8">
        <v>194.722</v>
      </c>
      <c r="U1136" s="8">
        <v>-22.519</v>
      </c>
      <c r="V1136" s="8">
        <v>-98.975</v>
      </c>
      <c r="W1136" s="6" t="str">
        <v>Other Software (inq. Games)</v>
      </c>
      <c r="X1136" s="6" t="str">
        <v>Other Software (inq. Games)</v>
      </c>
      <c r="Y1136" s="6" t="str">
        <v>Other Software (inq. Games)</v>
      </c>
      <c r="Z1136" s="6" t="str">
        <v>Other Software (inq. Games)</v>
      </c>
      <c r="AA1136" s="6" t="str">
        <v>Programming Services;Internet Services &amp; Software</v>
      </c>
      <c r="AB1136" s="6" t="str">
        <v>Computer Consulting Services;Primary Business not Hi-Tech;Programming Services;Telecommunications Equipment;Internet Services &amp; Software</v>
      </c>
      <c r="AC1136" s="8">
        <v>100</v>
      </c>
      <c r="AD1136" s="7">
        <f>=DATE(2020,8,24)</f>
        <v>44066.99949074074</v>
      </c>
      <c r="AL1136" s="8">
        <v>100</v>
      </c>
    </row>
    <row r="1137">
      <c r="A1137" s="6" t="str">
        <v>037833</v>
      </c>
      <c r="B1137" s="6" t="str">
        <v>United States</v>
      </c>
      <c r="C1137" s="6" t="str">
        <v>Apple Inc</v>
      </c>
      <c r="D1137" s="6" t="str">
        <v>Apple Inc</v>
      </c>
      <c r="F1137" s="6" t="str">
        <v>United States</v>
      </c>
      <c r="G1137" s="6" t="str">
        <v>Spaces Inc</v>
      </c>
      <c r="H1137" s="6" t="str">
        <v>Prepackaged Software</v>
      </c>
      <c r="I1137" s="6" t="str">
        <v>5K2374</v>
      </c>
      <c r="J1137" s="6" t="str">
        <v>Spaces Inc</v>
      </c>
      <c r="K1137" s="6" t="str">
        <v>Spaces Inc</v>
      </c>
      <c r="L1137" s="7">
        <f>=DATE(2020,8,25)</f>
        <v>44067.99949074074</v>
      </c>
      <c r="M1137" s="7">
        <f>=DATE(2020,8,25)</f>
        <v>44067.99949074074</v>
      </c>
      <c r="W1137" s="6" t="str">
        <v>Monitors/Terminals;Disk Drives;Micro-Computers (PCs);Mainframes &amp; Super Computers;Printers;Other Software (inq. Games);Other Peripherals;Portable Computers</v>
      </c>
      <c r="X1137" s="6" t="str">
        <v>Internet Services &amp; Software;Other Software (inq. Games);Utilities/File Mgmt Software;Applications Software(Business;Desktop Publishing;Applications Software(Home);Primary Business not Hi-Tech;Communication/Network Software</v>
      </c>
      <c r="Y1137" s="6" t="str">
        <v>Applications Software(Home);Other Software (inq. Games);Applications Software(Business;Utilities/File Mgmt Software;Communication/Network Software;Desktop Publishing;Internet Services &amp; Software;Primary Business not Hi-Tech</v>
      </c>
      <c r="Z1137" s="6" t="str">
        <v>Utilities/File Mgmt Software;Desktop Publishing;Applications Software(Home);Applications Software(Business;Internet Services &amp; Software;Other Software (inq. Games);Primary Business not Hi-Tech;Communication/Network Software</v>
      </c>
      <c r="AA1137" s="6" t="str">
        <v>Monitors/Terminals;Other Peripherals;Disk Drives;Other Software (inq. Games);Micro-Computers (PCs);Printers;Mainframes &amp; Super Computers;Portable Computers</v>
      </c>
      <c r="AB1137" s="6" t="str">
        <v>Other Peripherals;Portable Computers;Mainframes &amp; Super Computers;Disk Drives;Micro-Computers (PCs);Printers;Monitors/Terminals;Other Software (inq. Games)</v>
      </c>
    </row>
    <row r="1138">
      <c r="A1138" s="6" t="str">
        <v>8F1020</v>
      </c>
      <c r="B1138" s="6" t="str">
        <v>United States</v>
      </c>
      <c r="C1138" s="6" t="str">
        <v>Alexa Fund</v>
      </c>
      <c r="D1138" s="6" t="str">
        <v>Amazon.com Inc</v>
      </c>
      <c r="F1138" s="6" t="str">
        <v>United States</v>
      </c>
      <c r="G1138" s="6" t="str">
        <v>Fiddler Labs Inc</v>
      </c>
      <c r="H1138" s="6" t="str">
        <v>Business Services</v>
      </c>
      <c r="I1138" s="6" t="str">
        <v>5K2613</v>
      </c>
      <c r="J1138" s="6" t="str">
        <v>Fiddler Labs Inc</v>
      </c>
      <c r="K1138" s="6" t="str">
        <v>Fiddler Labs Inc</v>
      </c>
      <c r="L1138" s="7">
        <f>=DATE(2020,8,28)</f>
        <v>44070.99949074074</v>
      </c>
      <c r="M1138" s="7">
        <f>=DATE(2020,8,28)</f>
        <v>44070.99949074074</v>
      </c>
      <c r="W1138" s="6" t="str">
        <v>Primary Business not Hi-Tech</v>
      </c>
      <c r="X1138" s="6" t="str">
        <v>Other Software (inq. Games);Utilities/File Mgmt Software;Applications Software(Business;Communication/Network Software;Desktop Publishing;Internet Services &amp; Software;Database Software/Programming;Programming Services</v>
      </c>
      <c r="Y1138" s="6" t="str">
        <v>Applications Software(Business;Utilities/File Mgmt Software;Other Software (inq. Games);Communication/Network Software;Database Software/Programming;Desktop Publishing;Internet Services &amp; Software;Programming Services</v>
      </c>
      <c r="Z1138" s="6" t="str">
        <v>Programming Services;Desktop Publishing;Communication/Network Software;Internet Services &amp; Software;Utilities/File Mgmt Software;Other Software (inq. Games);Database Software/Programming;Applications Software(Business</v>
      </c>
      <c r="AA1138" s="6" t="str">
        <v>Primary Business not Hi-Tech</v>
      </c>
      <c r="AB1138" s="6" t="str">
        <v>Primary Business not Hi-Tech</v>
      </c>
    </row>
    <row r="1139">
      <c r="A1139" s="6" t="str">
        <v>594918</v>
      </c>
      <c r="B1139" s="6" t="str">
        <v>United States</v>
      </c>
      <c r="C1139" s="6" t="str">
        <v>Microsoft Corp</v>
      </c>
      <c r="D1139" s="6" t="str">
        <v>Microsoft Corp</v>
      </c>
      <c r="F1139" s="6" t="str">
        <v>United States</v>
      </c>
      <c r="G1139" s="6" t="str">
        <v>ZeniMax Media Inc</v>
      </c>
      <c r="H1139" s="6" t="str">
        <v>Prepackaged Software</v>
      </c>
      <c r="I1139" s="6" t="str">
        <v>98967F</v>
      </c>
      <c r="J1139" s="6" t="str">
        <v>ZeniMax Media Inc</v>
      </c>
      <c r="K1139" s="6" t="str">
        <v>ZeniMax Media Inc</v>
      </c>
      <c r="L1139" s="7">
        <f>=DATE(2020,9,21)</f>
        <v>44094.99949074074</v>
      </c>
      <c r="M1139" s="7">
        <f>=DATE(2021,3,9)</f>
        <v>44263.99949074074</v>
      </c>
      <c r="N1139" s="8">
        <v>7500</v>
      </c>
      <c r="O1139" s="8">
        <v>7500</v>
      </c>
      <c r="W1139" s="6" t="str">
        <v>Computer Consulting Services;Monitors/Terminals;Operating Systems;Other Peripherals;Internet Services &amp; Software;Applications Software(Business</v>
      </c>
      <c r="X1139" s="6" t="str">
        <v>Other Software (inq. Games)</v>
      </c>
      <c r="Y1139" s="6" t="str">
        <v>Other Software (inq. Games)</v>
      </c>
      <c r="Z1139" s="6" t="str">
        <v>Other Software (inq. Games)</v>
      </c>
      <c r="AA1139" s="6" t="str">
        <v>Computer Consulting Services;Other Peripherals;Operating Systems;Monitors/Terminals;Internet Services &amp; Software;Applications Software(Business</v>
      </c>
      <c r="AB1139" s="6" t="str">
        <v>Operating Systems;Applications Software(Business;Other Peripherals;Monitors/Terminals;Computer Consulting Services;Internet Services &amp; Software</v>
      </c>
      <c r="AC1139" s="8">
        <v>7500</v>
      </c>
      <c r="AD1139" s="7">
        <f>=DATE(2020,9,21)</f>
        <v>44094.99949074074</v>
      </c>
      <c r="AJ1139" s="8" t="str">
        <v>7,500.00</v>
      </c>
      <c r="AK1139" s="6" t="str">
        <v>US Dollar</v>
      </c>
      <c r="AL1139" s="8">
        <v>7500</v>
      </c>
    </row>
    <row r="1140">
      <c r="A1140" s="6" t="str">
        <v>4J8001</v>
      </c>
      <c r="B1140" s="6" t="str">
        <v>United States</v>
      </c>
      <c r="C1140" s="6" t="str">
        <v>Fungible Inc</v>
      </c>
      <c r="D1140" s="6" t="str">
        <v>Fungible Inc</v>
      </c>
      <c r="F1140" s="6" t="str">
        <v>United States</v>
      </c>
      <c r="G1140" s="6" t="str">
        <v>Cloudistics Inc-Assets</v>
      </c>
      <c r="H1140" s="6" t="str">
        <v>Prepackaged Software</v>
      </c>
      <c r="I1140" s="6" t="str">
        <v>6K1377</v>
      </c>
      <c r="J1140" s="6" t="str">
        <v>Fungible Inc</v>
      </c>
      <c r="K1140" s="6" t="str">
        <v>Fungible Inc</v>
      </c>
      <c r="L1140" s="7">
        <f>=DATE(2020,9,24)</f>
        <v>44097.99949074074</v>
      </c>
      <c r="M1140" s="7">
        <f>=DATE(2020,9,24)</f>
        <v>44097.99949074074</v>
      </c>
      <c r="W1140" s="6" t="str">
        <v>Data Processing Services;Other Software (inq. Games);Computer Consulting Services;Other Computer Related Svcs</v>
      </c>
      <c r="X1140" s="6" t="str">
        <v>Other Software (inq. Games)</v>
      </c>
      <c r="Y1140" s="6" t="str">
        <v>Computer Consulting Services;Data Processing Services;Other Computer Related Svcs;Other Software (inq. Games)</v>
      </c>
      <c r="Z1140" s="6" t="str">
        <v>Data Processing Services;Computer Consulting Services;Other Software (inq. Games);Other Computer Related Svcs</v>
      </c>
      <c r="AA1140" s="6" t="str">
        <v>Computer Consulting Services;Data Processing Services;Other Computer Related Svcs;Other Software (inq. Games)</v>
      </c>
      <c r="AB1140" s="6" t="str">
        <v>Computer Consulting Services;Other Computer Related Svcs;Other Software (inq. Games);Data Processing Services</v>
      </c>
    </row>
    <row r="1141">
      <c r="A1141" s="6" t="str">
        <v>037833</v>
      </c>
      <c r="B1141" s="6" t="str">
        <v>United States</v>
      </c>
      <c r="C1141" s="6" t="str">
        <v>Apple Inc</v>
      </c>
      <c r="D1141" s="6" t="str">
        <v>Apple Inc</v>
      </c>
      <c r="F1141" s="6" t="str">
        <v>United States</v>
      </c>
      <c r="G1141" s="6" t="str">
        <v>Subverse Corp</v>
      </c>
      <c r="H1141" s="6" t="str">
        <v>Prepackaged Software</v>
      </c>
      <c r="I1141" s="6" t="str">
        <v>6K2067</v>
      </c>
      <c r="J1141" s="6" t="str">
        <v>Subverse Corp</v>
      </c>
      <c r="K1141" s="6" t="str">
        <v>Subverse Corp</v>
      </c>
      <c r="L1141" s="7">
        <f>=DATE(2020,9,24)</f>
        <v>44097.99949074074</v>
      </c>
      <c r="W1141" s="6" t="str">
        <v>Micro-Computers (PCs);Monitors/Terminals;Mainframes &amp; Super Computers;Disk Drives;Portable Computers;Other Software (inq. Games);Other Peripherals;Printers</v>
      </c>
      <c r="X1141" s="6" t="str">
        <v>Communication/Network Software</v>
      </c>
      <c r="Y1141" s="6" t="str">
        <v>Communication/Network Software</v>
      </c>
      <c r="Z1141" s="6" t="str">
        <v>Communication/Network Software</v>
      </c>
      <c r="AA1141" s="6" t="str">
        <v>Other Software (inq. Games);Disk Drives;Portable Computers;Printers;Micro-Computers (PCs);Mainframes &amp; Super Computers;Other Peripherals;Monitors/Terminals</v>
      </c>
      <c r="AB1141" s="6" t="str">
        <v>Other Peripherals;Portable Computers;Printers;Micro-Computers (PCs);Monitors/Terminals;Mainframes &amp; Super Computers;Other Software (inq. Games);Disk Drives</v>
      </c>
    </row>
    <row r="1142">
      <c r="A1142" s="6" t="str">
        <v>037833</v>
      </c>
      <c r="B1142" s="6" t="str">
        <v>United States</v>
      </c>
      <c r="C1142" s="6" t="str">
        <v>Apple Inc</v>
      </c>
      <c r="D1142" s="6" t="str">
        <v>Apple Inc</v>
      </c>
      <c r="F1142" s="6" t="str">
        <v>Spain</v>
      </c>
      <c r="G1142" s="6" t="str">
        <v>Vilynx Spain SL</v>
      </c>
      <c r="H1142" s="6" t="str">
        <v>Prepackaged Software</v>
      </c>
      <c r="I1142" s="6" t="str">
        <v>8K6211</v>
      </c>
      <c r="J1142" s="6" t="str">
        <v>Vilynx Spain SL</v>
      </c>
      <c r="K1142" s="6" t="str">
        <v>Vilynx Spain SL</v>
      </c>
      <c r="L1142" s="7">
        <f>=DATE(2020,10,27)</f>
        <v>44130.99949074074</v>
      </c>
      <c r="W1142" s="6" t="str">
        <v>Disk Drives;Micro-Computers (PCs);Printers;Other Peripherals;Other Software (inq. Games);Mainframes &amp; Super Computers;Monitors/Terminals;Portable Computers</v>
      </c>
      <c r="X1142" s="6" t="str">
        <v>Internet Services &amp; Software;Other Software (inq. Games);Applications Software(Business;Utilities/File Mgmt Software;Communication/Network Software;Applications Software(Home);Desktop Publishing</v>
      </c>
      <c r="Y1142" s="6" t="str">
        <v>Other Software (inq. Games);Communication/Network Software;Applications Software(Business;Internet Services &amp; Software;Desktop Publishing;Applications Software(Home);Utilities/File Mgmt Software</v>
      </c>
      <c r="Z1142" s="6" t="str">
        <v>Utilities/File Mgmt Software;Applications Software(Home);Applications Software(Business;Desktop Publishing;Other Software (inq. Games);Internet Services &amp; Software;Communication/Network Software</v>
      </c>
      <c r="AA1142" s="6" t="str">
        <v>Printers;Micro-Computers (PCs);Other Peripherals;Monitors/Terminals;Other Software (inq. Games);Disk Drives;Portable Computers;Mainframes &amp; Super Computers</v>
      </c>
      <c r="AB1142" s="6" t="str">
        <v>Portable Computers;Other Peripherals;Printers;Disk Drives;Mainframes &amp; Super Computers;Other Software (inq. Games);Micro-Computers (PCs);Monitors/Terminals</v>
      </c>
      <c r="AD1142" s="7">
        <f>=DATE(2020,10,27)</f>
        <v>44130.99949074074</v>
      </c>
    </row>
    <row r="1143">
      <c r="A1143" s="6" t="str">
        <v>73959W</v>
      </c>
      <c r="B1143" s="6" t="str">
        <v>United States</v>
      </c>
      <c r="C1143" s="6" t="str">
        <v>PowerSchool Group LLC</v>
      </c>
      <c r="D1143" s="6" t="str">
        <v>PowerSchool Holdings Inc</v>
      </c>
      <c r="F1143" s="6" t="str">
        <v>United States</v>
      </c>
      <c r="G1143" s="6" t="str">
        <v>Hoonuit LLC</v>
      </c>
      <c r="H1143" s="6" t="str">
        <v>Prepackaged Software</v>
      </c>
      <c r="I1143" s="6" t="str">
        <v>8J8503</v>
      </c>
      <c r="J1143" s="6" t="str">
        <v>Hoonuit LLC</v>
      </c>
      <c r="K1143" s="6" t="str">
        <v>Hoonuit LLC</v>
      </c>
      <c r="L1143" s="7">
        <f>=DATE(2020,10,29)</f>
        <v>44132.99949074074</v>
      </c>
      <c r="M1143" s="7">
        <f>=DATE(2020,10,29)</f>
        <v>44132.99949074074</v>
      </c>
      <c r="W1143" s="6" t="str">
        <v>Other Software (inq. Games)</v>
      </c>
      <c r="X1143" s="6" t="str">
        <v>Other Software (inq. Games)</v>
      </c>
      <c r="Y1143" s="6" t="str">
        <v>Other Software (inq. Games)</v>
      </c>
      <c r="Z1143" s="6" t="str">
        <v>Other Software (inq. Games)</v>
      </c>
      <c r="AA1143" s="6" t="str">
        <v>Other Software (inq. Games);Communication/Network Software;Applications Software(Business;Desktop Publishing;Utilities/File Mgmt Software;Applications Software(Home);Internet Services &amp; Software;Primary Business not Hi-Tech</v>
      </c>
      <c r="AB1143" s="6" t="str">
        <v>Communication/Network Software;Internet Services &amp; Software;Other Software (inq. Games);Desktop Publishing;Applications Software(Business;Applications Software(Home);Primary Business not Hi-Tech;Utilities/File Mgmt Software</v>
      </c>
    </row>
    <row r="1144">
      <c r="A1144" s="6" t="str">
        <v>9H1420</v>
      </c>
      <c r="B1144" s="6" t="str">
        <v>United States</v>
      </c>
      <c r="C1144" s="6" t="str">
        <v>Google Cloud Platform</v>
      </c>
      <c r="D1144" s="6" t="str">
        <v>Alphabet Inc</v>
      </c>
      <c r="F1144" s="6" t="str">
        <v>United States</v>
      </c>
      <c r="G1144" s="6" t="str">
        <v>Actifio Inc</v>
      </c>
      <c r="H1144" s="6" t="str">
        <v>Prepackaged Software</v>
      </c>
      <c r="I1144" s="6" t="str">
        <v>2A6445</v>
      </c>
      <c r="J1144" s="6" t="str">
        <v>Actifio Inc</v>
      </c>
      <c r="K1144" s="6" t="str">
        <v>Actifio Inc</v>
      </c>
      <c r="L1144" s="7">
        <f>=DATE(2020,12,2)</f>
        <v>44166.99949074074</v>
      </c>
      <c r="M1144" s="7">
        <f>=DATE(2020,12,14)</f>
        <v>44178.99949074074</v>
      </c>
      <c r="W1144" s="6" t="str">
        <v>Other Software (inq. Games)</v>
      </c>
      <c r="X1144" s="6" t="str">
        <v>Operating Systems;Database Software/Programming;Communication/Network Software;Other Software (inq. Games);Internet Services &amp; Software;Other Computer Systems;Programming Services</v>
      </c>
      <c r="Y1144" s="6" t="str">
        <v>Operating Systems;Other Computer Systems;Programming Services;Database Software/Programming;Internet Services &amp; Software;Communication/Network Software;Other Software (inq. Games)</v>
      </c>
      <c r="Z1144" s="6" t="str">
        <v>Programming Services;Other Software (inq. Games);Communication/Network Software;Other Computer Systems;Internet Services &amp; Software;Database Software/Programming;Operating Systems</v>
      </c>
      <c r="AA1144" s="6" t="str">
        <v>Internet Services &amp; Software;Programming Services</v>
      </c>
      <c r="AB1144" s="6" t="str">
        <v>Telecommunications Equipment;Programming Services;Primary Business not Hi-Tech;Internet Services &amp; Software;Computer Consulting Services</v>
      </c>
    </row>
    <row r="1145">
      <c r="A1145" s="6" t="str">
        <v>9H1420</v>
      </c>
      <c r="B1145" s="6" t="str">
        <v>United States</v>
      </c>
      <c r="C1145" s="6" t="str">
        <v>Google Cloud Platform</v>
      </c>
      <c r="D1145" s="6" t="str">
        <v>Alphabet Inc</v>
      </c>
      <c r="F1145" s="6" t="str">
        <v>United Kingdom</v>
      </c>
      <c r="G1145" s="6" t="str">
        <v>Tada Science Inc</v>
      </c>
      <c r="H1145" s="6" t="str">
        <v>Prepackaged Software</v>
      </c>
      <c r="I1145" s="6" t="str">
        <v>9K8807</v>
      </c>
      <c r="J1145" s="6" t="str">
        <v>Tada Science Inc</v>
      </c>
      <c r="K1145" s="6" t="str">
        <v>Tada Science Inc</v>
      </c>
      <c r="L1145" s="7">
        <f>=DATE(2020,12,8)</f>
        <v>44172.99949074074</v>
      </c>
      <c r="M1145" s="7">
        <f>=DATE(2020,12,8)</f>
        <v>44172.99949074074</v>
      </c>
      <c r="W1145" s="6" t="str">
        <v>Other Software (inq. Games)</v>
      </c>
      <c r="X1145" s="6" t="str">
        <v>Applications Software(Business</v>
      </c>
      <c r="Y1145" s="6" t="str">
        <v>Applications Software(Business</v>
      </c>
      <c r="Z1145" s="6" t="str">
        <v>Applications Software(Business</v>
      </c>
      <c r="AA1145" s="6" t="str">
        <v>Programming Services;Internet Services &amp; Software</v>
      </c>
      <c r="AB1145" s="6" t="str">
        <v>Internet Services &amp; Software;Computer Consulting Services;Telecommunications Equipment;Primary Business not Hi-Tech;Programming Services</v>
      </c>
    </row>
    <row r="1146">
      <c r="A1146" s="6" t="str">
        <v>7J8440</v>
      </c>
      <c r="B1146" s="6" t="str">
        <v>United States</v>
      </c>
      <c r="C1146" s="6" t="str">
        <v>Google LLC</v>
      </c>
      <c r="D1146" s="6" t="str">
        <v>Alphabet Inc</v>
      </c>
      <c r="F1146" s="6" t="str">
        <v>United States</v>
      </c>
      <c r="G1146" s="6" t="str">
        <v>Neverware Inc</v>
      </c>
      <c r="H1146" s="6" t="str">
        <v>Prepackaged Software</v>
      </c>
      <c r="I1146" s="6" t="str">
        <v>9F6939</v>
      </c>
      <c r="J1146" s="6" t="str">
        <v>Neverware Inc</v>
      </c>
      <c r="K1146" s="6" t="str">
        <v>Neverware Inc</v>
      </c>
      <c r="L1146" s="7">
        <f>=DATE(2020,12,11)</f>
        <v>44175.99949074074</v>
      </c>
      <c r="M1146" s="7">
        <f>=DATE(2020,12,11)</f>
        <v>44175.99949074074</v>
      </c>
      <c r="W1146" s="6" t="str">
        <v>Internet Services &amp; Software;Programming Services</v>
      </c>
      <c r="X1146" s="6" t="str">
        <v>Other Software (inq. Games);Communication/Network Software;Applications Software(Business;Internet Services &amp; Software;Desktop Publishing;Utilities/File Mgmt Software;Applications Software(Home)</v>
      </c>
      <c r="Y1146" s="6" t="str">
        <v>Desktop Publishing;Applications Software(Home);Internet Services &amp; Software;Utilities/File Mgmt Software;Applications Software(Business;Communication/Network Software;Other Software (inq. Games)</v>
      </c>
      <c r="Z1146" s="6" t="str">
        <v>Other Software (inq. Games);Utilities/File Mgmt Software;Applications Software(Home);Applications Software(Business;Internet Services &amp; Software;Communication/Network Software;Desktop Publishing</v>
      </c>
      <c r="AA1146" s="6" t="str">
        <v>Computer Consulting Services;Internet Services &amp; Software;Primary Business not Hi-Tech;Telecommunications Equipment;Programming Services</v>
      </c>
      <c r="AB1146" s="6" t="str">
        <v>Programming Services;Internet Services &amp; Software;Primary Business not Hi-Tech;Computer Consulting Services;Telecommunications Equipment</v>
      </c>
    </row>
    <row r="1147">
      <c r="A1147" s="6" t="str">
        <v>9H1420</v>
      </c>
      <c r="B1147" s="6" t="str">
        <v>United States</v>
      </c>
      <c r="C1147" s="6" t="str">
        <v>Google Cloud Platform</v>
      </c>
      <c r="D1147" s="6" t="str">
        <v>Alphabet Inc</v>
      </c>
      <c r="F1147" s="6" t="str">
        <v>United States</v>
      </c>
      <c r="G1147" s="6" t="str">
        <v>StratoZone LLC</v>
      </c>
      <c r="H1147" s="6" t="str">
        <v>Prepackaged Software</v>
      </c>
      <c r="I1147" s="6" t="str">
        <v>9K9158</v>
      </c>
      <c r="J1147" s="6" t="str">
        <v>StratoZone LLC</v>
      </c>
      <c r="K1147" s="6" t="str">
        <v>StratoZone LLC</v>
      </c>
      <c r="L1147" s="7">
        <f>=DATE(2020,12,24)</f>
        <v>44188.99949074074</v>
      </c>
      <c r="M1147" s="7">
        <f>=DATE(2020,12,24)</f>
        <v>44188.99949074074</v>
      </c>
      <c r="W1147" s="6" t="str">
        <v>Other Software (inq. Games)</v>
      </c>
      <c r="X1147" s="6" t="str">
        <v>Applications Software(Business;Applications Software(Home);Communication/Network Software;Internet Services &amp; Software;Other Software (inq. Games);Desktop Publishing;Utilities/File Mgmt Software</v>
      </c>
      <c r="Y1147" s="6" t="str">
        <v>Applications Software(Home);Other Software (inq. Games);Internet Services &amp; Software;Communication/Network Software;Utilities/File Mgmt Software;Desktop Publishing;Applications Software(Business</v>
      </c>
      <c r="Z1147" s="6" t="str">
        <v>Other Software (inq. Games);Internet Services &amp; Software;Applications Software(Home);Communication/Network Software;Utilities/File Mgmt Software;Desktop Publishing;Applications Software(Business</v>
      </c>
      <c r="AA1147" s="6" t="str">
        <v>Programming Services;Internet Services &amp; Software</v>
      </c>
      <c r="AB1147" s="6" t="str">
        <v>Computer Consulting Services;Primary Business not Hi-Tech;Programming Services;Internet Services &amp; Software;Telecommunications Equipment</v>
      </c>
    </row>
    <row r="1148">
      <c r="A1148" s="6" t="str">
        <v>023135</v>
      </c>
      <c r="B1148" s="6" t="str">
        <v>United States</v>
      </c>
      <c r="C1148" s="6" t="str">
        <v>Amazon.com Inc</v>
      </c>
      <c r="D1148" s="6" t="str">
        <v>Amazon.com Inc</v>
      </c>
      <c r="E1148" s="6" t="str">
        <v>Investor Group</v>
      </c>
      <c r="F1148" s="6" t="str">
        <v>United States</v>
      </c>
      <c r="G1148" s="6" t="str">
        <v>Wondery Inc</v>
      </c>
      <c r="H1148" s="6" t="str">
        <v>Printing, Publishing, and Allied Services</v>
      </c>
      <c r="I1148" s="6" t="str">
        <v>5J4394</v>
      </c>
      <c r="J1148" s="6" t="str">
        <v>Wondery Inc</v>
      </c>
      <c r="K1148" s="6" t="str">
        <v>Wondery Inc</v>
      </c>
      <c r="L1148" s="7">
        <f>=DATE(2020,12,31)</f>
        <v>44195.99949074074</v>
      </c>
      <c r="W1148" s="6" t="str">
        <v>Primary Business not Hi-Tech</v>
      </c>
      <c r="X1148" s="6" t="str">
        <v>Computer Consulting Services;Networking Systems (LAN,WAN);Other Computer Related Svcs;Internet Services &amp; Software;Primary Business not Hi-Tech</v>
      </c>
      <c r="Y1148" s="6" t="str">
        <v>Internet Services &amp; Software;Other Computer Related Svcs;Computer Consulting Services;Primary Business not Hi-Tech;Networking Systems (LAN,WAN)</v>
      </c>
      <c r="Z1148" s="6" t="str">
        <v>Primary Business not Hi-Tech;Internet Services &amp; Software;Computer Consulting Services;Networking Systems (LAN,WAN);Other Computer Related Svcs</v>
      </c>
      <c r="AA1148" s="6" t="str">
        <v>Primary Business not Hi-Tech</v>
      </c>
      <c r="AB1148" s="6" t="str">
        <v>Primary Business not Hi-Tech</v>
      </c>
      <c r="AD1148" s="7">
        <f>=DATE(2020,12,31)</f>
        <v>44195.99949074074</v>
      </c>
    </row>
    <row r="1149">
      <c r="A1149" s="6" t="str">
        <v>023135</v>
      </c>
      <c r="B1149" s="6" t="str">
        <v>United States</v>
      </c>
      <c r="C1149" s="6" t="str">
        <v>Amazon.com Inc</v>
      </c>
      <c r="D1149" s="6" t="str">
        <v>Amazon.com Inc</v>
      </c>
      <c r="F1149" s="6" t="str">
        <v>Australia</v>
      </c>
      <c r="G1149" s="6" t="str">
        <v>Selz.Com Pty Ltd</v>
      </c>
      <c r="H1149" s="6" t="str">
        <v>Business Services</v>
      </c>
      <c r="I1149" s="6" t="str">
        <v>2L1993</v>
      </c>
      <c r="J1149" s="6" t="str">
        <v>Selz.Com Pty Ltd</v>
      </c>
      <c r="K1149" s="6" t="str">
        <v>Selz.Com Pty Ltd</v>
      </c>
      <c r="L1149" s="7">
        <f>=DATE(2021,1,15)</f>
        <v>44210.99949074074</v>
      </c>
      <c r="M1149" s="7">
        <f>=DATE(2021,1,15)</f>
        <v>44210.99949074074</v>
      </c>
      <c r="W1149" s="6" t="str">
        <v>Primary Business not Hi-Tech</v>
      </c>
      <c r="X1149" s="6" t="str">
        <v>CAD/CAM/CAE/Graphics Systems;Other Software (inq. Games);Computer Consulting Services</v>
      </c>
      <c r="Y1149" s="6" t="str">
        <v>Computer Consulting Services;CAD/CAM/CAE/Graphics Systems;Other Software (inq. Games)</v>
      </c>
      <c r="Z1149" s="6" t="str">
        <v>Computer Consulting Services;CAD/CAM/CAE/Graphics Systems;Other Software (inq. Games)</v>
      </c>
      <c r="AA1149" s="6" t="str">
        <v>Primary Business not Hi-Tech</v>
      </c>
      <c r="AB1149" s="6" t="str">
        <v>Primary Business not Hi-Tech</v>
      </c>
    </row>
    <row r="1150">
      <c r="A1150" s="6" t="str">
        <v>023135</v>
      </c>
      <c r="B1150" s="6" t="str">
        <v>United States</v>
      </c>
      <c r="C1150" s="6" t="str">
        <v>Amazon.com Inc</v>
      </c>
      <c r="D1150" s="6" t="str">
        <v>Amazon.com Inc</v>
      </c>
      <c r="F1150" s="6" t="str">
        <v>Finland</v>
      </c>
      <c r="G1150" s="6" t="str">
        <v>Umbra Software Oy</v>
      </c>
      <c r="H1150" s="6" t="str">
        <v>Business Services</v>
      </c>
      <c r="I1150" s="6" t="str">
        <v>2L3368</v>
      </c>
      <c r="J1150" s="6" t="str">
        <v>Umbra Software Oy</v>
      </c>
      <c r="K1150" s="6" t="str">
        <v>Umbra Software Oy</v>
      </c>
      <c r="L1150" s="7">
        <f>=DATE(2021,1,22)</f>
        <v>44217.99949074074</v>
      </c>
      <c r="M1150" s="7">
        <f>=DATE(2021,1,22)</f>
        <v>44217.99949074074</v>
      </c>
      <c r="W1150" s="6" t="str">
        <v>Primary Business not Hi-Tech</v>
      </c>
      <c r="X1150" s="6" t="str">
        <v>Computer Consulting Services;Other Computer Related Svcs;Data Processing Services;Other Software (inq. Games)</v>
      </c>
      <c r="Y1150" s="6" t="str">
        <v>Data Processing Services;Other Computer Related Svcs;Other Software (inq. Games);Computer Consulting Services</v>
      </c>
      <c r="Z1150" s="6" t="str">
        <v>Other Software (inq. Games);Data Processing Services;Other Computer Related Svcs;Computer Consulting Services</v>
      </c>
      <c r="AA1150" s="6" t="str">
        <v>Primary Business not Hi-Tech</v>
      </c>
      <c r="AB1150" s="6" t="str">
        <v>Primary Business not Hi-Tech</v>
      </c>
    </row>
    <row r="1151">
      <c r="A1151" s="6" t="str">
        <v>67020Y</v>
      </c>
      <c r="B1151" s="6" t="str">
        <v>United States</v>
      </c>
      <c r="C1151" s="6" t="str">
        <v>Nuance Communications Inc</v>
      </c>
      <c r="D1151" s="6" t="str">
        <v>Nuance Communications Inc</v>
      </c>
      <c r="F1151" s="6" t="str">
        <v>United States</v>
      </c>
      <c r="G1151" s="6" t="str">
        <v>Saykara Inc</v>
      </c>
      <c r="H1151" s="6" t="str">
        <v>Business Services</v>
      </c>
      <c r="I1151" s="6" t="str">
        <v>6H8202</v>
      </c>
      <c r="J1151" s="6" t="str">
        <v>Saykara Inc</v>
      </c>
      <c r="K1151" s="6" t="str">
        <v>Saykara Inc</v>
      </c>
      <c r="L1151" s="7">
        <f>=DATE(2021,2,8)</f>
        <v>44234.99949074074</v>
      </c>
      <c r="M1151" s="7">
        <f>=DATE(2021,2,8)</f>
        <v>44234.99949074074</v>
      </c>
      <c r="W1151" s="6" t="str">
        <v>Internet Services &amp; Software;Networking Systems (LAN,WAN);Desktop Publishing;Communication/Network Software;Utilities/File Mgmt Software;Other Software (inq. Games);Other Computer Related Svcs;Database Software/Programming;Programming Services;Applications Software(Home);Applications Software(Business;Primary Business not Hi-Tech;Computer Consulting Services</v>
      </c>
      <c r="X1151" s="6" t="str">
        <v>Programming Services;Database Software/Programming</v>
      </c>
      <c r="Y1151" s="6" t="str">
        <v>Database Software/Programming;Programming Services</v>
      </c>
      <c r="Z1151" s="6" t="str">
        <v>Database Software/Programming;Programming Services</v>
      </c>
      <c r="AA1151" s="6" t="str">
        <v>Utilities/File Mgmt Software;Other Software (inq. Games);Networking Systems (LAN,WAN);Communication/Network Software;Primary Business not Hi-Tech;Desktop Publishing;Database Software/Programming;Programming Services;Internet Services &amp; Software;Other Computer Related Svcs;Computer Consulting Services;Applications Software(Home);Applications Software(Business</v>
      </c>
      <c r="AB1151" s="6" t="str">
        <v>Communication/Network Software;Desktop Publishing;Applications Software(Home);Applications Software(Business;Computer Consulting Services;Primary Business not Hi-Tech;Database Software/Programming;Utilities/File Mgmt Software;Other Software (inq. Games);Networking Systems (LAN,WAN);Other Computer Related Svcs;Programming Services;Internet Services &amp; Software</v>
      </c>
    </row>
    <row r="1152">
      <c r="A1152" s="6" t="str">
        <v>594918</v>
      </c>
      <c r="B1152" s="6" t="str">
        <v>United States</v>
      </c>
      <c r="C1152" s="6" t="str">
        <v>Microsoft Corp</v>
      </c>
      <c r="D1152" s="6" t="str">
        <v>Microsoft Corp</v>
      </c>
      <c r="F1152" s="6" t="str">
        <v>United States</v>
      </c>
      <c r="G1152" s="6" t="str">
        <v>Pinterest Inc</v>
      </c>
      <c r="H1152" s="6" t="str">
        <v>Business Services</v>
      </c>
      <c r="I1152" s="6" t="str">
        <v>72352L</v>
      </c>
      <c r="J1152" s="6" t="str">
        <v>Pinterest Inc</v>
      </c>
      <c r="K1152" s="6" t="str">
        <v>Pinterest Inc</v>
      </c>
      <c r="L1152" s="7">
        <f>=DATE(2021,2,11)</f>
        <v>44237.99949074074</v>
      </c>
      <c r="R1152" s="8">
        <v>-128.323</v>
      </c>
      <c r="S1152" s="8">
        <v>1692.658</v>
      </c>
      <c r="T1152" s="8">
        <v>19.638</v>
      </c>
      <c r="U1152" s="8">
        <v>-47.623</v>
      </c>
      <c r="V1152" s="8">
        <v>28.826</v>
      </c>
      <c r="W1152" s="6" t="str">
        <v>Operating Systems;Internet Services &amp; Software;Computer Consulting Services;Applications Software(Business;Monitors/Terminals;Other Peripherals</v>
      </c>
      <c r="X1152" s="6" t="str">
        <v>Internet Services &amp; Software</v>
      </c>
      <c r="Y1152" s="6" t="str">
        <v>Internet Services &amp; Software</v>
      </c>
      <c r="Z1152" s="6" t="str">
        <v>Internet Services &amp; Software</v>
      </c>
      <c r="AA1152" s="6" t="str">
        <v>Computer Consulting Services;Applications Software(Business;Internet Services &amp; Software;Monitors/Terminals;Other Peripherals;Operating Systems</v>
      </c>
      <c r="AB1152" s="6" t="str">
        <v>Computer Consulting Services;Monitors/Terminals;Other Peripherals;Internet Services &amp; Software;Operating Systems;Applications Software(Business</v>
      </c>
    </row>
    <row r="1153">
      <c r="A1153" s="6" t="str">
        <v>73959W</v>
      </c>
      <c r="B1153" s="6" t="str">
        <v>United States</v>
      </c>
      <c r="C1153" s="6" t="str">
        <v>PowerSchool Group LLC</v>
      </c>
      <c r="D1153" s="6" t="str">
        <v>PowerSchool Holdings Inc</v>
      </c>
      <c r="F1153" s="6" t="str">
        <v>United States</v>
      </c>
      <c r="G1153" s="6" t="str">
        <v>Naviance Inc</v>
      </c>
      <c r="H1153" s="6" t="str">
        <v>Prepackaged Software</v>
      </c>
      <c r="I1153" s="6" t="str">
        <v>63931V</v>
      </c>
      <c r="J1153" s="6" t="str">
        <v>Rothermere Continuation Ltd</v>
      </c>
      <c r="K1153" s="6" t="str">
        <v>Hobsons EMT</v>
      </c>
      <c r="L1153" s="7">
        <f>=DATE(2021,2,18)</f>
        <v>44244.99949074074</v>
      </c>
      <c r="M1153" s="7">
        <f>=DATE(2021,3,3)</f>
        <v>44257.99949074074</v>
      </c>
      <c r="N1153" s="8">
        <v>320</v>
      </c>
      <c r="O1153" s="8">
        <v>320</v>
      </c>
      <c r="W1153" s="6" t="str">
        <v>Other Software (inq. Games)</v>
      </c>
      <c r="X1153" s="6" t="str">
        <v>Other Software (inq. Games);Internet Services &amp; Software</v>
      </c>
      <c r="Y1153" s="6" t="str">
        <v>Networking Systems (LAN,WAN);Internet Services &amp; Software;Applications Software(Business</v>
      </c>
      <c r="Z1153" s="6" t="str">
        <v>Microwave Communications;Satellite Communications</v>
      </c>
      <c r="AA1153" s="6" t="str">
        <v>Internet Services &amp; Software;Applications Software(Business;Other Software (inq. Games);Desktop Publishing;Primary Business not Hi-Tech;Applications Software(Home);Utilities/File Mgmt Software;Communication/Network Software</v>
      </c>
      <c r="AB1153" s="6" t="str">
        <v>Utilities/File Mgmt Software;Communication/Network Software;Other Software (inq. Games);Desktop Publishing;Primary Business not Hi-Tech;Internet Services &amp; Software;Applications Software(Home);Applications Software(Business</v>
      </c>
      <c r="AC1153" s="8">
        <v>320</v>
      </c>
      <c r="AD1153" s="7">
        <f>=DATE(2021,2,18)</f>
        <v>44244.99949074074</v>
      </c>
      <c r="AJ1153" s="8" t="str">
        <v>320.00</v>
      </c>
      <c r="AK1153" s="6" t="str">
        <v>US Dollar</v>
      </c>
      <c r="AL1153" s="8">
        <v>320</v>
      </c>
    </row>
    <row r="1154">
      <c r="A1154" s="6" t="str">
        <v>594918</v>
      </c>
      <c r="B1154" s="6" t="str">
        <v>United States</v>
      </c>
      <c r="C1154" s="6" t="str">
        <v>Microsoft Corp</v>
      </c>
      <c r="D1154" s="6" t="str">
        <v>Microsoft Corp</v>
      </c>
      <c r="F1154" s="6" t="str">
        <v>United States</v>
      </c>
      <c r="G1154" s="6" t="str">
        <v>The Marsden Group Inc</v>
      </c>
      <c r="H1154" s="6" t="str">
        <v>Prepackaged Software</v>
      </c>
      <c r="I1154" s="6" t="str">
        <v>3L0818</v>
      </c>
      <c r="J1154" s="6" t="str">
        <v>The Marsden Group Inc</v>
      </c>
      <c r="K1154" s="6" t="str">
        <v>The Marsden Group Inc</v>
      </c>
      <c r="L1154" s="7">
        <f>=DATE(2021,3,16)</f>
        <v>44270.99949074074</v>
      </c>
      <c r="M1154" s="7">
        <f>=DATE(2021,3,16)</f>
        <v>44270.99949074074</v>
      </c>
      <c r="W1154" s="6" t="str">
        <v>Computer Consulting Services;Operating Systems;Internet Services &amp; Software;Other Peripherals;Applications Software(Business;Monitors/Terminals</v>
      </c>
      <c r="X1154" s="6" t="str">
        <v>Database Software/Programming;Applications Software(Home);Programming Services;Other Software (inq. Games);Applications Software(Business;Utilities/File Mgmt Software;Internet Services &amp; Software;Desktop Publishing;Communication/Network Software</v>
      </c>
      <c r="Y1154" s="6" t="str">
        <v>Utilities/File Mgmt Software;Internet Services &amp; Software;Programming Services;Applications Software(Business;Communication/Network Software;Applications Software(Home);Other Software (inq. Games);Database Software/Programming;Desktop Publishing</v>
      </c>
      <c r="Z1154" s="6" t="str">
        <v>Other Software (inq. Games);Applications Software(Home);Desktop Publishing;Programming Services;Internet Services &amp; Software;Utilities/File Mgmt Software;Communication/Network Software;Database Software/Programming;Applications Software(Business</v>
      </c>
      <c r="AA1154" s="6" t="str">
        <v>Internet Services &amp; Software;Operating Systems;Computer Consulting Services;Applications Software(Business;Monitors/Terminals;Other Peripherals</v>
      </c>
      <c r="AB1154" s="6" t="str">
        <v>Operating Systems;Computer Consulting Services;Other Peripherals;Applications Software(Business;Monitors/Terminals;Internet Services &amp; Software</v>
      </c>
    </row>
    <row r="1155">
      <c r="A1155" s="6" t="str">
        <v>023135</v>
      </c>
      <c r="B1155" s="6" t="str">
        <v>United States</v>
      </c>
      <c r="C1155" s="6" t="str">
        <v>Amazon.com Inc</v>
      </c>
      <c r="D1155" s="6" t="str">
        <v>Amazon.com Inc</v>
      </c>
      <c r="F1155" s="6" t="str">
        <v>United States</v>
      </c>
      <c r="G1155" s="6" t="str">
        <v>Inpher Inc</v>
      </c>
      <c r="H1155" s="6" t="str">
        <v>Prepackaged Software</v>
      </c>
      <c r="I1155" s="6" t="str">
        <v>5L9977</v>
      </c>
      <c r="J1155" s="6" t="str">
        <v>Inpher Inc</v>
      </c>
      <c r="K1155" s="6" t="str">
        <v>Inpher Inc</v>
      </c>
      <c r="L1155" s="7">
        <f>=DATE(2021,3,16)</f>
        <v>44270.99949074074</v>
      </c>
      <c r="M1155" s="7">
        <f>=DATE(2021,3,16)</f>
        <v>44270.99949074074</v>
      </c>
      <c r="W1155" s="6" t="str">
        <v>Primary Business not Hi-Tech</v>
      </c>
      <c r="X1155" s="6" t="str">
        <v>Utilities/File Mgmt Software;Communication/Network Software;Internet Services &amp; Software;Other Software (inq. Games);Desktop Publishing;Applications Software(Home);Applications Software(Business</v>
      </c>
      <c r="Y1155" s="6" t="str">
        <v>Internet Services &amp; Software;Desktop Publishing;Applications Software(Business;Other Software (inq. Games);Utilities/File Mgmt Software;Communication/Network Software;Applications Software(Home)</v>
      </c>
      <c r="Z1155" s="6" t="str">
        <v>Communication/Network Software;Desktop Publishing;Internet Services &amp; Software;Applications Software(Home);Other Software (inq. Games);Utilities/File Mgmt Software;Applications Software(Business</v>
      </c>
      <c r="AA1155" s="6" t="str">
        <v>Primary Business not Hi-Tech</v>
      </c>
      <c r="AB1155" s="6" t="str">
        <v>Primary Business not Hi-Tech</v>
      </c>
      <c r="AD1155" s="7">
        <f>=DATE(2021,3,16)</f>
        <v>44270.99949074074</v>
      </c>
    </row>
    <row r="1156">
      <c r="A1156" s="6" t="str">
        <v>594918</v>
      </c>
      <c r="B1156" s="6" t="str">
        <v>United States</v>
      </c>
      <c r="C1156" s="6" t="str">
        <v>Microsoft Corp</v>
      </c>
      <c r="D1156" s="6" t="str">
        <v>Microsoft Corp</v>
      </c>
      <c r="F1156" s="6" t="str">
        <v>United States</v>
      </c>
      <c r="G1156" s="6" t="str">
        <v>Discord Inc</v>
      </c>
      <c r="H1156" s="6" t="str">
        <v>Prepackaged Software</v>
      </c>
      <c r="I1156" s="6" t="str">
        <v>9F0002</v>
      </c>
      <c r="J1156" s="6" t="str">
        <v>Discord Inc</v>
      </c>
      <c r="K1156" s="6" t="str">
        <v>Discord Inc</v>
      </c>
      <c r="L1156" s="7">
        <f>=DATE(2021,3,23)</f>
        <v>44277.99949074074</v>
      </c>
      <c r="W1156" s="6" t="str">
        <v>Monitors/Terminals;Operating Systems;Internet Services &amp; Software;Other Peripherals;Computer Consulting Services;Applications Software(Business</v>
      </c>
      <c r="X1156" s="6" t="str">
        <v>Applications Software(Business</v>
      </c>
      <c r="Y1156" s="6" t="str">
        <v>Applications Software(Business</v>
      </c>
      <c r="Z1156" s="6" t="str">
        <v>Applications Software(Business</v>
      </c>
      <c r="AA1156" s="6" t="str">
        <v>Applications Software(Business;Internet Services &amp; Software;Monitors/Terminals;Computer Consulting Services;Other Peripherals;Operating Systems</v>
      </c>
      <c r="AB1156" s="6" t="str">
        <v>Computer Consulting Services;Operating Systems;Applications Software(Business;Other Peripherals;Monitors/Terminals;Internet Services &amp; Software</v>
      </c>
      <c r="AD1156" s="7">
        <f>=DATE(2021,3,22)</f>
        <v>44276.99949074074</v>
      </c>
    </row>
    <row r="1157">
      <c r="A1157" s="6" t="str">
        <v>4L1459</v>
      </c>
      <c r="B1157" s="6" t="str">
        <v>United States</v>
      </c>
      <c r="C1157" s="6" t="str">
        <v>Amazon Technologies Inc</v>
      </c>
      <c r="D1157" s="6" t="str">
        <v>Amazon.com Inc</v>
      </c>
      <c r="F1157" s="6" t="str">
        <v>India</v>
      </c>
      <c r="G1157" s="6" t="str">
        <v>Delvit Solutions Pvt Ltd</v>
      </c>
      <c r="H1157" s="6" t="str">
        <v>Prepackaged Software</v>
      </c>
      <c r="I1157" s="6" t="str">
        <v>4L1438</v>
      </c>
      <c r="J1157" s="6" t="str">
        <v>Delvit Solutions Pvt Ltd</v>
      </c>
      <c r="K1157" s="6" t="str">
        <v>Delvit Solutions Pvt Ltd</v>
      </c>
      <c r="L1157" s="7">
        <f>=DATE(2021,3,31)</f>
        <v>44285.99949074074</v>
      </c>
      <c r="M1157" s="7">
        <f>=DATE(2021,3,31)</f>
        <v>44285.99949074074</v>
      </c>
      <c r="N1157" s="8">
        <v>14.6514161220044</v>
      </c>
      <c r="O1157" s="8">
        <v>14.6514161220044</v>
      </c>
      <c r="W1157" s="6" t="str">
        <v>Primary Business not Hi-Tech</v>
      </c>
      <c r="X1157" s="6" t="str">
        <v>Applications Software(Home);Applications Software(Business;Internet Services &amp; Software;Desktop Publishing;Communication/Network Software;Other Software (inq. Games);Utilities/File Mgmt Software</v>
      </c>
      <c r="Y1157" s="6" t="str">
        <v>Other Software (inq. Games);Utilities/File Mgmt Software;Communication/Network Software;Desktop Publishing;Internet Services &amp; Software;Applications Software(Business;Applications Software(Home)</v>
      </c>
      <c r="Z1157" s="6" t="str">
        <v>Internet Services &amp; Software;Applications Software(Home);Applications Software(Business;Desktop Publishing;Communication/Network Software;Utilities/File Mgmt Software;Other Software (inq. Games)</v>
      </c>
      <c r="AA1157" s="6" t="str">
        <v>Primary Business not Hi-Tech</v>
      </c>
      <c r="AB1157" s="6" t="str">
        <v>Primary Business not Hi-Tech</v>
      </c>
      <c r="AC1157" s="8">
        <v>14.6514161220044</v>
      </c>
      <c r="AD1157" s="7">
        <f>=DATE(2021,3,31)</f>
        <v>44285.99949074074</v>
      </c>
      <c r="AL1157" s="8">
        <v>14.6514161220044</v>
      </c>
    </row>
    <row r="1158">
      <c r="A1158" s="6" t="str">
        <v>594918</v>
      </c>
      <c r="B1158" s="6" t="str">
        <v>United States</v>
      </c>
      <c r="C1158" s="6" t="str">
        <v>Microsoft Corp</v>
      </c>
      <c r="D1158" s="6" t="str">
        <v>Microsoft Corp</v>
      </c>
      <c r="F1158" s="6" t="str">
        <v>United States</v>
      </c>
      <c r="G1158" s="6" t="str">
        <v>Nuance Communications Inc</v>
      </c>
      <c r="H1158" s="6" t="str">
        <v>Prepackaged Software</v>
      </c>
      <c r="I1158" s="6" t="str">
        <v>67020Y</v>
      </c>
      <c r="J1158" s="6" t="str">
        <v>Nuance Communications Inc</v>
      </c>
      <c r="K1158" s="6" t="str">
        <v>Nuance Communications Inc</v>
      </c>
      <c r="L1158" s="7">
        <f>=DATE(2021,4,12)</f>
        <v>44297.99949074074</v>
      </c>
      <c r="M1158" s="7">
        <f>=DATE(2022,3,4)</f>
        <v>44623.99949074074</v>
      </c>
      <c r="N1158" s="8">
        <v>16351.497</v>
      </c>
      <c r="O1158" s="8">
        <v>16351.497</v>
      </c>
      <c r="P1158" s="8" t="str">
        <v>17,498.08</v>
      </c>
      <c r="R1158" s="8">
        <v>7.103</v>
      </c>
      <c r="S1158" s="8">
        <v>1384.059</v>
      </c>
      <c r="T1158" s="8">
        <v>-283.142</v>
      </c>
      <c r="U1158" s="8">
        <v>-41.513</v>
      </c>
      <c r="V1158" s="8">
        <v>262.753</v>
      </c>
      <c r="W1158" s="6" t="str">
        <v>Applications Software(Business;Operating Systems;Monitors/Terminals;Internet Services &amp; Software;Other Peripherals;Computer Consulting Services</v>
      </c>
      <c r="X1158" s="6" t="str">
        <v>Other Software (inq. Games);Primary Business not Hi-Tech;Networking Systems (LAN,WAN);Desktop Publishing;Communication/Network Software;Utilities/File Mgmt Software;Internet Services &amp; Software;Database Software/Programming;Programming Services;Computer Consulting Services;Applications Software(Home);Applications Software(Business;Other Computer Related Svcs</v>
      </c>
      <c r="Y1158" s="6" t="str">
        <v>Utilities/File Mgmt Software;Other Software (inq. Games);Desktop Publishing;Database Software/Programming;Internet Services &amp; Software;Networking Systems (LAN,WAN);Applications Software(Home);Primary Business not Hi-Tech;Applications Software(Business;Computer Consulting Services;Programming Services;Other Computer Related Svcs;Communication/Network Software</v>
      </c>
      <c r="Z1158" s="6" t="str">
        <v>Programming Services;Other Software (inq. Games);Utilities/File Mgmt Software;Communication/Network Software;Other Computer Related Svcs;Computer Consulting Services;Internet Services &amp; Software;Networking Systems (LAN,WAN);Primary Business not Hi-Tech;Desktop Publishing;Database Software/Programming;Applications Software(Business;Applications Software(Home)</v>
      </c>
      <c r="AA1158" s="6" t="str">
        <v>Monitors/Terminals;Internet Services &amp; Software;Operating Systems;Applications Software(Business;Other Peripherals;Computer Consulting Services</v>
      </c>
      <c r="AB1158" s="6" t="str">
        <v>Operating Systems;Monitors/Terminals;Computer Consulting Services;Other Peripherals;Applications Software(Business;Internet Services &amp; Software</v>
      </c>
      <c r="AC1158" s="8">
        <v>16351.497</v>
      </c>
      <c r="AD1158" s="7">
        <f>=DATE(2021,4,12)</f>
        <v>44297.99949074074</v>
      </c>
      <c r="AE1158" s="8">
        <v>16512.21572</v>
      </c>
      <c r="AF1158" s="8" t="str">
        <v>17,498.58</v>
      </c>
      <c r="AG1158" s="8" t="str">
        <v>17,498.08</v>
      </c>
      <c r="AH1158" s="8" t="str">
        <v>16,350.99</v>
      </c>
      <c r="AI1158" s="8" t="str">
        <v>16,351.50</v>
      </c>
      <c r="AJ1158" s="8" t="str">
        <v>;363.16</v>
      </c>
      <c r="AK1158" s="6" t="str">
        <v>US Dollar;US Dollar</v>
      </c>
      <c r="AL1158" s="8">
        <v>16351.497</v>
      </c>
    </row>
    <row r="1159">
      <c r="A1159" s="6" t="str">
        <v>1J8766</v>
      </c>
      <c r="B1159" s="6" t="str">
        <v>United States</v>
      </c>
      <c r="C1159" s="6" t="str">
        <v>Gradient Ventures LLC</v>
      </c>
      <c r="D1159" s="6" t="str">
        <v>Alphabet Inc</v>
      </c>
      <c r="F1159" s="6" t="str">
        <v>Canada</v>
      </c>
      <c r="G1159" s="6" t="str">
        <v>Techdrop Labs Inc</v>
      </c>
      <c r="H1159" s="6" t="str">
        <v>Prepackaged Software</v>
      </c>
      <c r="I1159" s="6" t="str">
        <v>6L7006</v>
      </c>
      <c r="J1159" s="6" t="str">
        <v>Techdrop Labs Inc</v>
      </c>
      <c r="K1159" s="6" t="str">
        <v>Techdrop Labs Inc</v>
      </c>
      <c r="L1159" s="7">
        <f>=DATE(2021,4,16)</f>
        <v>44301.99949074074</v>
      </c>
      <c r="M1159" s="7">
        <f>=DATE(2021,4,16)</f>
        <v>44301.99949074074</v>
      </c>
      <c r="W1159" s="6" t="str">
        <v>Primary Business not Hi-Tech</v>
      </c>
      <c r="X1159" s="6" t="str">
        <v>Other Software (inq. Games)</v>
      </c>
      <c r="Y1159" s="6" t="str">
        <v>Other Software (inq. Games)</v>
      </c>
      <c r="Z1159" s="6" t="str">
        <v>Other Software (inq. Games)</v>
      </c>
      <c r="AA1159" s="6" t="str">
        <v>Programming Services;Internet Services &amp; Software</v>
      </c>
      <c r="AB1159" s="6" t="str">
        <v>Programming Services;Primary Business not Hi-Tech;Internet Services &amp; Software;Telecommunications Equipment;Computer Consulting Services</v>
      </c>
    </row>
    <row r="1160">
      <c r="A1160" s="6" t="str">
        <v>594918</v>
      </c>
      <c r="B1160" s="6" t="str">
        <v>United States</v>
      </c>
      <c r="C1160" s="6" t="str">
        <v>Microsoft Corp</v>
      </c>
      <c r="D1160" s="6" t="str">
        <v>Microsoft Corp</v>
      </c>
      <c r="F1160" s="6" t="str">
        <v>Germany</v>
      </c>
      <c r="G1160" s="6" t="str">
        <v>Kinvolk GmbH</v>
      </c>
      <c r="H1160" s="6" t="str">
        <v>Business Services</v>
      </c>
      <c r="I1160" s="6" t="str">
        <v>4L6392</v>
      </c>
      <c r="J1160" s="6" t="str">
        <v>Kinvolk GmbH</v>
      </c>
      <c r="K1160" s="6" t="str">
        <v>Kinvolk GmbH</v>
      </c>
      <c r="L1160" s="7">
        <f>=DATE(2021,4,29)</f>
        <v>44314.99949074074</v>
      </c>
      <c r="W1160" s="6" t="str">
        <v>Monitors/Terminals;Operating Systems;Internet Services &amp; Software;Computer Consulting Services;Applications Software(Business;Other Peripherals</v>
      </c>
      <c r="X1160" s="6" t="str">
        <v>Data Processing Services;Other Software (inq. Games);Computer Consulting Services;Other Computer Related Svcs</v>
      </c>
      <c r="Y1160" s="6" t="str">
        <v>Other Computer Related Svcs;Data Processing Services;Other Software (inq. Games);Computer Consulting Services</v>
      </c>
      <c r="Z1160" s="6" t="str">
        <v>Computer Consulting Services;Other Software (inq. Games);Data Processing Services;Other Computer Related Svcs</v>
      </c>
      <c r="AA1160" s="6" t="str">
        <v>Monitors/Terminals;Internet Services &amp; Software;Operating Systems;Other Peripherals;Applications Software(Business;Computer Consulting Services</v>
      </c>
      <c r="AB1160" s="6" t="str">
        <v>Monitors/Terminals;Internet Services &amp; Software;Computer Consulting Services;Operating Systems;Other Peripherals;Applications Software(Business</v>
      </c>
    </row>
    <row r="1161">
      <c r="A1161" s="6" t="str">
        <v>8J8006</v>
      </c>
      <c r="B1161" s="6" t="str">
        <v>United States</v>
      </c>
      <c r="C1161" s="6" t="str">
        <v>Facebook Technologies Inc</v>
      </c>
      <c r="D1161" s="6" t="str">
        <v>Facebook Inc</v>
      </c>
      <c r="F1161" s="6" t="str">
        <v>United States</v>
      </c>
      <c r="G1161" s="6" t="str">
        <v>Downpour Interactive LLC</v>
      </c>
      <c r="H1161" s="6" t="str">
        <v>Prepackaged Software</v>
      </c>
      <c r="I1161" s="6" t="str">
        <v>6L3761</v>
      </c>
      <c r="J1161" s="6" t="str">
        <v>Downpour Interactive LLC</v>
      </c>
      <c r="K1161" s="6" t="str">
        <v>Downpour Interactive LLC</v>
      </c>
      <c r="L1161" s="7">
        <f>=DATE(2021,4,30)</f>
        <v>44315.99949074074</v>
      </c>
      <c r="M1161" s="7">
        <f>=DATE(2021,4,30)</f>
        <v>44315.99949074074</v>
      </c>
      <c r="W1161" s="6" t="str">
        <v>Applications Software(Home);Applications Software(Business;Communication/Network Software;Programming Services</v>
      </c>
      <c r="X1161" s="6" t="str">
        <v>Other Software (inq. Games)</v>
      </c>
      <c r="Y1161" s="6" t="str">
        <v>Other Software (inq. Games)</v>
      </c>
      <c r="Z1161" s="6" t="str">
        <v>Other Software (inq. Games)</v>
      </c>
      <c r="AA1161" s="6" t="str">
        <v>Internet Services &amp; Software</v>
      </c>
      <c r="AB1161" s="6" t="str">
        <v>Internet Services &amp; Software</v>
      </c>
    </row>
    <row r="1162">
      <c r="A1162" s="6" t="str">
        <v>037833</v>
      </c>
      <c r="B1162" s="6" t="str">
        <v>United States</v>
      </c>
      <c r="C1162" s="6" t="str">
        <v>Apple Inc</v>
      </c>
      <c r="D1162" s="6" t="str">
        <v>Apple Inc</v>
      </c>
      <c r="F1162" s="6" t="str">
        <v>United States</v>
      </c>
      <c r="G1162" s="6" t="str">
        <v>Apple Inc</v>
      </c>
      <c r="H1162" s="6" t="str">
        <v>Computer and Office Equipment</v>
      </c>
      <c r="I1162" s="6" t="str">
        <v>037833</v>
      </c>
      <c r="J1162" s="6" t="str">
        <v>Apple Inc</v>
      </c>
      <c r="K1162" s="6" t="str">
        <v>Apple Inc</v>
      </c>
      <c r="L1162" s="7">
        <f>=DATE(2021,5,1)</f>
        <v>44316.99949074074</v>
      </c>
      <c r="M1162" s="7">
        <f>=DATE(2021,8,28)</f>
        <v>44435.99949074074</v>
      </c>
      <c r="N1162" s="8">
        <v>5000</v>
      </c>
      <c r="O1162" s="8">
        <v>5000</v>
      </c>
      <c r="P1162" s="8" t="str">
        <v>653,801.97</v>
      </c>
      <c r="R1162" s="8">
        <v>76311</v>
      </c>
      <c r="S1162" s="8">
        <v>325406</v>
      </c>
      <c r="T1162" s="8">
        <v>-84048</v>
      </c>
      <c r="U1162" s="8">
        <v>-18586</v>
      </c>
      <c r="V1162" s="8">
        <v>99591</v>
      </c>
      <c r="W1162" s="6" t="str">
        <v>Other Software (inq. Games);Micro-Computers (PCs);Other Peripherals;Printers;Mainframes &amp; Super Computers;Disk Drives;Monitors/Terminals;Portable Computers</v>
      </c>
      <c r="X1162" s="6" t="str">
        <v>Other Peripherals;Printers;Mainframes &amp; Super Computers;Portable Computers;Other Software (inq. Games);Micro-Computers (PCs);Monitors/Terminals;Disk Drives</v>
      </c>
      <c r="Y1162" s="6" t="str">
        <v>Printers;Other Peripherals;Disk Drives;Other Software (inq. Games);Micro-Computers (PCs);Mainframes &amp; Super Computers;Monitors/Terminals;Portable Computers</v>
      </c>
      <c r="Z1162" s="6" t="str">
        <v>Portable Computers;Other Peripherals;Mainframes &amp; Super Computers;Micro-Computers (PCs);Other Software (inq. Games);Monitors/Terminals;Printers;Disk Drives</v>
      </c>
      <c r="AA1162" s="6" t="str">
        <v>Disk Drives;Other Peripherals;Other Software (inq. Games);Portable Computers;Mainframes &amp; Super Computers;Monitors/Terminals;Printers;Micro-Computers (PCs)</v>
      </c>
      <c r="AB1162" s="6" t="str">
        <v>Monitors/Terminals;Portable Computers;Printers;Micro-Computers (PCs);Mainframes &amp; Super Computers;Disk Drives;Other Peripherals;Other Software (inq. Games)</v>
      </c>
      <c r="AC1162" s="8">
        <v>5000</v>
      </c>
      <c r="AD1162" s="7">
        <f>=DATE(2021,5,1)</f>
        <v>44316.99949074074</v>
      </c>
      <c r="AF1162" s="8" t="str">
        <v>653,801.97</v>
      </c>
      <c r="AG1162" s="8" t="str">
        <v>653,801.97</v>
      </c>
      <c r="AH1162" s="8" t="str">
        <v>601,990.97</v>
      </c>
      <c r="AI1162" s="8" t="str">
        <v>601,990.97</v>
      </c>
      <c r="AJ1162" s="8" t="str">
        <v>5,000.00</v>
      </c>
      <c r="AK1162" s="6" t="str">
        <v>US Dollar</v>
      </c>
      <c r="AL1162" s="8">
        <v>5000</v>
      </c>
    </row>
    <row r="1163">
      <c r="A1163" s="6" t="str">
        <v>7J8440</v>
      </c>
      <c r="B1163" s="6" t="str">
        <v>United States</v>
      </c>
      <c r="C1163" s="6" t="str">
        <v>Google LLC</v>
      </c>
      <c r="D1163" s="6" t="str">
        <v>Alphabet Inc</v>
      </c>
      <c r="F1163" s="6" t="str">
        <v>United States</v>
      </c>
      <c r="G1163" s="6" t="str">
        <v>Provino Technologies Inc</v>
      </c>
      <c r="H1163" s="6" t="str">
        <v>Business Services</v>
      </c>
      <c r="I1163" s="6" t="str">
        <v>6L4001</v>
      </c>
      <c r="J1163" s="6" t="str">
        <v>Provino Technologies Inc</v>
      </c>
      <c r="K1163" s="6" t="str">
        <v>Provino Technologies Inc</v>
      </c>
      <c r="L1163" s="7">
        <f>=DATE(2021,5,13)</f>
        <v>44328.99949074074</v>
      </c>
      <c r="M1163" s="7">
        <f>=DATE(2021,5,13)</f>
        <v>44328.99949074074</v>
      </c>
      <c r="W1163" s="6" t="str">
        <v>Internet Services &amp; Software;Programming Services</v>
      </c>
      <c r="X1163" s="6" t="str">
        <v>Other Computer Related Svcs;Database Software/Programming;Programming Services</v>
      </c>
      <c r="Y1163" s="6" t="str">
        <v>Programming Services;Database Software/Programming;Other Computer Related Svcs</v>
      </c>
      <c r="Z1163" s="6" t="str">
        <v>Database Software/Programming;Programming Services;Other Computer Related Svcs</v>
      </c>
      <c r="AA1163" s="6" t="str">
        <v>Programming Services;Internet Services &amp; Software;Telecommunications Equipment;Primary Business not Hi-Tech;Computer Consulting Services</v>
      </c>
      <c r="AB1163" s="6" t="str">
        <v>Programming Services;Telecommunications Equipment;Internet Services &amp; Software;Computer Consulting Services;Primary Business not Hi-Tech</v>
      </c>
    </row>
    <row r="1164">
      <c r="A1164" s="6" t="str">
        <v>594918</v>
      </c>
      <c r="B1164" s="6" t="str">
        <v>United States</v>
      </c>
      <c r="C1164" s="6" t="str">
        <v>Microsoft Corp</v>
      </c>
      <c r="D1164" s="6" t="str">
        <v>Microsoft Corp</v>
      </c>
      <c r="F1164" s="6" t="str">
        <v>United States</v>
      </c>
      <c r="G1164" s="6" t="str">
        <v>ReFirm Labs Inc</v>
      </c>
      <c r="H1164" s="6" t="str">
        <v>Prepackaged Software</v>
      </c>
      <c r="I1164" s="6" t="str">
        <v>5K4338</v>
      </c>
      <c r="J1164" s="6" t="str">
        <v>ReFirm Labs Inc</v>
      </c>
      <c r="K1164" s="6" t="str">
        <v>ReFirm Labs Inc</v>
      </c>
      <c r="L1164" s="7">
        <f>=DATE(2021,6,2)</f>
        <v>44348.99949074074</v>
      </c>
      <c r="M1164" s="7">
        <f>=DATE(2021,6,2)</f>
        <v>44348.99949074074</v>
      </c>
      <c r="W1164" s="6" t="str">
        <v>Monitors/Terminals;Internet Services &amp; Software;Applications Software(Business;Other Peripherals;Operating Systems;Computer Consulting Services</v>
      </c>
      <c r="X1164" s="6" t="str">
        <v>Applications Software(Business;Utilities/File Mgmt Software;Communication/Network Software;Other Software (inq. Games);Internet Services &amp; Software;Desktop Publishing;Applications Software(Home)</v>
      </c>
      <c r="Y1164" s="6" t="str">
        <v>Internet Services &amp; Software;Communication/Network Software;Applications Software(Business;Applications Software(Home);Desktop Publishing;Other Software (inq. Games);Utilities/File Mgmt Software</v>
      </c>
      <c r="Z1164" s="6" t="str">
        <v>Applications Software(Business;Communication/Network Software;Internet Services &amp; Software;Desktop Publishing;Applications Software(Home);Other Software (inq. Games);Utilities/File Mgmt Software</v>
      </c>
      <c r="AA1164" s="6" t="str">
        <v>Computer Consulting Services;Other Peripherals;Monitors/Terminals;Operating Systems;Internet Services &amp; Software;Applications Software(Business</v>
      </c>
      <c r="AB1164" s="6" t="str">
        <v>Monitors/Terminals;Applications Software(Business;Other Peripherals;Operating Systems;Computer Consulting Services;Internet Services &amp; Software</v>
      </c>
    </row>
    <row r="1165">
      <c r="A1165" s="6" t="str">
        <v>30303M</v>
      </c>
      <c r="B1165" s="6" t="str">
        <v>United States</v>
      </c>
      <c r="C1165" s="6" t="str">
        <v>Facebook Inc</v>
      </c>
      <c r="D1165" s="6" t="str">
        <v>Facebook Inc</v>
      </c>
      <c r="F1165" s="6" t="str">
        <v>United Kingdom</v>
      </c>
      <c r="G1165" s="6" t="str">
        <v>Unit 2 Games Ltd</v>
      </c>
      <c r="H1165" s="6" t="str">
        <v>Wholesale Trade-Durable Goods</v>
      </c>
      <c r="I1165" s="6" t="str">
        <v>6L2317</v>
      </c>
      <c r="J1165" s="6" t="str">
        <v>Unit 2 Games Ltd</v>
      </c>
      <c r="K1165" s="6" t="str">
        <v>Unit 2 Games Ltd</v>
      </c>
      <c r="L1165" s="7">
        <f>=DATE(2021,6,4)</f>
        <v>44350.99949074074</v>
      </c>
      <c r="M1165" s="7">
        <f>=DATE(2021,6,4)</f>
        <v>44350.99949074074</v>
      </c>
      <c r="W1165" s="6" t="str">
        <v>Internet Services &amp; Software</v>
      </c>
      <c r="X1165" s="6" t="str">
        <v>Primary Business not Hi-Tech;Other Computer Related Svcs</v>
      </c>
      <c r="Y1165" s="6" t="str">
        <v>Primary Business not Hi-Tech;Other Computer Related Svcs</v>
      </c>
      <c r="Z1165" s="6" t="str">
        <v>Primary Business not Hi-Tech;Other Computer Related Svcs</v>
      </c>
      <c r="AA1165" s="6" t="str">
        <v>Internet Services &amp; Software</v>
      </c>
      <c r="AB1165" s="6" t="str">
        <v>Internet Services &amp; Software</v>
      </c>
    </row>
    <row r="1166">
      <c r="A1166" s="6" t="str">
        <v>8J8006</v>
      </c>
      <c r="B1166" s="6" t="str">
        <v>United States</v>
      </c>
      <c r="C1166" s="6" t="str">
        <v>Facebook Technologies Inc</v>
      </c>
      <c r="D1166" s="6" t="str">
        <v>Facebook Inc</v>
      </c>
      <c r="F1166" s="6" t="str">
        <v>United States</v>
      </c>
      <c r="G1166" s="6" t="str">
        <v>BigBox VR Inc</v>
      </c>
      <c r="H1166" s="6" t="str">
        <v>Prepackaged Software</v>
      </c>
      <c r="I1166" s="6" t="str">
        <v>6L3725</v>
      </c>
      <c r="J1166" s="6" t="str">
        <v>BigBox VR Inc</v>
      </c>
      <c r="K1166" s="6" t="str">
        <v>BigBox VR Inc</v>
      </c>
      <c r="L1166" s="7">
        <f>=DATE(2021,6,11)</f>
        <v>44357.99949074074</v>
      </c>
      <c r="M1166" s="7">
        <f>=DATE(2021,6,11)</f>
        <v>44357.99949074074</v>
      </c>
      <c r="W1166" s="6" t="str">
        <v>Programming Services;Applications Software(Business;Applications Software(Home);Communication/Network Software</v>
      </c>
      <c r="X1166" s="6" t="str">
        <v>Other Computer Related Svcs;Desktop Publishing;Other Software (inq. Games)</v>
      </c>
      <c r="Y1166" s="6" t="str">
        <v>Other Computer Related Svcs;Other Software (inq. Games);Desktop Publishing</v>
      </c>
      <c r="Z1166" s="6" t="str">
        <v>Desktop Publishing;Other Computer Related Svcs;Other Software (inq. Games)</v>
      </c>
      <c r="AA1166" s="6" t="str">
        <v>Internet Services &amp; Software</v>
      </c>
      <c r="AB1166" s="6" t="str">
        <v>Internet Services &amp; Software</v>
      </c>
    </row>
    <row r="1167">
      <c r="A1167" s="6" t="str">
        <v>023135</v>
      </c>
      <c r="B1167" s="6" t="str">
        <v>United States</v>
      </c>
      <c r="C1167" s="6" t="str">
        <v>Amazon.com Inc</v>
      </c>
      <c r="D1167" s="6" t="str">
        <v>Amazon.com Inc</v>
      </c>
      <c r="F1167" s="6" t="str">
        <v>United States</v>
      </c>
      <c r="G1167" s="6" t="str">
        <v>Plus Inc</v>
      </c>
      <c r="H1167" s="6" t="str">
        <v>Prepackaged Software</v>
      </c>
      <c r="I1167" s="6" t="str">
        <v>6J5221</v>
      </c>
      <c r="J1167" s="6" t="str">
        <v>Plus Inc</v>
      </c>
      <c r="K1167" s="6" t="str">
        <v>Plus Inc</v>
      </c>
      <c r="L1167" s="7">
        <f>=DATE(2021,6,22)</f>
        <v>44368.99949074074</v>
      </c>
      <c r="W1167" s="6" t="str">
        <v>Primary Business not Hi-Tech</v>
      </c>
      <c r="X1167" s="6" t="str">
        <v>Utilities/File Mgmt Software;Communication/Network Software;Desktop Publishing;Applications Software(Business;Internet Services &amp; Software;Defense Related;Other Software (inq. Games);Applications Software(Home);Primary Business not Hi-Tech</v>
      </c>
      <c r="Y1167" s="6" t="str">
        <v>Other Software (inq. Games);Utilities/File Mgmt Software;Internet Services &amp; Software;Applications Software(Business;Desktop Publishing;Communication/Network Software;Defense Related;Primary Business not Hi-Tech;Applications Software(Home)</v>
      </c>
      <c r="Z1167" s="6" t="str">
        <v>Desktop Publishing;Other Software (inq. Games);Defense Related;Applications Software(Home);Applications Software(Business;Communication/Network Software;Internet Services &amp; Software;Primary Business not Hi-Tech;Utilities/File Mgmt Software</v>
      </c>
      <c r="AA1167" s="6" t="str">
        <v>Primary Business not Hi-Tech</v>
      </c>
      <c r="AB1167" s="6" t="str">
        <v>Primary Business not Hi-Tech</v>
      </c>
    </row>
    <row r="1168">
      <c r="A1168" s="6" t="str">
        <v>4C7902</v>
      </c>
      <c r="B1168" s="6" t="str">
        <v>United States</v>
      </c>
      <c r="C1168" s="6" t="str">
        <v>Amazon Web Services Inc</v>
      </c>
      <c r="D1168" s="6" t="str">
        <v>Amazon.com Inc</v>
      </c>
      <c r="F1168" s="6" t="str">
        <v>United States</v>
      </c>
      <c r="G1168" s="6" t="str">
        <v>Wickr Inc</v>
      </c>
      <c r="H1168" s="6" t="str">
        <v>Prepackaged Software</v>
      </c>
      <c r="I1168" s="6" t="str">
        <v>5E5574</v>
      </c>
      <c r="J1168" s="6" t="str">
        <v>Wickr Inc</v>
      </c>
      <c r="K1168" s="6" t="str">
        <v>Wickr Inc</v>
      </c>
      <c r="L1168" s="7">
        <f>=DATE(2021,6,25)</f>
        <v>44371.99949074074</v>
      </c>
      <c r="M1168" s="7">
        <f>=DATE(2021,6,25)</f>
        <v>44371.99949074074</v>
      </c>
      <c r="W1168" s="6" t="str">
        <v>Data Processing Services;Primary Business not Hi-Tech;Other Computer Related Svcs;Internet Services &amp; Software;Computer Consulting Services</v>
      </c>
      <c r="X1168" s="6" t="str">
        <v>Applications Software(Home);Applications Software(Business;Communication/Network Software</v>
      </c>
      <c r="Y1168" s="6" t="str">
        <v>Communication/Network Software;Applications Software(Home);Applications Software(Business</v>
      </c>
      <c r="Z1168" s="6" t="str">
        <v>Applications Software(Home);Applications Software(Business;Communication/Network Software</v>
      </c>
      <c r="AA1168" s="6" t="str">
        <v>Primary Business not Hi-Tech</v>
      </c>
      <c r="AB1168" s="6" t="str">
        <v>Primary Business not Hi-Tech</v>
      </c>
    </row>
    <row r="1169">
      <c r="A1169" s="6" t="str">
        <v>6K8017</v>
      </c>
      <c r="B1169" s="6" t="str">
        <v>United States</v>
      </c>
      <c r="C1169" s="6" t="str">
        <v>Amazon.com Inc-Music</v>
      </c>
      <c r="D1169" s="6" t="str">
        <v>Amazon.com Inc</v>
      </c>
      <c r="F1169" s="6" t="str">
        <v>United States</v>
      </c>
      <c r="G1169" s="6" t="str">
        <v>Art19 Inc</v>
      </c>
      <c r="H1169" s="6" t="str">
        <v>Printing, Publishing, and Allied Services</v>
      </c>
      <c r="I1169" s="6" t="str">
        <v>9J3229</v>
      </c>
      <c r="J1169" s="6" t="str">
        <v>Art19 Inc</v>
      </c>
      <c r="K1169" s="6" t="str">
        <v>Art19 Inc</v>
      </c>
      <c r="L1169" s="7">
        <f>=DATE(2021,6,25)</f>
        <v>44371.99949074074</v>
      </c>
      <c r="M1169" s="7">
        <f>=DATE(2021,6,25)</f>
        <v>44371.99949074074</v>
      </c>
      <c r="W1169" s="6" t="str">
        <v>Primary Business not Hi-Tech</v>
      </c>
      <c r="X1169" s="6" t="str">
        <v>Internet Services &amp; Software;Other Computer Related Svcs;Computer Consulting Services;Applications Software(Home);Applications Software(Business;Desktop Publishing;Communication/Network Software;Primary Business not Hi-Tech;Utilities/File Mgmt Software;Networking Systems (LAN,WAN);Other Software (inq. Games)</v>
      </c>
      <c r="Y1169" s="6" t="str">
        <v>Desktop Publishing;Applications Software(Home);Communication/Network Software;Applications Software(Business;Networking Systems (LAN,WAN);Primary Business not Hi-Tech;Other Computer Related Svcs;Other Software (inq. Games);Internet Services &amp; Software;Computer Consulting Services;Utilities/File Mgmt Software</v>
      </c>
      <c r="Z1169" s="6" t="str">
        <v>Networking Systems (LAN,WAN);Applications Software(Home);Internet Services &amp; Software;Computer Consulting Services;Other Computer Related Svcs;Applications Software(Business;Communication/Network Software;Primary Business not Hi-Tech;Utilities/File Mgmt Software;Other Software (inq. Games);Desktop Publishing</v>
      </c>
      <c r="AA1169" s="6" t="str">
        <v>Primary Business not Hi-Tech</v>
      </c>
      <c r="AB1169" s="6" t="str">
        <v>Primary Business not Hi-Tech</v>
      </c>
    </row>
    <row r="1170">
      <c r="A1170" s="6" t="str">
        <v>594918</v>
      </c>
      <c r="B1170" s="6" t="str">
        <v>United States</v>
      </c>
      <c r="C1170" s="6" t="str">
        <v>Microsoft Corp</v>
      </c>
      <c r="D1170" s="6" t="str">
        <v>Microsoft Corp</v>
      </c>
      <c r="F1170" s="6" t="str">
        <v>United States</v>
      </c>
      <c r="G1170" s="6" t="str">
        <v>RiskIQ Inc</v>
      </c>
      <c r="H1170" s="6" t="str">
        <v>Business Services</v>
      </c>
      <c r="I1170" s="6" t="str">
        <v>0E8427</v>
      </c>
      <c r="J1170" s="6" t="str">
        <v>RiskIQ Inc</v>
      </c>
      <c r="K1170" s="6" t="str">
        <v>RiskIQ Inc</v>
      </c>
      <c r="L1170" s="7">
        <f>=DATE(2021,7,12)</f>
        <v>44388.99949074074</v>
      </c>
      <c r="W1170" s="6" t="str">
        <v>Other Peripherals;Applications Software(Business;Computer Consulting Services;Monitors/Terminals;Operating Systems;Internet Services &amp; Software</v>
      </c>
      <c r="X1170" s="6" t="str">
        <v>Data Processing Services;Other Software (inq. Games);Programming Services;Communication/Network Software;Other Computer Related Svcs;Computer Consulting Services</v>
      </c>
      <c r="Y1170" s="6" t="str">
        <v>Communication/Network Software;Other Software (inq. Games);Computer Consulting Services;Programming Services;Other Computer Related Svcs;Data Processing Services</v>
      </c>
      <c r="Z1170" s="6" t="str">
        <v>Computer Consulting Services;Communication/Network Software;Programming Services;Other Software (inq. Games);Data Processing Services;Other Computer Related Svcs</v>
      </c>
      <c r="AA1170" s="6" t="str">
        <v>Computer Consulting Services;Internet Services &amp; Software;Applications Software(Business;Monitors/Terminals;Operating Systems;Other Peripherals</v>
      </c>
      <c r="AB1170" s="6" t="str">
        <v>Monitors/Terminals;Other Peripherals;Computer Consulting Services;Applications Software(Business;Internet Services &amp; Software;Operating Systems</v>
      </c>
      <c r="AD1170" s="7">
        <f>=DATE(2021,7,12)</f>
        <v>44388.99949074074</v>
      </c>
    </row>
    <row r="1171">
      <c r="A1171" s="6" t="str">
        <v>4K2733</v>
      </c>
      <c r="B1171" s="6" t="str">
        <v>United States</v>
      </c>
      <c r="C1171" s="6" t="str">
        <v>Google International LLC</v>
      </c>
      <c r="D1171" s="6" t="str">
        <v>Alphabet Inc</v>
      </c>
      <c r="E1171" s="6" t="str">
        <v>Google International LLC;Google International LLC</v>
      </c>
      <c r="F1171" s="6" t="str">
        <v>Japan</v>
      </c>
      <c r="G1171" s="6" t="str">
        <v>pring Inc</v>
      </c>
      <c r="H1171" s="6" t="str">
        <v>Business Services</v>
      </c>
      <c r="I1171" s="6" t="str">
        <v>1H6830</v>
      </c>
      <c r="J1171" s="6" t="str">
        <v>pring Inc</v>
      </c>
      <c r="K1171" s="6" t="str">
        <v>pring Inc</v>
      </c>
      <c r="L1171" s="7">
        <f>=DATE(2021,7,13)</f>
        <v>44389.99949074074</v>
      </c>
      <c r="M1171" s="7">
        <f>=DATE(2021,9,21)</f>
        <v>44459.99949074074</v>
      </c>
      <c r="N1171" s="8">
        <v>44.5944721341187</v>
      </c>
      <c r="O1171" s="8">
        <v>44.5944721341187</v>
      </c>
      <c r="Q1171" s="8" t="str">
        <v>10.87;</v>
      </c>
      <c r="W1171" s="6" t="str">
        <v>Internet Services &amp; Software</v>
      </c>
      <c r="X1171" s="6" t="str">
        <v>Networking Systems (LAN,WAN);Other Computer Systems;Communication/Network Software;Workstations;Data Commun(Exclude networking;Turnkey Systems;CAD/CAM/CAE/Graphics Systems;Operating Systems</v>
      </c>
      <c r="Y1171" s="6" t="str">
        <v>Communication/Network Software;CAD/CAM/CAE/Graphics Systems;Turnkey Systems;Data Commun(Exclude networking;Operating Systems;Networking Systems (LAN,WAN);Workstations;Other Computer Systems</v>
      </c>
      <c r="Z1171" s="6" t="str">
        <v>Networking Systems (LAN,WAN);Data Commun(Exclude networking;Operating Systems;CAD/CAM/CAE/Graphics Systems;Workstations;Turnkey Systems;Other Computer Systems;Communication/Network Software</v>
      </c>
      <c r="AA1171" s="6" t="str">
        <v>Programming Services;Internet Services &amp; Software</v>
      </c>
      <c r="AB1171" s="6" t="str">
        <v>Internet Services &amp; Software;Primary Business not Hi-Tech;Computer Consulting Services;Telecommunications Equipment;Programming Services</v>
      </c>
      <c r="AC1171" s="8">
        <v>44.5944721341187</v>
      </c>
      <c r="AD1171" s="7">
        <f>=DATE(2021,7,13)</f>
        <v>44389.99949074074</v>
      </c>
      <c r="AF1171" s="8" t="str">
        <v>98.21</v>
      </c>
      <c r="AG1171" s="8" t="str">
        <v>99.47</v>
      </c>
      <c r="AH1171" s="8" t="str">
        <v>99.47</v>
      </c>
      <c r="AI1171" s="8" t="str">
        <v>98.21</v>
      </c>
      <c r="AJ1171" s="8" t="str">
        <v>44.59</v>
      </c>
      <c r="AK1171" s="6" t="str">
        <v>Japanese Yen</v>
      </c>
      <c r="AL1171" s="8">
        <v>44.5944721341187</v>
      </c>
    </row>
    <row r="1172">
      <c r="A1172" s="6" t="str">
        <v>4K2733</v>
      </c>
      <c r="B1172" s="6" t="str">
        <v>United States</v>
      </c>
      <c r="C1172" s="6" t="str">
        <v>Google International LLC</v>
      </c>
      <c r="D1172" s="6" t="str">
        <v>Alphabet Inc</v>
      </c>
      <c r="E1172" s="6" t="str">
        <v>Google International LLC;Google International LLC</v>
      </c>
      <c r="F1172" s="6" t="str">
        <v>Japan</v>
      </c>
      <c r="G1172" s="6" t="str">
        <v>pring Inc</v>
      </c>
      <c r="H1172" s="6" t="str">
        <v>Business Services</v>
      </c>
      <c r="I1172" s="6" t="str">
        <v>1H6830</v>
      </c>
      <c r="J1172" s="6" t="str">
        <v>pring Inc</v>
      </c>
      <c r="K1172" s="6" t="str">
        <v>pring Inc</v>
      </c>
      <c r="L1172" s="7">
        <f>=DATE(2021,7,13)</f>
        <v>44389.99949074074</v>
      </c>
      <c r="M1172" s="7">
        <f>=DATE(2021,9,21)</f>
        <v>44459.99949074074</v>
      </c>
      <c r="Q1172" s="8" t="str">
        <v>10.87;44.59</v>
      </c>
      <c r="W1172" s="6" t="str">
        <v>Internet Services &amp; Software</v>
      </c>
      <c r="X1172" s="6" t="str">
        <v>Operating Systems;Networking Systems (LAN,WAN);Communication/Network Software;Data Commun(Exclude networking;Turnkey Systems;Workstations;CAD/CAM/CAE/Graphics Systems;Other Computer Systems</v>
      </c>
      <c r="Y1172" s="6" t="str">
        <v>Turnkey Systems;Communication/Network Software;Data Commun(Exclude networking;Other Computer Systems;Operating Systems;CAD/CAM/CAE/Graphics Systems;Workstations;Networking Systems (LAN,WAN)</v>
      </c>
      <c r="Z1172" s="6" t="str">
        <v>CAD/CAM/CAE/Graphics Systems;Workstations;Turnkey Systems;Data Commun(Exclude networking;Communication/Network Software;Networking Systems (LAN,WAN);Other Computer Systems;Operating Systems</v>
      </c>
      <c r="AA1172" s="6" t="str">
        <v>Internet Services &amp; Software;Programming Services</v>
      </c>
      <c r="AB1172" s="6" t="str">
        <v>Internet Services &amp; Software;Computer Consulting Services;Primary Business not Hi-Tech;Telecommunications Equipment;Programming Services</v>
      </c>
    </row>
    <row r="1173">
      <c r="A1173" s="6" t="str">
        <v>4K2733</v>
      </c>
      <c r="B1173" s="6" t="str">
        <v>United States</v>
      </c>
      <c r="C1173" s="6" t="str">
        <v>Google International LLC</v>
      </c>
      <c r="D1173" s="6" t="str">
        <v>Alphabet Inc</v>
      </c>
      <c r="E1173" s="6" t="str">
        <v>Google International LLC;Google International LLC</v>
      </c>
      <c r="F1173" s="6" t="str">
        <v>Japan</v>
      </c>
      <c r="G1173" s="6" t="str">
        <v>pring Inc</v>
      </c>
      <c r="H1173" s="6" t="str">
        <v>Business Services</v>
      </c>
      <c r="I1173" s="6" t="str">
        <v>1H6830</v>
      </c>
      <c r="J1173" s="6" t="str">
        <v>pring Inc</v>
      </c>
      <c r="K1173" s="6" t="str">
        <v>pring Inc</v>
      </c>
      <c r="L1173" s="7">
        <f>=DATE(2021,7,13)</f>
        <v>44389.99949074074</v>
      </c>
      <c r="M1173" s="7">
        <f>=DATE(2021,9,22)</f>
        <v>44460.99949074074</v>
      </c>
      <c r="N1173" s="8">
        <v>10.8744902582691</v>
      </c>
      <c r="O1173" s="8">
        <v>10.8744902582691</v>
      </c>
      <c r="Q1173" s="8" t="str">
        <v>44.59;</v>
      </c>
      <c r="W1173" s="6" t="str">
        <v>Internet Services &amp; Software</v>
      </c>
      <c r="X1173" s="6" t="str">
        <v>Data Commun(Exclude networking;Communication/Network Software;Operating Systems;Other Computer Systems;Networking Systems (LAN,WAN);CAD/CAM/CAE/Graphics Systems;Workstations;Turnkey Systems</v>
      </c>
      <c r="Y1173" s="6" t="str">
        <v>Communication/Network Software;CAD/CAM/CAE/Graphics Systems;Operating Systems;Other Computer Systems;Networking Systems (LAN,WAN);Workstations;Data Commun(Exclude networking;Turnkey Systems</v>
      </c>
      <c r="Z1173" s="6" t="str">
        <v>Networking Systems (LAN,WAN);CAD/CAM/CAE/Graphics Systems;Operating Systems;Communication/Network Software;Data Commun(Exclude networking;Other Computer Systems;Turnkey Systems;Workstations</v>
      </c>
      <c r="AA1173" s="6" t="str">
        <v>Internet Services &amp; Software;Programming Services</v>
      </c>
      <c r="AB1173" s="6" t="str">
        <v>Programming Services;Telecommunications Equipment;Computer Consulting Services;Primary Business not Hi-Tech;Internet Services &amp; Software</v>
      </c>
      <c r="AC1173" s="8">
        <v>10.8744902582691</v>
      </c>
      <c r="AD1173" s="7">
        <f>=DATE(2021,7,13)</f>
        <v>44389.99949074074</v>
      </c>
      <c r="AF1173" s="8" t="str">
        <v>58.33</v>
      </c>
      <c r="AG1173" s="8" t="str">
        <v>58.77</v>
      </c>
      <c r="AH1173" s="8" t="str">
        <v>58.77</v>
      </c>
      <c r="AI1173" s="8" t="str">
        <v>58.33</v>
      </c>
      <c r="AL1173" s="8">
        <v>10.8744902582691</v>
      </c>
    </row>
    <row r="1174">
      <c r="A1174" s="6" t="str">
        <v>98787H</v>
      </c>
      <c r="B1174" s="6" t="str">
        <v>United States</v>
      </c>
      <c r="C1174" s="6" t="str">
        <v>YouTube Inc</v>
      </c>
      <c r="D1174" s="6" t="str">
        <v>Alphabet Inc</v>
      </c>
      <c r="F1174" s="6" t="str">
        <v>India</v>
      </c>
      <c r="G1174" s="6" t="str">
        <v>SZS Tech Pvt Ltd</v>
      </c>
      <c r="H1174" s="6" t="str">
        <v>Prepackaged Software</v>
      </c>
      <c r="I1174" s="6" t="str">
        <v>1K0457</v>
      </c>
      <c r="J1174" s="6" t="str">
        <v>SZS Tech Pvt Ltd</v>
      </c>
      <c r="K1174" s="6" t="str">
        <v>SZS Tech Pvt Ltd</v>
      </c>
      <c r="L1174" s="7">
        <f>=DATE(2021,7,20)</f>
        <v>44396.99949074074</v>
      </c>
      <c r="M1174" s="7">
        <f>=DATE(2021,7,20)</f>
        <v>44396.99949074074</v>
      </c>
      <c r="S1174" s="8">
        <v>1.4911604249559</v>
      </c>
      <c r="W1174" s="6" t="str">
        <v>Internet Services &amp; Software</v>
      </c>
      <c r="X1174" s="6" t="str">
        <v>Other Software (inq. Games);Desktop Publishing;Utilities/File Mgmt Software;Communication/Network Software;Applications Software(Home);Internet Services &amp; Software;Applications Software(Business</v>
      </c>
      <c r="Y1174" s="6" t="str">
        <v>Internet Services &amp; Software;Applications Software(Business;Desktop Publishing;Other Software (inq. Games);Utilities/File Mgmt Software;Communication/Network Software;Applications Software(Home)</v>
      </c>
      <c r="Z1174" s="6" t="str">
        <v>Applications Software(Business;Other Software (inq. Games);Applications Software(Home);Communication/Network Software;Internet Services &amp; Software;Desktop Publishing;Utilities/File Mgmt Software</v>
      </c>
      <c r="AA1174" s="6" t="str">
        <v>Programming Services;Internet Services &amp; Software</v>
      </c>
      <c r="AB1174" s="6" t="str">
        <v>Internet Services &amp; Software;Telecommunications Equipment;Programming Services;Computer Consulting Services;Primary Business not Hi-Tech</v>
      </c>
    </row>
    <row r="1175">
      <c r="A1175" s="6" t="str">
        <v>594918</v>
      </c>
      <c r="B1175" s="6" t="str">
        <v>United States</v>
      </c>
      <c r="C1175" s="6" t="str">
        <v>Microsoft Corp</v>
      </c>
      <c r="D1175" s="6" t="str">
        <v>Microsoft Corp</v>
      </c>
      <c r="F1175" s="6" t="str">
        <v>United States</v>
      </c>
      <c r="G1175" s="6" t="str">
        <v>CloudKnox Security Inc</v>
      </c>
      <c r="H1175" s="6" t="str">
        <v>Business Services</v>
      </c>
      <c r="I1175" s="6" t="str">
        <v>3K3352</v>
      </c>
      <c r="J1175" s="6" t="str">
        <v>CloudKnox Security Inc</v>
      </c>
      <c r="K1175" s="6" t="str">
        <v>CloudKnox Security Inc</v>
      </c>
      <c r="L1175" s="7">
        <f>=DATE(2021,7,21)</f>
        <v>44397.99949074074</v>
      </c>
      <c r="M1175" s="7">
        <f>=DATE(2021,7,21)</f>
        <v>44397.99949074074</v>
      </c>
      <c r="W1175" s="6" t="str">
        <v>Applications Software(Business;Other Peripherals;Computer Consulting Services;Operating Systems;Monitors/Terminals;Internet Services &amp; Software</v>
      </c>
      <c r="X1175" s="6" t="str">
        <v>Programming Services;Turnkey Systems;Internet Services &amp; Software;Database Software/Programming;Other Computer Related Svcs;Other Computer Systems;Data Commun(Exclude networking;Communication/Network Software;Networking Systems (LAN,WAN);CAD/CAM/CAE/Graphics Systems;Computer Consulting Services;Workstations;Operating Systems</v>
      </c>
      <c r="Y1175" s="6" t="str">
        <v>Turnkey Systems;Workstations;Database Software/Programming;Operating Systems;Other Computer Systems;Programming Services;Internet Services &amp; Software;Data Commun(Exclude networking;Other Computer Related Svcs;Computer Consulting Services;Networking Systems (LAN,WAN);CAD/CAM/CAE/Graphics Systems;Communication/Network Software</v>
      </c>
      <c r="Z1175" s="6" t="str">
        <v>Workstations;Communication/Network Software;Programming Services;Other Computer Related Svcs;Turnkey Systems;Networking Systems (LAN,WAN);Other Computer Systems;Operating Systems;Internet Services &amp; Software;Database Software/Programming;Data Commun(Exclude networking;CAD/CAM/CAE/Graphics Systems;Computer Consulting Services</v>
      </c>
      <c r="AA1175" s="6" t="str">
        <v>Operating Systems;Applications Software(Business;Computer Consulting Services;Other Peripherals;Internet Services &amp; Software;Monitors/Terminals</v>
      </c>
      <c r="AB1175" s="6" t="str">
        <v>Operating Systems;Applications Software(Business;Monitors/Terminals;Other Peripherals;Computer Consulting Services;Internet Services &amp; Software</v>
      </c>
    </row>
    <row r="1176">
      <c r="A1176" s="6" t="str">
        <v>594918</v>
      </c>
      <c r="B1176" s="6" t="str">
        <v>United States</v>
      </c>
      <c r="C1176" s="6" t="str">
        <v>Microsoft Corp</v>
      </c>
      <c r="D1176" s="6" t="str">
        <v>Microsoft Corp</v>
      </c>
      <c r="F1176" s="6" t="str">
        <v>United States</v>
      </c>
      <c r="G1176" s="6" t="str">
        <v>Suplari Inc</v>
      </c>
      <c r="H1176" s="6" t="str">
        <v>Prepackaged Software</v>
      </c>
      <c r="I1176" s="6" t="str">
        <v>7L3075</v>
      </c>
      <c r="J1176" s="6" t="str">
        <v>Suplari Inc</v>
      </c>
      <c r="K1176" s="6" t="str">
        <v>Suplari Inc</v>
      </c>
      <c r="L1176" s="7">
        <f>=DATE(2021,7,28)</f>
        <v>44404.99949074074</v>
      </c>
      <c r="M1176" s="7">
        <f>=DATE(2021,7,28)</f>
        <v>44404.99949074074</v>
      </c>
      <c r="W1176" s="6" t="str">
        <v>Computer Consulting Services;Monitors/Terminals;Applications Software(Business;Internet Services &amp; Software;Operating Systems;Other Peripherals</v>
      </c>
      <c r="X1176" s="6" t="str">
        <v>Applications Software(Business;Communication/Network Software;Desktop Publishing;Applications Software(Home);Utilities/File Mgmt Software;Internet Services &amp; Software;Other Software (inq. Games)</v>
      </c>
      <c r="Y1176" s="6" t="str">
        <v>Applications Software(Home);Internet Services &amp; Software;Utilities/File Mgmt Software;Applications Software(Business;Desktop Publishing;Communication/Network Software;Other Software (inq. Games)</v>
      </c>
      <c r="Z1176" s="6" t="str">
        <v>Internet Services &amp; Software;Other Software (inq. Games);Applications Software(Business;Desktop Publishing;Applications Software(Home);Utilities/File Mgmt Software;Communication/Network Software</v>
      </c>
      <c r="AA1176" s="6" t="str">
        <v>Monitors/Terminals;Applications Software(Business;Operating Systems;Internet Services &amp; Software;Other Peripherals;Computer Consulting Services</v>
      </c>
      <c r="AB1176" s="6" t="str">
        <v>Computer Consulting Services;Internet Services &amp; Software;Other Peripherals;Operating Systems;Monitors/Terminals;Applications Software(Business</v>
      </c>
    </row>
    <row r="1177">
      <c r="A1177" s="6" t="str">
        <v>594918</v>
      </c>
      <c r="B1177" s="6" t="str">
        <v>United States</v>
      </c>
      <c r="C1177" s="6" t="str">
        <v>Microsoft Corp</v>
      </c>
      <c r="D1177" s="6" t="str">
        <v>Microsoft Corp</v>
      </c>
      <c r="F1177" s="6" t="str">
        <v>United States</v>
      </c>
      <c r="G1177" s="6" t="str">
        <v>Rubrik Inc</v>
      </c>
      <c r="H1177" s="6" t="str">
        <v>Business Services</v>
      </c>
      <c r="I1177" s="6" t="str">
        <v>8F6387</v>
      </c>
      <c r="J1177" s="6" t="str">
        <v>Rubrik Inc</v>
      </c>
      <c r="K1177" s="6" t="str">
        <v>Rubrik Inc</v>
      </c>
      <c r="L1177" s="7">
        <f>=DATE(2021,8,17)</f>
        <v>44424.99949074074</v>
      </c>
      <c r="M1177" s="7">
        <f>=DATE(2021,8,17)</f>
        <v>44424.99949074074</v>
      </c>
      <c r="R1177" s="8">
        <v>-213.088</v>
      </c>
      <c r="S1177" s="8">
        <v>387.751</v>
      </c>
      <c r="T1177" s="8">
        <v>137.514</v>
      </c>
      <c r="U1177" s="8">
        <v>-1.597</v>
      </c>
      <c r="V1177" s="8">
        <v>-58.742</v>
      </c>
      <c r="W1177" s="6" t="str">
        <v>Internet Services &amp; Software;Monitors/Terminals;Operating Systems;Other Peripherals;Computer Consulting Services;Applications Software(Business</v>
      </c>
      <c r="X1177" s="6" t="str">
        <v>Data Processing Services;Computer Consulting Services;Internet Services &amp; Software;Other Computer Related Svcs</v>
      </c>
      <c r="Y1177" s="6" t="str">
        <v>Internet Services &amp; Software;Other Computer Related Svcs;Data Processing Services;Computer Consulting Services</v>
      </c>
      <c r="Z1177" s="6" t="str">
        <v>Internet Services &amp; Software;Other Computer Related Svcs;Data Processing Services;Computer Consulting Services</v>
      </c>
      <c r="AA1177" s="6" t="str">
        <v>Other Peripherals;Monitors/Terminals;Computer Consulting Services;Operating Systems;Internet Services &amp; Software;Applications Software(Business</v>
      </c>
      <c r="AB1177" s="6" t="str">
        <v>Internet Services &amp; Software;Computer Consulting Services;Monitors/Terminals;Other Peripherals;Operating Systems;Applications Software(Business</v>
      </c>
    </row>
    <row r="1178">
      <c r="A1178" s="6" t="str">
        <v>594918</v>
      </c>
      <c r="B1178" s="6" t="str">
        <v>United States</v>
      </c>
      <c r="C1178" s="6" t="str">
        <v>Microsoft Corp</v>
      </c>
      <c r="D1178" s="6" t="str">
        <v>Microsoft Corp</v>
      </c>
      <c r="F1178" s="6" t="str">
        <v>Australia</v>
      </c>
      <c r="G1178" s="6" t="str">
        <v>Clipchamp Pty Ltd</v>
      </c>
      <c r="H1178" s="6" t="str">
        <v>Prepackaged Software</v>
      </c>
      <c r="I1178" s="6" t="str">
        <v>8L5244</v>
      </c>
      <c r="J1178" s="6" t="str">
        <v>Clipchamp Pty Ltd</v>
      </c>
      <c r="K1178" s="6" t="str">
        <v>Clipchamp Pty Ltd</v>
      </c>
      <c r="L1178" s="7">
        <f>=DATE(2021,9,7)</f>
        <v>44445.99949074074</v>
      </c>
      <c r="M1178" s="7">
        <f>=DATE(2021,9,7)</f>
        <v>44445.99949074074</v>
      </c>
      <c r="W1178" s="6" t="str">
        <v>Monitors/Terminals;Computer Consulting Services;Other Peripherals;Applications Software(Business;Operating Systems;Internet Services &amp; Software</v>
      </c>
      <c r="X1178" s="6" t="str">
        <v>Communication/Network Software;Internet Services &amp; Software</v>
      </c>
      <c r="Y1178" s="6" t="str">
        <v>Internet Services &amp; Software;Communication/Network Software</v>
      </c>
      <c r="Z1178" s="6" t="str">
        <v>Communication/Network Software;Internet Services &amp; Software</v>
      </c>
      <c r="AA1178" s="6" t="str">
        <v>Internet Services &amp; Software;Monitors/Terminals;Applications Software(Business;Computer Consulting Services;Other Peripherals;Operating Systems</v>
      </c>
      <c r="AB1178" s="6" t="str">
        <v>Applications Software(Business;Monitors/Terminals;Internet Services &amp; Software;Other Peripherals;Computer Consulting Services;Operating Systems</v>
      </c>
    </row>
    <row r="1179">
      <c r="A1179" s="6" t="str">
        <v>594918</v>
      </c>
      <c r="B1179" s="6" t="str">
        <v>United States</v>
      </c>
      <c r="C1179" s="6" t="str">
        <v>Microsoft Corp</v>
      </c>
      <c r="D1179" s="6" t="str">
        <v>Microsoft Corp</v>
      </c>
      <c r="F1179" s="6" t="str">
        <v>United States</v>
      </c>
      <c r="G1179" s="6" t="str">
        <v>Microsoft Corp</v>
      </c>
      <c r="H1179" s="6" t="str">
        <v>Prepackaged Software</v>
      </c>
      <c r="I1179" s="6" t="str">
        <v>594918</v>
      </c>
      <c r="J1179" s="6" t="str">
        <v>Microsoft Corp</v>
      </c>
      <c r="K1179" s="6" t="str">
        <v>Microsoft Corp</v>
      </c>
      <c r="L1179" s="7">
        <f>=DATE(2021,9,14)</f>
        <v>44452.99949074074</v>
      </c>
      <c r="N1179" s="8">
        <v>60000</v>
      </c>
      <c r="O1179" s="8">
        <v>60000</v>
      </c>
      <c r="R1179" s="8">
        <v>61271</v>
      </c>
      <c r="S1179" s="8">
        <v>168088</v>
      </c>
      <c r="T1179" s="8">
        <v>-48486</v>
      </c>
      <c r="U1179" s="8">
        <v>-27577</v>
      </c>
      <c r="V1179" s="8">
        <v>76740</v>
      </c>
      <c r="W1179" s="6" t="str">
        <v>Internet Services &amp; Software;Computer Consulting Services;Applications Software(Business;Other Peripherals;Operating Systems;Monitors/Terminals</v>
      </c>
      <c r="X1179" s="6" t="str">
        <v>Computer Consulting Services;Internet Services &amp; Software;Monitors/Terminals;Other Peripherals;Applications Software(Business;Operating Systems</v>
      </c>
      <c r="Y1179" s="6" t="str">
        <v>Operating Systems;Monitors/Terminals;Other Peripherals;Applications Software(Business;Computer Consulting Services;Internet Services &amp; Software</v>
      </c>
      <c r="Z1179" s="6" t="str">
        <v>Computer Consulting Services;Internet Services &amp; Software;Operating Systems;Applications Software(Business;Other Peripherals;Monitors/Terminals</v>
      </c>
      <c r="AA1179" s="6" t="str">
        <v>Operating Systems;Computer Consulting Services;Internet Services &amp; Software;Applications Software(Business;Monitors/Terminals;Other Peripherals</v>
      </c>
      <c r="AB1179" s="6" t="str">
        <v>Applications Software(Business;Operating Systems;Internet Services &amp; Software;Other Peripherals;Monitors/Terminals;Computer Consulting Services</v>
      </c>
      <c r="AC1179" s="8">
        <v>60000</v>
      </c>
      <c r="AD1179" s="7">
        <f>=DATE(2021,9,15)</f>
        <v>44453.99949074074</v>
      </c>
      <c r="AJ1179" s="8" t="str">
        <v>60,000.00</v>
      </c>
      <c r="AK1179" s="6" t="str">
        <v>US Dollar</v>
      </c>
      <c r="AL1179" s="8">
        <v>60000</v>
      </c>
    </row>
    <row r="1180">
      <c r="A1180" s="6" t="str">
        <v>594918</v>
      </c>
      <c r="B1180" s="6" t="str">
        <v>United States</v>
      </c>
      <c r="C1180" s="6" t="str">
        <v>Microsoft Corp</v>
      </c>
      <c r="D1180" s="6" t="str">
        <v>Microsoft Corp</v>
      </c>
      <c r="F1180" s="6" t="str">
        <v>United States</v>
      </c>
      <c r="G1180" s="6" t="str">
        <v>Ally Technologies Inc</v>
      </c>
      <c r="H1180" s="6" t="str">
        <v>Prepackaged Software</v>
      </c>
      <c r="I1180" s="6" t="str">
        <v>2L4834</v>
      </c>
      <c r="J1180" s="6" t="str">
        <v>Ally Technologies Inc</v>
      </c>
      <c r="K1180" s="6" t="str">
        <v>Ally Technologies Inc</v>
      </c>
      <c r="L1180" s="7">
        <f>=DATE(2021,10,7)</f>
        <v>44475.99949074074</v>
      </c>
      <c r="M1180" s="7">
        <f>=DATE(2021,10,7)</f>
        <v>44475.99949074074</v>
      </c>
      <c r="W1180" s="6" t="str">
        <v>Other Peripherals;Operating Systems;Monitors/Terminals;Internet Services &amp; Software;Computer Consulting Services;Applications Software(Business</v>
      </c>
      <c r="X1180" s="6" t="str">
        <v>Other Software (inq. Games)</v>
      </c>
      <c r="Y1180" s="6" t="str">
        <v>Other Software (inq. Games)</v>
      </c>
      <c r="Z1180" s="6" t="str">
        <v>Other Software (inq. Games)</v>
      </c>
      <c r="AA1180" s="6" t="str">
        <v>Monitors/Terminals;Other Peripherals;Operating Systems;Computer Consulting Services;Internet Services &amp; Software;Applications Software(Business</v>
      </c>
      <c r="AB1180" s="6" t="str">
        <v>Operating Systems;Other Peripherals;Applications Software(Business;Internet Services &amp; Software;Computer Consulting Services;Monitors/Terminals</v>
      </c>
    </row>
    <row r="1181">
      <c r="A1181" s="6" t="str">
        <v>01864J</v>
      </c>
      <c r="B1181" s="6" t="str">
        <v>United States</v>
      </c>
      <c r="C1181" s="6" t="str">
        <v>Avanade Inc</v>
      </c>
      <c r="D1181" s="6" t="str">
        <v>Accenture PLC</v>
      </c>
      <c r="F1181" s="6" t="str">
        <v>United Kingdom</v>
      </c>
      <c r="G1181" s="6" t="str">
        <v>QuantiQ Technology Ltd</v>
      </c>
      <c r="H1181" s="6" t="str">
        <v>Business Services</v>
      </c>
      <c r="I1181" s="6" t="str">
        <v>6H1899</v>
      </c>
      <c r="J1181" s="6" t="str">
        <v>QuantiQ Technology Ltd</v>
      </c>
      <c r="K1181" s="6" t="str">
        <v>QuantiQ Technology Ltd</v>
      </c>
      <c r="L1181" s="7">
        <f>=DATE(2021,10,19)</f>
        <v>44487.99949074074</v>
      </c>
      <c r="M1181" s="7">
        <f>=DATE(2021,10,19)</f>
        <v>44487.99949074074</v>
      </c>
      <c r="R1181" s="8">
        <v>4.27280309556039</v>
      </c>
      <c r="S1181" s="8">
        <v>42.5694245046967</v>
      </c>
      <c r="W1181" s="6" t="str">
        <v>Other Computer Related Svcs;Computer Consulting Services;Other Software (inq. Games)</v>
      </c>
      <c r="X1181" s="6" t="str">
        <v>Computer Consulting Services;Data Processing Services;Other Software (inq. Games);Other Computer Related Svcs</v>
      </c>
      <c r="Y1181" s="6" t="str">
        <v>Data Processing Services;Computer Consulting Services;Other Computer Related Svcs;Other Software (inq. Games)</v>
      </c>
      <c r="Z1181" s="6" t="str">
        <v>Data Processing Services;Other Software (inq. Games);Computer Consulting Services;Other Computer Related Svcs</v>
      </c>
      <c r="AA1181" s="6" t="str">
        <v>Desktop Publishing;Networking Systems (LAN,WAN);Other Computer Related Svcs;Internet Services &amp; Software;Data Commun(Exclude networking;Other Computer Systems;Primary Business not Hi-Tech;Data Processing Services;Operating Systems;Other Software (inq. Games);CAD/CAM/CAE/Graphics Systems;Turnkey Systems;Workstations;Applications Software(Business;Utilities/File Mgmt Software;Computer Consulting Services;Communication/Network Software;Applications Software(Home)</v>
      </c>
      <c r="AB1181" s="6" t="str">
        <v>Other Computer Related Svcs;Networking Systems (LAN,WAN);Operating Systems;Applications Software(Business;Other Computer Systems;Applications Software(Home);Data Commun(Exclude networking;Data Processing Services;Communication/Network Software;Workstations;Turnkey Systems;CAD/CAM/CAE/Graphics Systems;Computer Consulting Services;Internet Services &amp; Software;Primary Business not Hi-Tech;Utilities/File Mgmt Software;Desktop Publishing;Other Software (inq. Games)</v>
      </c>
    </row>
    <row r="1182">
      <c r="A1182" s="6" t="str">
        <v>594918</v>
      </c>
      <c r="B1182" s="6" t="str">
        <v>United States</v>
      </c>
      <c r="C1182" s="6" t="str">
        <v>Microsoft Corp</v>
      </c>
      <c r="D1182" s="6" t="str">
        <v>Microsoft Corp</v>
      </c>
      <c r="F1182" s="6" t="str">
        <v>United States</v>
      </c>
      <c r="G1182" s="6" t="str">
        <v>Clear Software LLC</v>
      </c>
      <c r="H1182" s="6" t="str">
        <v>Prepackaged Software</v>
      </c>
      <c r="I1182" s="6" t="str">
        <v>18509C</v>
      </c>
      <c r="J1182" s="6" t="str">
        <v>Clear Software LLC</v>
      </c>
      <c r="K1182" s="6" t="str">
        <v>Clear Software LLC</v>
      </c>
      <c r="L1182" s="7">
        <f>=DATE(2021,10,22)</f>
        <v>44490.99949074074</v>
      </c>
      <c r="M1182" s="7">
        <f>=DATE(2021,10,22)</f>
        <v>44490.99949074074</v>
      </c>
      <c r="W1182" s="6" t="str">
        <v>Applications Software(Business;Operating Systems;Computer Consulting Services;Internet Services &amp; Software;Other Peripherals;Monitors/Terminals</v>
      </c>
      <c r="X1182" s="6" t="str">
        <v>Applications Software(Business</v>
      </c>
      <c r="Y1182" s="6" t="str">
        <v>Applications Software(Business</v>
      </c>
      <c r="Z1182" s="6" t="str">
        <v>Applications Software(Business</v>
      </c>
      <c r="AA1182" s="6" t="str">
        <v>Other Peripherals;Applications Software(Business;Monitors/Terminals;Computer Consulting Services;Operating Systems;Internet Services &amp; Software</v>
      </c>
      <c r="AB1182" s="6" t="str">
        <v>Internet Services &amp; Software;Monitors/Terminals;Other Peripherals;Computer Consulting Services;Applications Software(Business;Operating Systems</v>
      </c>
    </row>
    <row r="1183">
      <c r="A1183" s="6" t="str">
        <v>9K8707</v>
      </c>
      <c r="B1183" s="6" t="str">
        <v>United States</v>
      </c>
      <c r="C1183" s="6" t="str">
        <v>The Climate Pledge Fund</v>
      </c>
      <c r="D1183" s="6" t="str">
        <v>Amazon.com Inc</v>
      </c>
      <c r="F1183" s="6" t="str">
        <v>Italy</v>
      </c>
      <c r="G1183" s="6" t="str">
        <v>CMC SpA</v>
      </c>
      <c r="H1183" s="6" t="str">
        <v>Miscellaneous Manufacturing</v>
      </c>
      <c r="I1183" s="6" t="str">
        <v>6M0610</v>
      </c>
      <c r="J1183" s="6" t="str">
        <v>KKR &amp; Co Inc</v>
      </c>
      <c r="K1183" s="6" t="str">
        <v>KKR Global Impact Fund SCSp</v>
      </c>
      <c r="L1183" s="7">
        <f>=DATE(2021,10,27)</f>
        <v>44495.99949074074</v>
      </c>
      <c r="M1183" s="7">
        <f>=DATE(2021,10,27)</f>
        <v>44495.99949074074</v>
      </c>
      <c r="R1183" s="8">
        <v>0.708353688324377</v>
      </c>
      <c r="S1183" s="8">
        <v>61.4106008793356</v>
      </c>
      <c r="W1183" s="6" t="str">
        <v>Primary Business not Hi-Tech</v>
      </c>
      <c r="X1183" s="6" t="str">
        <v>Primary Business not Hi-Tech;General Med. Instruments/Supp.;Drug Delivery Sys(Not IV Sys);Healthcare Services;Medical Monitoring Systems;Surgical Instruments/Equipment;Artificial Organs/Limbs;Rehabilitation Equipment</v>
      </c>
      <c r="Y1183" s="6" t="str">
        <v>Primary Business not Hi-Tech</v>
      </c>
      <c r="Z1183" s="6" t="str">
        <v>Primary Business not Hi-Tech</v>
      </c>
      <c r="AA1183" s="6" t="str">
        <v>Primary Business not Hi-Tech</v>
      </c>
      <c r="AB1183" s="6" t="str">
        <v>Primary Business not Hi-Tech</v>
      </c>
    </row>
    <row r="1184">
      <c r="A1184" s="6" t="str">
        <v>00507V</v>
      </c>
      <c r="B1184" s="6" t="str">
        <v>United States</v>
      </c>
      <c r="C1184" s="6" t="str">
        <v>Activision Blizzard Inc</v>
      </c>
      <c r="D1184" s="6" t="str">
        <v>Activision Blizzard Inc</v>
      </c>
      <c r="F1184" s="6" t="str">
        <v>Spain</v>
      </c>
      <c r="G1184" s="6" t="str">
        <v>Digital Legends Entertainment SL</v>
      </c>
      <c r="H1184" s="6" t="str">
        <v>Prepackaged Software</v>
      </c>
      <c r="I1184" s="6" t="str">
        <v>25572W</v>
      </c>
      <c r="J1184" s="6" t="str">
        <v>Digital Legends Entertainment SL</v>
      </c>
      <c r="K1184" s="6" t="str">
        <v>Digital Legends Entertainment SL</v>
      </c>
      <c r="L1184" s="7">
        <f>=DATE(2021,10,28)</f>
        <v>44496.99949074074</v>
      </c>
      <c r="M1184" s="7">
        <f>=DATE(2021,10,28)</f>
        <v>44496.99949074074</v>
      </c>
      <c r="R1184" s="8">
        <v>-3.73351245725452</v>
      </c>
      <c r="S1184" s="8">
        <v>1.37884709330728</v>
      </c>
      <c r="W1184" s="6" t="str">
        <v>Other Software (inq. Games);Operating Systems;Other Computer Systems</v>
      </c>
      <c r="X1184" s="6" t="str">
        <v>Other Software (inq. Games)</v>
      </c>
      <c r="Y1184" s="6" t="str">
        <v>Other Software (inq. Games)</v>
      </c>
      <c r="Z1184" s="6" t="str">
        <v>Other Software (inq. Games)</v>
      </c>
      <c r="AA1184" s="6" t="str">
        <v>Operating Systems;Other Computer Systems;Other Software (inq. Games)</v>
      </c>
      <c r="AB1184" s="6" t="str">
        <v>Other Software (inq. Games);Other Computer Systems;Operating Systems</v>
      </c>
    </row>
    <row r="1185">
      <c r="A1185" s="6" t="str">
        <v>594918</v>
      </c>
      <c r="B1185" s="6" t="str">
        <v>United States</v>
      </c>
      <c r="C1185" s="6" t="str">
        <v>Microsoft Corp</v>
      </c>
      <c r="D1185" s="6" t="str">
        <v>Microsoft Corp</v>
      </c>
      <c r="F1185" s="6" t="str">
        <v>Canada</v>
      </c>
      <c r="G1185" s="6" t="str">
        <v>Two Hat Security Ltd</v>
      </c>
      <c r="H1185" s="6" t="str">
        <v>Prepackaged Software</v>
      </c>
      <c r="I1185" s="6" t="str">
        <v>1J0960</v>
      </c>
      <c r="J1185" s="6" t="str">
        <v>Two Hat Security Ltd</v>
      </c>
      <c r="K1185" s="6" t="str">
        <v>Two Hat Security Ltd</v>
      </c>
      <c r="L1185" s="7">
        <f>=DATE(2021,10,29)</f>
        <v>44497.99949074074</v>
      </c>
      <c r="M1185" s="7">
        <f>=DATE(2021,10,29)</f>
        <v>44497.99949074074</v>
      </c>
      <c r="W1185" s="6" t="str">
        <v>Internet Services &amp; Software;Other Peripherals;Computer Consulting Services;Applications Software(Business;Monitors/Terminals;Operating Systems</v>
      </c>
      <c r="X1185" s="6" t="str">
        <v>Other Software (inq. Games)</v>
      </c>
      <c r="Y1185" s="6" t="str">
        <v>Other Software (inq. Games)</v>
      </c>
      <c r="Z1185" s="6" t="str">
        <v>Other Software (inq. Games)</v>
      </c>
      <c r="AA1185" s="6" t="str">
        <v>Monitors/Terminals;Internet Services &amp; Software;Computer Consulting Services;Other Peripherals;Operating Systems;Applications Software(Business</v>
      </c>
      <c r="AB1185" s="6" t="str">
        <v>Monitors/Terminals;Applications Software(Business;Other Peripherals;Operating Systems;Computer Consulting Services;Internet Services &amp; Software</v>
      </c>
    </row>
    <row r="1186">
      <c r="A1186" s="6" t="str">
        <v>30303M</v>
      </c>
      <c r="B1186" s="6" t="str">
        <v>United States</v>
      </c>
      <c r="C1186" s="6" t="str">
        <v>Meta Platforms Inc</v>
      </c>
      <c r="D1186" s="6" t="str">
        <v>Meta Platforms Inc</v>
      </c>
      <c r="F1186" s="6" t="str">
        <v>United States</v>
      </c>
      <c r="G1186" s="6" t="str">
        <v>Within Unlimited Inc</v>
      </c>
      <c r="H1186" s="6" t="str">
        <v>Prepackaged Software</v>
      </c>
      <c r="I1186" s="6" t="str">
        <v>9F6812</v>
      </c>
      <c r="J1186" s="6" t="str">
        <v>Within Unlimited Inc</v>
      </c>
      <c r="K1186" s="6" t="str">
        <v>Within Unlimited Inc</v>
      </c>
      <c r="L1186" s="7">
        <f>=DATE(2021,10,29)</f>
        <v>44497.99949074074</v>
      </c>
      <c r="M1186" s="7">
        <f>=DATE(2023,2,2)</f>
        <v>44958.99949074074</v>
      </c>
      <c r="W1186" s="6" t="str">
        <v>Internet Services &amp; Software</v>
      </c>
      <c r="X1186" s="6" t="str">
        <v>Other Software (inq. Games)</v>
      </c>
      <c r="Y1186" s="6" t="str">
        <v>Other Software (inq. Games)</v>
      </c>
      <c r="Z1186" s="6" t="str">
        <v>Other Software (inq. Games)</v>
      </c>
      <c r="AA1186" s="6" t="str">
        <v>Internet Services &amp; Software</v>
      </c>
      <c r="AB1186" s="6" t="str">
        <v>Internet Services &amp; Software</v>
      </c>
    </row>
    <row r="1187">
      <c r="A1187" s="6" t="str">
        <v>023135</v>
      </c>
      <c r="B1187" s="6" t="str">
        <v>United States</v>
      </c>
      <c r="C1187" s="6" t="str">
        <v>Amazon.com Inc</v>
      </c>
      <c r="D1187" s="6" t="str">
        <v>Amazon.com Inc</v>
      </c>
      <c r="F1187" s="6" t="str">
        <v>United Kingdom</v>
      </c>
      <c r="G1187" s="6" t="str">
        <v>Veeqo Ltd</v>
      </c>
      <c r="H1187" s="6" t="str">
        <v>Business Services</v>
      </c>
      <c r="I1187" s="6" t="str">
        <v>4E0693</v>
      </c>
      <c r="J1187" s="6" t="str">
        <v>Veeqo Ltd</v>
      </c>
      <c r="K1187" s="6" t="str">
        <v>Veeqo Ltd</v>
      </c>
      <c r="L1187" s="7">
        <f>=DATE(2021,11,2)</f>
        <v>44501.99949074074</v>
      </c>
      <c r="M1187" s="7">
        <f>=DATE(2021,11,2)</f>
        <v>44501.99949074074</v>
      </c>
      <c r="W1187" s="6" t="str">
        <v>Primary Business not Hi-Tech</v>
      </c>
      <c r="X1187" s="6" t="str">
        <v>Internet Services &amp; Software</v>
      </c>
      <c r="Y1187" s="6" t="str">
        <v>Internet Services &amp; Software</v>
      </c>
      <c r="Z1187" s="6" t="str">
        <v>Internet Services &amp; Software</v>
      </c>
      <c r="AA1187" s="6" t="str">
        <v>Primary Business not Hi-Tech</v>
      </c>
      <c r="AB1187" s="6" t="str">
        <v>Primary Business not Hi-Tech</v>
      </c>
    </row>
    <row r="1188">
      <c r="A1188" s="6" t="str">
        <v>7J8440</v>
      </c>
      <c r="B1188" s="6" t="str">
        <v>United States</v>
      </c>
      <c r="C1188" s="6" t="str">
        <v>Google LLC</v>
      </c>
      <c r="D1188" s="6" t="str">
        <v>Alphabet Inc</v>
      </c>
      <c r="F1188" s="6" t="str">
        <v>France</v>
      </c>
      <c r="G1188" s="6" t="str">
        <v>TAP Sound System SAS</v>
      </c>
      <c r="H1188" s="6" t="str">
        <v>Prepackaged Software</v>
      </c>
      <c r="I1188" s="6" t="str">
        <v>0M9567</v>
      </c>
      <c r="J1188" s="6" t="str">
        <v>TAP Sound System SAS</v>
      </c>
      <c r="K1188" s="6" t="str">
        <v>TAP Sound System SAS</v>
      </c>
      <c r="L1188" s="7">
        <f>=DATE(2021,11,18)</f>
        <v>44517.99949074074</v>
      </c>
      <c r="M1188" s="7">
        <f>=DATE(2021,11,18)</f>
        <v>44517.99949074074</v>
      </c>
      <c r="W1188" s="6" t="str">
        <v>Internet Services &amp; Software;Programming Services</v>
      </c>
      <c r="X1188" s="6" t="str">
        <v>Communication/Network Software;Utilities/File Mgmt Software;Other Software (inq. Games);Desktop Publishing;Applications Software(Home);Internet Services &amp; Software;Applications Software(Business</v>
      </c>
      <c r="Y1188" s="6" t="str">
        <v>Other Software (inq. Games);Internet Services &amp; Software;Applications Software(Business;Applications Software(Home);Desktop Publishing;Communication/Network Software;Utilities/File Mgmt Software</v>
      </c>
      <c r="Z1188" s="6" t="str">
        <v>Internet Services &amp; Software;Applications Software(Business;Applications Software(Home);Other Software (inq. Games);Utilities/File Mgmt Software;Desktop Publishing;Communication/Network Software</v>
      </c>
      <c r="AA1188" s="6" t="str">
        <v>Primary Business not Hi-Tech;Computer Consulting Services;Telecommunications Equipment;Programming Services;Internet Services &amp; Software</v>
      </c>
      <c r="AB1188" s="6" t="str">
        <v>Programming Services;Primary Business not Hi-Tech;Internet Services &amp; Software;Telecommunications Equipment;Computer Consulting Services</v>
      </c>
    </row>
    <row r="1189">
      <c r="A1189" s="6" t="str">
        <v>037833</v>
      </c>
      <c r="B1189" s="6" t="str">
        <v>United States</v>
      </c>
      <c r="C1189" s="6" t="str">
        <v>Apple Inc</v>
      </c>
      <c r="D1189" s="6" t="str">
        <v>Apple Inc</v>
      </c>
      <c r="F1189" s="6" t="str">
        <v>United States</v>
      </c>
      <c r="G1189" s="6" t="str">
        <v>Apple Inc</v>
      </c>
      <c r="H1189" s="6" t="str">
        <v>Computer and Office Equipment</v>
      </c>
      <c r="I1189" s="6" t="str">
        <v>037833</v>
      </c>
      <c r="J1189" s="6" t="str">
        <v>Apple Inc</v>
      </c>
      <c r="K1189" s="6" t="str">
        <v>Apple Inc</v>
      </c>
      <c r="L1189" s="7">
        <f>=DATE(2021,11,30)</f>
        <v>44529.99949074074</v>
      </c>
      <c r="M1189" s="7">
        <f>=DATE(2022,1,30)</f>
        <v>44590.99949074074</v>
      </c>
      <c r="N1189" s="8">
        <v>6000</v>
      </c>
      <c r="O1189" s="8">
        <v>6000</v>
      </c>
      <c r="P1189" s="8" t="str">
        <v>2,875,453.20</v>
      </c>
      <c r="R1189" s="8">
        <v>94680</v>
      </c>
      <c r="S1189" s="8">
        <v>365817</v>
      </c>
      <c r="T1189" s="8">
        <v>-93353</v>
      </c>
      <c r="U1189" s="8">
        <v>-14545</v>
      </c>
      <c r="V1189" s="8">
        <v>104038</v>
      </c>
      <c r="W1189" s="6" t="str">
        <v>Mainframes &amp; Super Computers;Other Software (inq. Games);Micro-Computers (PCs);Portable Computers;Other Peripherals;Disk Drives;Printers;Monitors/Terminals</v>
      </c>
      <c r="X1189" s="6" t="str">
        <v>Micro-Computers (PCs);Other Software (inq. Games);Monitors/Terminals;Mainframes &amp; Super Computers;Printers;Other Peripherals;Disk Drives;Portable Computers</v>
      </c>
      <c r="Y1189" s="6" t="str">
        <v>Printers;Other Software (inq. Games);Other Peripherals;Monitors/Terminals;Portable Computers;Disk Drives;Mainframes &amp; Super Computers;Micro-Computers (PCs)</v>
      </c>
      <c r="Z1189" s="6" t="str">
        <v>Mainframes &amp; Super Computers;Portable Computers;Monitors/Terminals;Other Peripherals;Printers;Other Software (inq. Games);Disk Drives;Micro-Computers (PCs)</v>
      </c>
      <c r="AA1189" s="6" t="str">
        <v>Other Peripherals;Micro-Computers (PCs);Other Software (inq. Games);Monitors/Terminals;Portable Computers;Disk Drives;Mainframes &amp; Super Computers;Printers</v>
      </c>
      <c r="AB1189" s="6" t="str">
        <v>Micro-Computers (PCs);Portable Computers;Mainframes &amp; Super Computers;Other Peripherals;Disk Drives;Monitors/Terminals;Printers;Other Software (inq. Games)</v>
      </c>
      <c r="AC1189" s="8">
        <v>6000</v>
      </c>
      <c r="AD1189" s="7">
        <f>=DATE(2021,11,30)</f>
        <v>44529.99949074074</v>
      </c>
      <c r="AF1189" s="8" t="str">
        <v>2,875,453.20</v>
      </c>
      <c r="AG1189" s="8" t="str">
        <v>2,875,453.20</v>
      </c>
      <c r="AH1189" s="8" t="str">
        <v>2,812,525.20</v>
      </c>
      <c r="AI1189" s="8" t="str">
        <v>2,812,525.20</v>
      </c>
      <c r="AJ1189" s="8" t="str">
        <v>6,000.00</v>
      </c>
      <c r="AK1189" s="6" t="str">
        <v>US Dollar</v>
      </c>
      <c r="AL1189" s="8">
        <v>6000</v>
      </c>
    </row>
    <row r="1190">
      <c r="A1190" s="6" t="str">
        <v>30303M</v>
      </c>
      <c r="B1190" s="6" t="str">
        <v>United States</v>
      </c>
      <c r="C1190" s="6" t="str">
        <v>Meta Platforms Inc</v>
      </c>
      <c r="D1190" s="6" t="str">
        <v>Meta Platforms Inc</v>
      </c>
      <c r="F1190" s="6" t="str">
        <v>United States</v>
      </c>
      <c r="G1190" s="6" t="str">
        <v>BlinkAI Technologies Inc</v>
      </c>
      <c r="H1190" s="6" t="str">
        <v>Prepackaged Software</v>
      </c>
      <c r="I1190" s="6" t="str">
        <v>5M5489</v>
      </c>
      <c r="J1190" s="6" t="str">
        <v>BlinkAI Technologies Inc</v>
      </c>
      <c r="K1190" s="6" t="str">
        <v>BlinkAI Technologies Inc</v>
      </c>
      <c r="L1190" s="7">
        <f>=DATE(2021,12,4)</f>
        <v>44533.99949074074</v>
      </c>
      <c r="M1190" s="7">
        <f>=DATE(2021,12,4)</f>
        <v>44533.99949074074</v>
      </c>
      <c r="W1190" s="6" t="str">
        <v>Internet Services &amp; Software</v>
      </c>
      <c r="X1190" s="6" t="str">
        <v>Other Software (inq. Games)</v>
      </c>
      <c r="Y1190" s="6" t="str">
        <v>Other Software (inq. Games)</v>
      </c>
      <c r="Z1190" s="6" t="str">
        <v>Other Software (inq. Games)</v>
      </c>
      <c r="AA1190" s="6" t="str">
        <v>Internet Services &amp; Software</v>
      </c>
      <c r="AB1190" s="6" t="str">
        <v>Internet Services &amp; Software</v>
      </c>
    </row>
    <row r="1191">
      <c r="A1191" s="6" t="str">
        <v>30303M</v>
      </c>
      <c r="B1191" s="6" t="str">
        <v>United States</v>
      </c>
      <c r="C1191" s="6" t="str">
        <v>Meta Platforms Inc</v>
      </c>
      <c r="D1191" s="6" t="str">
        <v>Meta Platforms Inc</v>
      </c>
      <c r="F1191" s="6" t="str">
        <v>United States</v>
      </c>
      <c r="G1191" s="6" t="str">
        <v>ImagineOptix Corp</v>
      </c>
      <c r="H1191" s="6" t="str">
        <v>Electronic and Electrical Equipment</v>
      </c>
      <c r="I1191" s="6" t="str">
        <v>4N7175</v>
      </c>
      <c r="J1191" s="6" t="str">
        <v>ImagineOptix Corp</v>
      </c>
      <c r="K1191" s="6" t="str">
        <v>ImagineOptix Corp</v>
      </c>
      <c r="L1191" s="7">
        <f>=DATE(2021,12,21)</f>
        <v>44550.99949074074</v>
      </c>
      <c r="M1191" s="7">
        <f>=DATE(2021,12,21)</f>
        <v>44550.99949074074</v>
      </c>
      <c r="W1191" s="6" t="str">
        <v>Internet Services &amp; Software</v>
      </c>
      <c r="X1191" s="6" t="str">
        <v>Semiconductors;Superconductors;Other Electronics;Lasers(Excluding Medical);Robotics</v>
      </c>
      <c r="Y1191" s="6" t="str">
        <v>Lasers(Excluding Medical);Superconductors;Semiconductors;Robotics;Other Electronics</v>
      </c>
      <c r="Z1191" s="6" t="str">
        <v>Superconductors;Robotics;Lasers(Excluding Medical);Other Electronics;Semiconductors</v>
      </c>
      <c r="AA1191" s="6" t="str">
        <v>Internet Services &amp; Software</v>
      </c>
      <c r="AB1191" s="6" t="str">
        <v>Internet Services &amp; Software</v>
      </c>
    </row>
    <row r="1192">
      <c r="A1192" s="6" t="str">
        <v>594918</v>
      </c>
      <c r="B1192" s="6" t="str">
        <v>United States</v>
      </c>
      <c r="C1192" s="6" t="str">
        <v>Microsoft Corp</v>
      </c>
      <c r="D1192" s="6" t="str">
        <v>Microsoft Corp</v>
      </c>
      <c r="F1192" s="6" t="str">
        <v>United States</v>
      </c>
      <c r="G1192" s="6" t="str">
        <v>Xandr Inc</v>
      </c>
      <c r="H1192" s="6" t="str">
        <v>Prepackaged Software</v>
      </c>
      <c r="I1192" s="6" t="str">
        <v>5J9777</v>
      </c>
      <c r="J1192" s="6" t="str">
        <v>AT&amp;T Inc</v>
      </c>
      <c r="K1192" s="6" t="str">
        <v>AT&amp;T Inc</v>
      </c>
      <c r="L1192" s="7">
        <f>=DATE(2021,12,21)</f>
        <v>44550.99949074074</v>
      </c>
      <c r="M1192" s="7">
        <f>=DATE(2022,6,6)</f>
        <v>44717.99949074074</v>
      </c>
      <c r="W1192" s="6" t="str">
        <v>Operating Systems;Computer Consulting Services;Internet Services &amp; Software;Applications Software(Business;Other Peripherals;Monitors/Terminals</v>
      </c>
      <c r="X1192" s="6" t="str">
        <v>Other Software (inq. Games)</v>
      </c>
      <c r="Y1192" s="6" t="str">
        <v>Data Commun(Exclude networking;Satellite Communications;Internet Services &amp; Software;Cellular Communications;Networking Systems (LAN,WAN)</v>
      </c>
      <c r="Z1192" s="6" t="str">
        <v>Internet Services &amp; Software;Networking Systems (LAN,WAN);Satellite Communications;Cellular Communications;Data Commun(Exclude networking</v>
      </c>
      <c r="AA1192" s="6" t="str">
        <v>Applications Software(Business;Other Peripherals;Monitors/Terminals;Operating Systems;Internet Services &amp; Software;Computer Consulting Services</v>
      </c>
      <c r="AB1192" s="6" t="str">
        <v>Operating Systems;Internet Services &amp; Software;Other Peripherals;Applications Software(Business;Monitors/Terminals;Computer Consulting Services</v>
      </c>
    </row>
    <row r="1193">
      <c r="A1193" s="6" t="str">
        <v>7J8440</v>
      </c>
      <c r="B1193" s="6" t="str">
        <v>United States</v>
      </c>
      <c r="C1193" s="6" t="str">
        <v>Google LLC</v>
      </c>
      <c r="D1193" s="6" t="str">
        <v>Alphabet Inc</v>
      </c>
      <c r="F1193" s="6" t="str">
        <v>Taiwan</v>
      </c>
      <c r="G1193" s="6" t="str">
        <v>Ennoconn Corp</v>
      </c>
      <c r="H1193" s="6" t="str">
        <v>Computer and Office Equipment</v>
      </c>
      <c r="I1193" s="6" t="str">
        <v>0A9524</v>
      </c>
      <c r="J1193" s="6" t="str">
        <v>Ennoconn Corp</v>
      </c>
      <c r="K1193" s="6" t="str">
        <v>Ennoconn Corp</v>
      </c>
      <c r="L1193" s="7">
        <f>=DATE(2022,1,4)</f>
        <v>44564.99949074074</v>
      </c>
      <c r="N1193" s="8">
        <v>40.0683865832037</v>
      </c>
      <c r="O1193" s="8">
        <v>40.0683865832037</v>
      </c>
      <c r="P1193" s="8" t="str">
        <v>2,011.21</v>
      </c>
      <c r="R1193" s="8">
        <v>120.962904157044</v>
      </c>
      <c r="S1193" s="8">
        <v>3484.29005484988</v>
      </c>
      <c r="T1193" s="8">
        <v>72.923931871</v>
      </c>
      <c r="U1193" s="8">
        <v>-40.197784353</v>
      </c>
      <c r="V1193" s="8">
        <v>57.503319861</v>
      </c>
      <c r="W1193" s="6" t="str">
        <v>Programming Services;Internet Services &amp; Software</v>
      </c>
      <c r="X1193" s="6" t="str">
        <v>Monitors/Terminals;Disk Drives;Other Peripherals;Computer Consulting Services</v>
      </c>
      <c r="Y1193" s="6" t="str">
        <v>Monitors/Terminals;Disk Drives;Computer Consulting Services;Other Peripherals</v>
      </c>
      <c r="Z1193" s="6" t="str">
        <v>Other Peripherals;Disk Drives;Monitors/Terminals;Computer Consulting Services</v>
      </c>
      <c r="AA1193" s="6" t="str">
        <v>Computer Consulting Services;Telecommunications Equipment;Internet Services &amp; Software;Programming Services;Primary Business not Hi-Tech</v>
      </c>
      <c r="AB1193" s="6" t="str">
        <v>Primary Business not Hi-Tech;Programming Services;Computer Consulting Services;Internet Services &amp; Software;Telecommunications Equipment</v>
      </c>
      <c r="AC1193" s="8">
        <v>40.0683865832037</v>
      </c>
      <c r="AD1193" s="7">
        <f>=DATE(2022,1,4)</f>
        <v>44564.99949074074</v>
      </c>
      <c r="AE1193" s="8">
        <v>876.019573451532</v>
      </c>
      <c r="AF1193" s="8" t="str">
        <v>1,282.88</v>
      </c>
      <c r="AI1193" s="8" t="str">
        <v>839.20</v>
      </c>
      <c r="AK1193" s="6" t="str">
        <v>Taiwanese Dollar</v>
      </c>
      <c r="AL1193" s="8">
        <v>40.0683865832037</v>
      </c>
    </row>
    <row r="1194">
      <c r="A1194" s="6" t="str">
        <v>594918</v>
      </c>
      <c r="B1194" s="6" t="str">
        <v>United States</v>
      </c>
      <c r="C1194" s="6" t="str">
        <v>Microsoft Corp</v>
      </c>
      <c r="D1194" s="6" t="str">
        <v>Microsoft Corp</v>
      </c>
      <c r="E1194" s="6" t="str">
        <v>Ubisoft Entertainment SA</v>
      </c>
      <c r="F1194" s="6" t="str">
        <v>United States</v>
      </c>
      <c r="G1194" s="6" t="str">
        <v>Activision Blizzard Inc</v>
      </c>
      <c r="H1194" s="6" t="str">
        <v>Prepackaged Software</v>
      </c>
      <c r="I1194" s="6" t="str">
        <v>00507V</v>
      </c>
      <c r="J1194" s="6" t="str">
        <v>Activision Blizzard Inc</v>
      </c>
      <c r="K1194" s="6" t="str">
        <v>Activision Blizzard Inc</v>
      </c>
      <c r="L1194" s="7">
        <f>=DATE(2022,1,18)</f>
        <v>44578.99949074074</v>
      </c>
      <c r="M1194" s="7">
        <f>=DATE(2023,10,13)</f>
        <v>45211.99949074074</v>
      </c>
      <c r="N1194" s="8">
        <v>75621.309</v>
      </c>
      <c r="O1194" s="8">
        <v>75621.309</v>
      </c>
      <c r="P1194" s="8" t="str">
        <v>67,427.44</v>
      </c>
      <c r="R1194" s="8">
        <v>2699</v>
      </c>
      <c r="S1194" s="8">
        <v>8803</v>
      </c>
      <c r="T1194" s="8">
        <v>-521</v>
      </c>
      <c r="U1194" s="8">
        <v>-59</v>
      </c>
      <c r="V1194" s="8">
        <v>2414</v>
      </c>
      <c r="W1194" s="6" t="str">
        <v>Computer Consulting Services;Monitors/Terminals;Other Peripherals;Operating Systems;Applications Software(Business;Internet Services &amp; Software</v>
      </c>
      <c r="X1194" s="6" t="str">
        <v>Other Software (inq. Games);Operating Systems;Other Computer Systems</v>
      </c>
      <c r="Y1194" s="6" t="str">
        <v>Other Software (inq. Games);Other Computer Systems;Operating Systems</v>
      </c>
      <c r="Z1194" s="6" t="str">
        <v>Operating Systems;Other Computer Systems;Other Software (inq. Games)</v>
      </c>
      <c r="AA1194" s="6" t="str">
        <v>Applications Software(Business;Other Peripherals;Internet Services &amp; Software;Operating Systems;Monitors/Terminals;Computer Consulting Services</v>
      </c>
      <c r="AB1194" s="6" t="str">
        <v>Monitors/Terminals;Operating Systems;Applications Software(Business;Computer Consulting Services;Internet Services &amp; Software;Other Peripherals</v>
      </c>
      <c r="AC1194" s="8">
        <v>75621.309</v>
      </c>
      <c r="AD1194" s="7">
        <f>=DATE(2022,1,18)</f>
        <v>44578.99949074074</v>
      </c>
      <c r="AE1194" s="8">
        <v>76176.23925</v>
      </c>
      <c r="AF1194" s="8" t="str">
        <v>67,427.84</v>
      </c>
      <c r="AG1194" s="8" t="str">
        <v>67,427.44</v>
      </c>
      <c r="AH1194" s="8" t="str">
        <v>74,372.44</v>
      </c>
      <c r="AI1194" s="8" t="str">
        <v>74,372.84</v>
      </c>
      <c r="AJ1194" s="8" t="str">
        <v>;;362.39</v>
      </c>
      <c r="AK1194" s="6" t="str">
        <v>US Dollar;US Dollar;US Dollar;US Dollar</v>
      </c>
      <c r="AL1194" s="8">
        <v>75621.309</v>
      </c>
    </row>
    <row r="1195">
      <c r="A1195" s="6" t="str">
        <v>73959W</v>
      </c>
      <c r="B1195" s="6" t="str">
        <v>United States</v>
      </c>
      <c r="C1195" s="6" t="str">
        <v>PowerSchool Group LLC</v>
      </c>
      <c r="D1195" s="6" t="str">
        <v>Powerschool Holdings Inc</v>
      </c>
      <c r="F1195" s="6" t="str">
        <v>United States</v>
      </c>
      <c r="G1195" s="6" t="str">
        <v>Kinvolved Inc</v>
      </c>
      <c r="H1195" s="6" t="str">
        <v>Prepackaged Software</v>
      </c>
      <c r="I1195" s="6" t="str">
        <v>3M3301</v>
      </c>
      <c r="J1195" s="6" t="str">
        <v>Kinvolved Inc</v>
      </c>
      <c r="K1195" s="6" t="str">
        <v>Kinvolved Inc</v>
      </c>
      <c r="L1195" s="7">
        <f>=DATE(2022,1,25)</f>
        <v>44585.99949074074</v>
      </c>
      <c r="N1195" s="8">
        <v>23.3</v>
      </c>
      <c r="O1195" s="8">
        <v>23.3</v>
      </c>
      <c r="W1195" s="6" t="str">
        <v>Other Software (inq. Games)</v>
      </c>
      <c r="X1195" s="6" t="str">
        <v>Internet Services &amp; Software;Other Software (inq. Games);Applications Software(Home);Utilities/File Mgmt Software;Applications Software(Business;Communication/Network Software;Desktop Publishing;Primary Business not Hi-Tech</v>
      </c>
      <c r="Y1195" s="6" t="str">
        <v>Communication/Network Software;Desktop Publishing;Internet Services &amp; Software;Applications Software(Home);Other Software (inq. Games);Primary Business not Hi-Tech;Applications Software(Business;Utilities/File Mgmt Software</v>
      </c>
      <c r="Z1195" s="6" t="str">
        <v>Primary Business not Hi-Tech;Applications Software(Business;Applications Software(Home);Other Software (inq. Games);Internet Services &amp; Software;Communication/Network Software;Utilities/File Mgmt Software;Desktop Publishing</v>
      </c>
      <c r="AA1195" s="6" t="str">
        <v>Applications Software(Business;Applications Software(Home);Other Software (inq. Games);Communication/Network Software;Utilities/File Mgmt Software;Primary Business not Hi-Tech;Internet Services &amp; Software;Desktop Publishing</v>
      </c>
      <c r="AB1195" s="6" t="str">
        <v>Communication/Network Software;Utilities/File Mgmt Software;Desktop Publishing;Applications Software(Business;Internet Services &amp; Software;Applications Software(Home);Other Software (inq. Games);Primary Business not Hi-Tech</v>
      </c>
      <c r="AC1195" s="8">
        <v>23.3</v>
      </c>
      <c r="AD1195" s="7">
        <f>=DATE(2022,1,25)</f>
        <v>44585.99949074074</v>
      </c>
      <c r="AL1195" s="8">
        <v>23.3</v>
      </c>
    </row>
    <row r="1196">
      <c r="A1196" s="6" t="str">
        <v>7J8440</v>
      </c>
      <c r="B1196" s="6" t="str">
        <v>United States</v>
      </c>
      <c r="C1196" s="6" t="str">
        <v>Google LLC</v>
      </c>
      <c r="D1196" s="6" t="str">
        <v>Alphabet Inc</v>
      </c>
      <c r="F1196" s="6" t="str">
        <v>India</v>
      </c>
      <c r="G1196" s="6" t="str">
        <v>Bharti Airtel Ltd</v>
      </c>
      <c r="H1196" s="6" t="str">
        <v>Telecommunications</v>
      </c>
      <c r="I1196" s="6" t="str">
        <v>08898H</v>
      </c>
      <c r="J1196" s="6" t="str">
        <v>Bharti Airtel Ltd</v>
      </c>
      <c r="K1196" s="6" t="str">
        <v>Bharti Airtel Ltd</v>
      </c>
      <c r="L1196" s="7">
        <f>=DATE(2022,1,28)</f>
        <v>44588.99949074074</v>
      </c>
      <c r="N1196" s="8">
        <v>694.842262063095</v>
      </c>
      <c r="O1196" s="8">
        <v>694.842262063095</v>
      </c>
      <c r="P1196" s="8" t="str">
        <v>75,035.48</v>
      </c>
      <c r="R1196" s="8">
        <v>819.315938603677</v>
      </c>
      <c r="S1196" s="8">
        <v>14878.254797427</v>
      </c>
      <c r="T1196" s="8">
        <v>290.343373575</v>
      </c>
      <c r="U1196" s="8">
        <v>-6729.638631877</v>
      </c>
      <c r="V1196" s="8">
        <v>6240.791222958</v>
      </c>
      <c r="W1196" s="6" t="str">
        <v>Programming Services;Internet Services &amp; Software</v>
      </c>
      <c r="X1196" s="6" t="str">
        <v>Telecommunications Equipment</v>
      </c>
      <c r="Y1196" s="6" t="str">
        <v>Telecommunications Equipment</v>
      </c>
      <c r="Z1196" s="6" t="str">
        <v>Telecommunications Equipment</v>
      </c>
      <c r="AA1196" s="6" t="str">
        <v>Programming Services;Computer Consulting Services;Internet Services &amp; Software;Telecommunications Equipment;Primary Business not Hi-Tech</v>
      </c>
      <c r="AB1196" s="6" t="str">
        <v>Programming Services;Telecommunications Equipment;Computer Consulting Services;Internet Services &amp; Software;Primary Business not Hi-Tech</v>
      </c>
      <c r="AC1196" s="8">
        <v>694.842262063095</v>
      </c>
      <c r="AD1196" s="7">
        <f>=DATE(2022,1,28)</f>
        <v>44588.99949074074</v>
      </c>
      <c r="AE1196" s="8">
        <v>57443.8362321115</v>
      </c>
      <c r="AF1196" s="8" t="str">
        <v>75,281.75</v>
      </c>
      <c r="AI1196" s="8" t="str">
        <v>57,561.50</v>
      </c>
      <c r="AK1196" s="6" t="str">
        <v>Indian Rupee</v>
      </c>
      <c r="AL1196" s="8">
        <v>694.842262063095</v>
      </c>
    </row>
    <row r="1197">
      <c r="A1197" s="6" t="str">
        <v>30303M</v>
      </c>
      <c r="B1197" s="6" t="str">
        <v>United States</v>
      </c>
      <c r="C1197" s="6" t="str">
        <v>Meta Platforms Inc</v>
      </c>
      <c r="D1197" s="6" t="str">
        <v>Meta Platforms Inc</v>
      </c>
      <c r="F1197" s="6" t="str">
        <v>Greece</v>
      </c>
      <c r="G1197" s="6" t="str">
        <v>Accusonus SA</v>
      </c>
      <c r="H1197" s="6" t="str">
        <v>Prepackaged Software</v>
      </c>
      <c r="I1197" s="6" t="str">
        <v>4M7222</v>
      </c>
      <c r="J1197" s="6" t="str">
        <v>Accusonus SA</v>
      </c>
      <c r="K1197" s="6" t="str">
        <v>Accusonus SA</v>
      </c>
      <c r="L1197" s="7">
        <f>=DATE(2022,2,1)</f>
        <v>44592.99949074074</v>
      </c>
      <c r="W1197" s="6" t="str">
        <v>Internet Services &amp; Software</v>
      </c>
      <c r="X1197" s="6" t="str">
        <v>Other Software (inq. Games)</v>
      </c>
      <c r="Y1197" s="6" t="str">
        <v>Other Software (inq. Games)</v>
      </c>
      <c r="Z1197" s="6" t="str">
        <v>Other Software (inq. Games)</v>
      </c>
      <c r="AA1197" s="6" t="str">
        <v>Internet Services &amp; Software</v>
      </c>
      <c r="AB1197" s="6" t="str">
        <v>Internet Services &amp; Software</v>
      </c>
      <c r="AD1197" s="7">
        <f>=DATE(2022,2,1)</f>
        <v>44592.99949074074</v>
      </c>
    </row>
    <row r="1198">
      <c r="A1198" s="6" t="str">
        <v>037833</v>
      </c>
      <c r="B1198" s="6" t="str">
        <v>United States</v>
      </c>
      <c r="C1198" s="6" t="str">
        <v>Apple Inc</v>
      </c>
      <c r="D1198" s="6" t="str">
        <v>Apple Inc</v>
      </c>
      <c r="F1198" s="6" t="str">
        <v>United Kingdom</v>
      </c>
      <c r="G1198" s="6" t="str">
        <v>AI Music Ltd</v>
      </c>
      <c r="H1198" s="6" t="str">
        <v>Prepackaged Software</v>
      </c>
      <c r="I1198" s="6" t="str">
        <v>3M7993</v>
      </c>
      <c r="J1198" s="6" t="str">
        <v>AI Music Ltd</v>
      </c>
      <c r="K1198" s="6" t="str">
        <v>AI Music Ltd</v>
      </c>
      <c r="L1198" s="7">
        <f>=DATE(2022,2,7)</f>
        <v>44598.99949074074</v>
      </c>
      <c r="W1198" s="6" t="str">
        <v>Other Software (inq. Games);Mainframes &amp; Super Computers;Printers;Portable Computers;Micro-Computers (PCs);Other Peripherals;Disk Drives;Monitors/Terminals</v>
      </c>
      <c r="X1198" s="6" t="str">
        <v>Primary Business not Hi-Tech;Other Computer Related Svcs;Applications Software(Business;Internet Services &amp; Software;Applications Software(Home);Desktop Publishing;Utilities/File Mgmt Software;Computer Consulting Services;Data Processing Services;Communication/Network Software;Other Software (inq. Games)</v>
      </c>
      <c r="Y1198" s="6" t="str">
        <v>Other Software (inq. Games);Utilities/File Mgmt Software;Communication/Network Software;Desktop Publishing;Applications Software(Home);Applications Software(Business;Data Processing Services;Primary Business not Hi-Tech;Other Computer Related Svcs;Computer Consulting Services;Internet Services &amp; Software</v>
      </c>
      <c r="Z1198" s="6" t="str">
        <v>Computer Consulting Services;Internet Services &amp; Software;Utilities/File Mgmt Software;Desktop Publishing;Other Computer Related Svcs;Data Processing Services;Applications Software(Home);Communication/Network Software;Primary Business not Hi-Tech;Other Software (inq. Games);Applications Software(Business</v>
      </c>
      <c r="AA1198" s="6" t="str">
        <v>Portable Computers;Printers;Other Peripherals;Disk Drives;Monitors/Terminals;Other Software (inq. Games);Micro-Computers (PCs);Mainframes &amp; Super Computers</v>
      </c>
      <c r="AB1198" s="6" t="str">
        <v>Monitors/Terminals;Other Peripherals;Disk Drives;Mainframes &amp; Super Computers;Other Software (inq. Games);Micro-Computers (PCs);Printers;Portable Computers</v>
      </c>
    </row>
    <row r="1199">
      <c r="A1199" s="6" t="str">
        <v>594918</v>
      </c>
      <c r="B1199" s="6" t="str">
        <v>United States</v>
      </c>
      <c r="C1199" s="6" t="str">
        <v>Microsoft Corp</v>
      </c>
      <c r="D1199" s="6" t="str">
        <v>Microsoft Corp</v>
      </c>
      <c r="F1199" s="6" t="str">
        <v>United States</v>
      </c>
      <c r="G1199" s="6" t="str">
        <v>Mandiant Inc</v>
      </c>
      <c r="H1199" s="6" t="str">
        <v>Prepackaged Software</v>
      </c>
      <c r="I1199" s="6" t="str">
        <v>2A4198</v>
      </c>
      <c r="J1199" s="6" t="str">
        <v>Mandiant Inc</v>
      </c>
      <c r="K1199" s="6" t="str">
        <v>Mandiant Inc</v>
      </c>
      <c r="L1199" s="7">
        <f>=DATE(2022,2,8)</f>
        <v>44599.99949074074</v>
      </c>
      <c r="W1199" s="6" t="str">
        <v>Other Peripherals;Applications Software(Business;Monitors/Terminals;Operating Systems;Computer Consulting Services;Internet Services &amp; Software</v>
      </c>
      <c r="X1199" s="6" t="str">
        <v>Applications Software(Business</v>
      </c>
      <c r="Y1199" s="6" t="str">
        <v>Applications Software(Business;Other Peripherals</v>
      </c>
      <c r="Z1199" s="6" t="str">
        <v>Applications Software(Business;Other Peripherals</v>
      </c>
      <c r="AA1199" s="6" t="str">
        <v>Computer Consulting Services;Monitors/Terminals;Other Peripherals;Operating Systems;Applications Software(Business;Internet Services &amp; Software</v>
      </c>
      <c r="AB1199" s="6" t="str">
        <v>Operating Systems;Internet Services &amp; Software;Monitors/Terminals;Computer Consulting Services;Applications Software(Business;Other Peripherals</v>
      </c>
      <c r="AD1199" s="7">
        <f>=DATE(2022,2,8)</f>
        <v>44599.99949074074</v>
      </c>
    </row>
    <row r="1200">
      <c r="A1200" s="6" t="str">
        <v>30303M</v>
      </c>
      <c r="B1200" s="6" t="str">
        <v>United States</v>
      </c>
      <c r="C1200" s="6" t="str">
        <v>Meta Platforms Inc</v>
      </c>
      <c r="D1200" s="6" t="str">
        <v>Meta Platforms Inc</v>
      </c>
      <c r="F1200" s="6" t="str">
        <v>United States</v>
      </c>
      <c r="G1200" s="6" t="str">
        <v>Kustomer Inc</v>
      </c>
      <c r="H1200" s="6" t="str">
        <v>Prepackaged Software</v>
      </c>
      <c r="I1200" s="6" t="str">
        <v>4H9237</v>
      </c>
      <c r="J1200" s="6" t="str">
        <v>Kustomer Inc</v>
      </c>
      <c r="K1200" s="6" t="str">
        <v>Kustomer Inc</v>
      </c>
      <c r="L1200" s="7">
        <f>=DATE(2022,2,16)</f>
        <v>44607.99949074074</v>
      </c>
      <c r="M1200" s="7">
        <f>=DATE(2022,2,16)</f>
        <v>44607.99949074074</v>
      </c>
      <c r="W1200" s="6" t="str">
        <v>Internet Services &amp; Software</v>
      </c>
      <c r="X1200" s="6" t="str">
        <v>Other Software (inq. Games);Applications Software(Business;Operating Systems;Primary Business not Hi-Tech;Applications Software(Home);Communication/Network Software;Data Commun(Exclude networking;Utilities/File Mgmt Software;CAD/CAM/CAE/Graphics Systems;Desktop Publishing;Internet Services &amp; Software;Workstations;Computer Consulting Services;Turnkey Systems;Other Computer Related Svcs;Networking Systems (LAN,WAN);Other Computer Systems</v>
      </c>
      <c r="Y1200" s="6" t="str">
        <v>Communication/Network Software;Internet Services &amp; Software;Operating Systems;Applications Software(Home);Other Computer Systems;Desktop Publishing;CAD/CAM/CAE/Graphics Systems;Primary Business not Hi-Tech;Turnkey Systems;Workstations;Other Software (inq. Games);Other Computer Related Svcs;Data Commun(Exclude networking;Computer Consulting Services;Utilities/File Mgmt Software;Applications Software(Business;Networking Systems (LAN,WAN)</v>
      </c>
      <c r="Z1200" s="6" t="str">
        <v>Utilities/File Mgmt Software;Other Software (inq. Games);Primary Business not Hi-Tech;Communication/Network Software;Applications Software(Home);Operating Systems;Other Computer Related Svcs;Data Commun(Exclude networking;Workstations;Internet Services &amp; Software;Other Computer Systems;CAD/CAM/CAE/Graphics Systems;Networking Systems (LAN,WAN);Applications Software(Business;Turnkey Systems;Desktop Publishing;Computer Consulting Services</v>
      </c>
      <c r="AA1200" s="6" t="str">
        <v>Internet Services &amp; Software</v>
      </c>
      <c r="AB1200" s="6" t="str">
        <v>Internet Services &amp; Software</v>
      </c>
      <c r="AD1200" s="7">
        <f>=DATE(2020,11,30)</f>
        <v>44164.99949074074</v>
      </c>
    </row>
    <row r="1201">
      <c r="A1201" s="6" t="str">
        <v>53578A</v>
      </c>
      <c r="B1201" s="6" t="str">
        <v>United States</v>
      </c>
      <c r="C1201" s="6" t="str">
        <v>LinkedIn Corp</v>
      </c>
      <c r="D1201" s="6" t="str">
        <v>Microsoft Corp</v>
      </c>
      <c r="F1201" s="6" t="str">
        <v>Israel</v>
      </c>
      <c r="G1201" s="6" t="str">
        <v>Oribi Ltd</v>
      </c>
      <c r="H1201" s="6" t="str">
        <v>Business Services</v>
      </c>
      <c r="I1201" s="6" t="str">
        <v>3L8164</v>
      </c>
      <c r="J1201" s="6" t="str">
        <v>Oribi Ltd</v>
      </c>
      <c r="K1201" s="6" t="str">
        <v>Oribi Ltd</v>
      </c>
      <c r="L1201" s="7">
        <f>=DATE(2022,2,28)</f>
        <v>44619.99949074074</v>
      </c>
      <c r="M1201" s="7">
        <f>=DATE(2022,2,28)</f>
        <v>44619.99949074074</v>
      </c>
      <c r="W1201" s="6" t="str">
        <v>Internet Services &amp; Software</v>
      </c>
      <c r="X1201" s="6" t="str">
        <v>Data Processing Services;Other Software (inq. Games);Computer Consulting Services;Other Computer Related Svcs</v>
      </c>
      <c r="Y1201" s="6" t="str">
        <v>Computer Consulting Services;Data Processing Services;Other Computer Related Svcs;Other Software (inq. Games)</v>
      </c>
      <c r="Z1201" s="6" t="str">
        <v>Other Computer Related Svcs;Other Software (inq. Games);Computer Consulting Services;Data Processing Services</v>
      </c>
      <c r="AA1201" s="6" t="str">
        <v>Operating Systems;Computer Consulting Services;Applications Software(Business;Monitors/Terminals;Internet Services &amp; Software;Other Peripherals</v>
      </c>
      <c r="AB1201" s="6" t="str">
        <v>Applications Software(Business;Internet Services &amp; Software;Computer Consulting Services;Monitors/Terminals;Other Peripherals;Operating Systems</v>
      </c>
      <c r="AD1201" s="7">
        <f>=DATE(2022,2,28)</f>
        <v>44619.99949074074</v>
      </c>
    </row>
    <row r="1202">
      <c r="A1202" s="6" t="str">
        <v>7J8440</v>
      </c>
      <c r="B1202" s="6" t="str">
        <v>United States</v>
      </c>
      <c r="C1202" s="6" t="str">
        <v>Google LLC</v>
      </c>
      <c r="D1202" s="6" t="str">
        <v>Alphabet Inc</v>
      </c>
      <c r="F1202" s="6" t="str">
        <v>United States</v>
      </c>
      <c r="G1202" s="6" t="str">
        <v>Mandiant Inc</v>
      </c>
      <c r="H1202" s="6" t="str">
        <v>Prepackaged Software</v>
      </c>
      <c r="I1202" s="6" t="str">
        <v>562662</v>
      </c>
      <c r="J1202" s="6" t="str">
        <v>Mandiant Inc</v>
      </c>
      <c r="K1202" s="6" t="str">
        <v>Mandiant Inc</v>
      </c>
      <c r="L1202" s="7">
        <f>=DATE(2022,3,8)</f>
        <v>44627.99949074074</v>
      </c>
      <c r="M1202" s="7">
        <f>=DATE(2022,9,12)</f>
        <v>44815.99949074074</v>
      </c>
      <c r="N1202" s="8">
        <v>5914.604</v>
      </c>
      <c r="O1202" s="8">
        <v>5914.604</v>
      </c>
      <c r="P1202" s="8" t="str">
        <v>4,576.46</v>
      </c>
      <c r="R1202" s="8">
        <v>-412.1</v>
      </c>
      <c r="S1202" s="8">
        <v>483.455</v>
      </c>
      <c r="T1202" s="8">
        <v>-273.393</v>
      </c>
      <c r="U1202" s="8">
        <v>705.752</v>
      </c>
      <c r="V1202" s="8">
        <v>-62.389</v>
      </c>
      <c r="W1202" s="6" t="str">
        <v>Internet Services &amp; Software;Programming Services</v>
      </c>
      <c r="X1202" s="6" t="str">
        <v>Applications Software(Business;Other Peripherals</v>
      </c>
      <c r="Y1202" s="6" t="str">
        <v>Other Peripherals;Applications Software(Business</v>
      </c>
      <c r="Z1202" s="6" t="str">
        <v>Other Peripherals;Applications Software(Business</v>
      </c>
      <c r="AA1202" s="6" t="str">
        <v>Computer Consulting Services;Telecommunications Equipment;Internet Services &amp; Software;Programming Services;Primary Business not Hi-Tech</v>
      </c>
      <c r="AB1202" s="6" t="str">
        <v>Programming Services;Telecommunications Equipment;Internet Services &amp; Software;Primary Business not Hi-Tech;Computer Consulting Services</v>
      </c>
      <c r="AC1202" s="8">
        <v>5914.604</v>
      </c>
      <c r="AD1202" s="7">
        <f>=DATE(2022,3,8)</f>
        <v>44627.99949074074</v>
      </c>
      <c r="AE1202" s="8">
        <v>5926.729125</v>
      </c>
      <c r="AF1202" s="8" t="str">
        <v>4,637.92</v>
      </c>
      <c r="AG1202" s="8" t="str">
        <v>4,576.46</v>
      </c>
      <c r="AH1202" s="8" t="str">
        <v>5,343.59</v>
      </c>
      <c r="AI1202" s="8" t="str">
        <v>5,405.04</v>
      </c>
      <c r="AJ1202" s="8" t="str">
        <v>;26.77</v>
      </c>
      <c r="AK1202" s="6" t="str">
        <v>US Dollar;US Dollar;US Dollar;US Dollar</v>
      </c>
      <c r="AL1202" s="8">
        <v>5914.604</v>
      </c>
    </row>
    <row r="1203">
      <c r="A1203" s="6" t="str">
        <v>53578A</v>
      </c>
      <c r="B1203" s="6" t="str">
        <v>United States</v>
      </c>
      <c r="C1203" s="6" t="str">
        <v>LinkedIn Corp</v>
      </c>
      <c r="D1203" s="6" t="str">
        <v>Microsoft Corp</v>
      </c>
      <c r="F1203" s="6" t="str">
        <v>Canada</v>
      </c>
      <c r="G1203" s="6" t="str">
        <v>Paddle Inc</v>
      </c>
      <c r="H1203" s="6" t="str">
        <v>Prepackaged Software</v>
      </c>
      <c r="I1203" s="6" t="str">
        <v>5M3945</v>
      </c>
      <c r="J1203" s="6" t="str">
        <v>Paddle Inc</v>
      </c>
      <c r="K1203" s="6" t="str">
        <v>Paddle Inc</v>
      </c>
      <c r="L1203" s="7">
        <f>=DATE(2022,3,29)</f>
        <v>44648.99949074074</v>
      </c>
      <c r="M1203" s="7">
        <f>=DATE(2022,3,29)</f>
        <v>44648.99949074074</v>
      </c>
      <c r="W1203" s="6" t="str">
        <v>Internet Services &amp; Software</v>
      </c>
      <c r="X1203" s="6" t="str">
        <v>Other Software (inq. Games)</v>
      </c>
      <c r="Y1203" s="6" t="str">
        <v>Other Software (inq. Games)</v>
      </c>
      <c r="Z1203" s="6" t="str">
        <v>Other Software (inq. Games)</v>
      </c>
      <c r="AA1203" s="6" t="str">
        <v>Monitors/Terminals;Other Peripherals;Operating Systems;Computer Consulting Services;Applications Software(Business;Internet Services &amp; Software</v>
      </c>
      <c r="AB1203" s="6" t="str">
        <v>Internet Services &amp; Software;Monitors/Terminals;Other Peripherals;Operating Systems;Applications Software(Business;Computer Consulting Services</v>
      </c>
    </row>
    <row r="1204">
      <c r="A1204" s="6" t="str">
        <v>594918</v>
      </c>
      <c r="B1204" s="6" t="str">
        <v>United States</v>
      </c>
      <c r="C1204" s="6" t="str">
        <v>Microsoft Corp</v>
      </c>
      <c r="D1204" s="6" t="str">
        <v>Microsoft Corp</v>
      </c>
      <c r="F1204" s="6" t="str">
        <v>Slovakia</v>
      </c>
      <c r="G1204" s="6" t="str">
        <v>Minit jsa</v>
      </c>
      <c r="H1204" s="6" t="str">
        <v>Prepackaged Software</v>
      </c>
      <c r="I1204" s="6" t="str">
        <v>0M5423</v>
      </c>
      <c r="J1204" s="6" t="str">
        <v>Minit jsa</v>
      </c>
      <c r="K1204" s="6" t="str">
        <v>Minit jsa</v>
      </c>
      <c r="L1204" s="7">
        <f>=DATE(2022,3,31)</f>
        <v>44650.99949074074</v>
      </c>
      <c r="M1204" s="7">
        <f>=DATE(2022,3,31)</f>
        <v>44650.99949074074</v>
      </c>
      <c r="R1204" s="8">
        <v>-4.58131550826456</v>
      </c>
      <c r="S1204" s="8">
        <v>0.984471272991838</v>
      </c>
      <c r="W1204" s="6" t="str">
        <v>Operating Systems;Other Peripherals;Internet Services &amp; Software;Monitors/Terminals;Computer Consulting Services;Applications Software(Business</v>
      </c>
      <c r="X1204" s="6" t="str">
        <v>Computer Consulting Services;Other Software (inq. Games);Other Computer Related Svcs</v>
      </c>
      <c r="Y1204" s="6" t="str">
        <v>Computer Consulting Services;Other Computer Related Svcs;Other Software (inq. Games)</v>
      </c>
      <c r="Z1204" s="6" t="str">
        <v>Computer Consulting Services;Other Computer Related Svcs;Other Software (inq. Games)</v>
      </c>
      <c r="AA1204" s="6" t="str">
        <v>Operating Systems;Computer Consulting Services;Other Peripherals;Applications Software(Business;Monitors/Terminals;Internet Services &amp; Software</v>
      </c>
      <c r="AB1204" s="6" t="str">
        <v>Computer Consulting Services;Operating Systems;Applications Software(Business;Monitors/Terminals;Internet Services &amp; Software;Other Peripherals</v>
      </c>
    </row>
    <row r="1205">
      <c r="A1205" s="6" t="str">
        <v>30303M</v>
      </c>
      <c r="B1205" s="6" t="str">
        <v>United States</v>
      </c>
      <c r="C1205" s="6" t="str">
        <v>Meta Platforms Inc</v>
      </c>
      <c r="D1205" s="6" t="str">
        <v>Meta Platforms Inc</v>
      </c>
      <c r="F1205" s="6" t="str">
        <v>Germany</v>
      </c>
      <c r="G1205" s="6" t="str">
        <v>Presize GmbH</v>
      </c>
      <c r="H1205" s="6" t="str">
        <v>Business Services</v>
      </c>
      <c r="I1205" s="6" t="str">
        <v>6K8826</v>
      </c>
      <c r="J1205" s="6" t="str">
        <v>Presize GmbH</v>
      </c>
      <c r="K1205" s="6" t="str">
        <v>Presize GmbH</v>
      </c>
      <c r="L1205" s="7">
        <f>=DATE(2022,4,13)</f>
        <v>44663.99949074074</v>
      </c>
      <c r="W1205" s="6" t="str">
        <v>Internet Services &amp; Software</v>
      </c>
      <c r="X1205" s="6" t="str">
        <v>Primary Business not Hi-Tech;Programming Services;Database Software/Programming</v>
      </c>
      <c r="Y1205" s="6" t="str">
        <v>Database Software/Programming;Primary Business not Hi-Tech;Programming Services</v>
      </c>
      <c r="Z1205" s="6" t="str">
        <v>Database Software/Programming;Programming Services;Primary Business not Hi-Tech</v>
      </c>
      <c r="AA1205" s="6" t="str">
        <v>Internet Services &amp; Software</v>
      </c>
      <c r="AB1205" s="6" t="str">
        <v>Internet Services &amp; Software</v>
      </c>
    </row>
    <row r="1206">
      <c r="A1206" s="6" t="str">
        <v>6M0301</v>
      </c>
      <c r="B1206" s="6" t="str">
        <v>United States</v>
      </c>
      <c r="C1206" s="6" t="str">
        <v>Amazon Industrial Innovation Fund</v>
      </c>
      <c r="D1206" s="6" t="str">
        <v>Amazon.com Inc</v>
      </c>
      <c r="F1206" s="6" t="str">
        <v>United States</v>
      </c>
      <c r="G1206" s="6" t="str">
        <v>Mantis Robotics Inc</v>
      </c>
      <c r="H1206" s="6" t="str">
        <v>Business Services</v>
      </c>
      <c r="I1206" s="6" t="str">
        <v>0N1758</v>
      </c>
      <c r="J1206" s="6" t="str">
        <v>Mantis Robotics Inc</v>
      </c>
      <c r="K1206" s="6" t="str">
        <v>Mantis Robotics Inc</v>
      </c>
      <c r="L1206" s="7">
        <f>=DATE(2022,4,21)</f>
        <v>44671.99949074074</v>
      </c>
      <c r="M1206" s="7">
        <f>=DATE(2022,4,21)</f>
        <v>44671.99949074074</v>
      </c>
      <c r="W1206" s="6" t="str">
        <v>Primary Business not Hi-Tech</v>
      </c>
      <c r="X1206" s="6" t="str">
        <v>Database Software/Programming;Programming Services</v>
      </c>
      <c r="Y1206" s="6" t="str">
        <v>Database Software/Programming;Programming Services</v>
      </c>
      <c r="Z1206" s="6" t="str">
        <v>Programming Services;Database Software/Programming</v>
      </c>
      <c r="AA1206" s="6" t="str">
        <v>Primary Business not Hi-Tech</v>
      </c>
      <c r="AB1206" s="6" t="str">
        <v>Primary Business not Hi-Tech</v>
      </c>
    </row>
    <row r="1207">
      <c r="A1207" s="6" t="str">
        <v>7J8440</v>
      </c>
      <c r="B1207" s="6" t="str">
        <v>United States</v>
      </c>
      <c r="C1207" s="6" t="str">
        <v>Google LLC</v>
      </c>
      <c r="D1207" s="6" t="str">
        <v>Alphabet Inc</v>
      </c>
      <c r="F1207" s="6" t="str">
        <v>United States</v>
      </c>
      <c r="G1207" s="6" t="str">
        <v>Raxium Inc</v>
      </c>
      <c r="H1207" s="6" t="str">
        <v>Electronic and Electrical Equipment</v>
      </c>
      <c r="I1207" s="6" t="str">
        <v>6M4704</v>
      </c>
      <c r="J1207" s="6" t="str">
        <v>Raxium Inc</v>
      </c>
      <c r="K1207" s="6" t="str">
        <v>Raxium Inc</v>
      </c>
      <c r="L1207" s="7">
        <f>=DATE(2022,5,4)</f>
        <v>44684.99949074074</v>
      </c>
      <c r="M1207" s="7">
        <f>=DATE(2022,5,4)</f>
        <v>44684.99949074074</v>
      </c>
      <c r="W1207" s="6" t="str">
        <v>Internet Services &amp; Software;Programming Services</v>
      </c>
      <c r="X1207" s="6" t="str">
        <v>Semiconductors;Other Electronics</v>
      </c>
      <c r="Y1207" s="6" t="str">
        <v>Semiconductors;Other Electronics</v>
      </c>
      <c r="Z1207" s="6" t="str">
        <v>Semiconductors;Other Electronics</v>
      </c>
      <c r="AA1207" s="6" t="str">
        <v>Programming Services;Telecommunications Equipment;Internet Services &amp; Software;Computer Consulting Services;Primary Business not Hi-Tech</v>
      </c>
      <c r="AB1207" s="6" t="str">
        <v>Computer Consulting Services;Primary Business not Hi-Tech;Programming Services;Internet Services &amp; Software;Telecommunications Equipment</v>
      </c>
      <c r="AD1207" s="7">
        <f>=DATE(2022,5,4)</f>
        <v>44684.99949074074</v>
      </c>
    </row>
    <row r="1208">
      <c r="A1208" s="6" t="str">
        <v>7J8440</v>
      </c>
      <c r="B1208" s="6" t="str">
        <v>United States</v>
      </c>
      <c r="C1208" s="6" t="str">
        <v>Google LLC</v>
      </c>
      <c r="D1208" s="6" t="str">
        <v>Alphabet Inc</v>
      </c>
      <c r="F1208" s="6" t="str">
        <v>Sweden</v>
      </c>
      <c r="G1208" s="6" t="str">
        <v>Foreseeti AB</v>
      </c>
      <c r="H1208" s="6" t="str">
        <v>Prepackaged Software</v>
      </c>
      <c r="I1208" s="6" t="str">
        <v>6M6017</v>
      </c>
      <c r="J1208" s="6" t="str">
        <v>Foreseeti AB</v>
      </c>
      <c r="K1208" s="6" t="str">
        <v>Foreseeti AB</v>
      </c>
      <c r="L1208" s="7">
        <f>=DATE(2022,5,16)</f>
        <v>44696.99949074074</v>
      </c>
      <c r="M1208" s="7">
        <f>=DATE(2022,5,16)</f>
        <v>44696.99949074074</v>
      </c>
      <c r="R1208" s="8">
        <v>-1.28440569961944</v>
      </c>
      <c r="S1208" s="8">
        <v>1.25564209222055</v>
      </c>
      <c r="W1208" s="6" t="str">
        <v>Programming Services;Internet Services &amp; Software</v>
      </c>
      <c r="X1208" s="6" t="str">
        <v>Other Software (inq. Games);Computer Consulting Services;Data Commun(Exclude networking;Programming Services;Utilities/File Mgmt Software;Networking Systems (LAN,WAN);Other Computer Related Svcs;Workstations;Internet Services &amp; Software;Turnkey Systems;Desktop Publishing;Applications Software(Home);Applications Software(Business;Communication/Network Software;Operating Systems;Database Software/Programming;Other Computer Systems;CAD/CAM/CAE/Graphics Systems</v>
      </c>
      <c r="Y1208" s="6" t="str">
        <v>Database Software/Programming;Programming Services;Networking Systems (LAN,WAN);Data Commun(Exclude networking;Turnkey Systems;Computer Consulting Services;Desktop Publishing;Applications Software(Home);Applications Software(Business;CAD/CAM/CAE/Graphics Systems;Workstations;Communication/Network Software;Other Computer Systems;Other Computer Related Svcs;Internet Services &amp; Software;Utilities/File Mgmt Software;Other Software (inq. Games);Operating Systems</v>
      </c>
      <c r="Z1208" s="6" t="str">
        <v>Turnkey Systems;Data Commun(Exclude networking;CAD/CAM/CAE/Graphics Systems;Other Computer Systems;Internet Services &amp; Software;Other Computer Related Svcs;Desktop Publishing;Programming Services;Networking Systems (LAN,WAN);Communication/Network Software;Database Software/Programming;Other Software (inq. Games);Operating Systems;Applications Software(Business;Computer Consulting Services;Workstations;Utilities/File Mgmt Software;Applications Software(Home)</v>
      </c>
      <c r="AA1208" s="6" t="str">
        <v>Telecommunications Equipment;Primary Business not Hi-Tech;Internet Services &amp; Software;Programming Services;Computer Consulting Services</v>
      </c>
      <c r="AB1208" s="6" t="str">
        <v>Telecommunications Equipment;Internet Services &amp; Software;Programming Services;Primary Business not Hi-Tech;Computer Consulting Services</v>
      </c>
    </row>
    <row r="1209">
      <c r="A1209" s="6" t="str">
        <v>01864J</v>
      </c>
      <c r="B1209" s="6" t="str">
        <v>United States</v>
      </c>
      <c r="C1209" s="6" t="str">
        <v>Avanade Inc</v>
      </c>
      <c r="D1209" s="6" t="str">
        <v>Accenture PLC</v>
      </c>
      <c r="F1209" s="6" t="str">
        <v>Spain</v>
      </c>
      <c r="G1209" s="6" t="str">
        <v>Kabel Sistemas de Informacion SL</v>
      </c>
      <c r="H1209" s="6" t="str">
        <v>Prepackaged Software</v>
      </c>
      <c r="I1209" s="6" t="str">
        <v>6M9914</v>
      </c>
      <c r="J1209" s="6" t="str">
        <v>Kabel Sistemas de Informacion SL</v>
      </c>
      <c r="K1209" s="6" t="str">
        <v>Kabel Sistemas de Informacion SL</v>
      </c>
      <c r="L1209" s="7">
        <f>=DATE(2022,5,27)</f>
        <v>44707.99949074074</v>
      </c>
      <c r="M1209" s="7">
        <f>=DATE(2022,5,27)</f>
        <v>44707.99949074074</v>
      </c>
      <c r="R1209" s="8">
        <v>1.32210172111952</v>
      </c>
      <c r="S1209" s="8">
        <v>18.5014664756838</v>
      </c>
      <c r="W1209" s="6" t="str">
        <v>Other Software (inq. Games);Computer Consulting Services;Other Computer Related Svcs</v>
      </c>
      <c r="X1209" s="6" t="str">
        <v>Internet Services &amp; Software;Utilities/File Mgmt Software;Desktop Publishing;Other Software (inq. Games);Applications Software(Home);Applications Software(Business;Communication/Network Software</v>
      </c>
      <c r="Y1209" s="6" t="str">
        <v>Utilities/File Mgmt Software;Other Software (inq. Games);Communication/Network Software;Desktop Publishing;Internet Services &amp; Software;Applications Software(Home);Applications Software(Business</v>
      </c>
      <c r="Z1209" s="6" t="str">
        <v>Utilities/File Mgmt Software;Communication/Network Software;Internet Services &amp; Software;Other Software (inq. Games);Desktop Publishing;Applications Software(Business;Applications Software(Home)</v>
      </c>
      <c r="AA1209" s="6" t="str">
        <v>Other Computer Related Svcs;Utilities/File Mgmt Software;Operating Systems;Computer Consulting Services;Turnkey Systems;Primary Business not Hi-Tech;CAD/CAM/CAE/Graphics Systems;Other Software (inq. Games);Workstations;Data Processing Services;Communication/Network Software;Desktop Publishing;Applications Software(Home);Applications Software(Business;Data Commun(Exclude networking;Other Computer Systems;Networking Systems (LAN,WAN);Internet Services &amp; Software</v>
      </c>
      <c r="AB1209" s="6" t="str">
        <v>Data Processing Services;Workstations;Other Software (inq. Games);Other Computer Related Svcs;Computer Consulting Services;Applications Software(Home);Desktop Publishing;Applications Software(Business;Operating Systems;Communication/Network Software;Networking Systems (LAN,WAN);Utilities/File Mgmt Software;Other Computer Systems;CAD/CAM/CAE/Graphics Systems;Internet Services &amp; Software;Primary Business not Hi-Tech;Turnkey Systems;Data Commun(Exclude networking</v>
      </c>
    </row>
    <row r="1210">
      <c r="A1210" s="6" t="str">
        <v>09362H</v>
      </c>
      <c r="B1210" s="6" t="str">
        <v>United States</v>
      </c>
      <c r="C1210" s="6" t="str">
        <v>Blizzard Entertainment Inc</v>
      </c>
      <c r="D1210" s="6" t="str">
        <v>Activision Blizzard Inc</v>
      </c>
      <c r="F1210" s="6" t="str">
        <v>United States</v>
      </c>
      <c r="G1210" s="6" t="str">
        <v>Proletariat Inc</v>
      </c>
      <c r="H1210" s="6" t="str">
        <v>Prepackaged Software</v>
      </c>
      <c r="I1210" s="6" t="str">
        <v>8K6753</v>
      </c>
      <c r="J1210" s="6" t="str">
        <v>Proletariat Inc</v>
      </c>
      <c r="K1210" s="6" t="str">
        <v>Proletariat Inc</v>
      </c>
      <c r="L1210" s="7">
        <f>=DATE(2022,7,1)</f>
        <v>44742.99949074074</v>
      </c>
      <c r="M1210" s="7">
        <f>=DATE(2022,7,1)</f>
        <v>44742.99949074074</v>
      </c>
      <c r="W1210" s="6" t="str">
        <v>Other Software (inq. Games)</v>
      </c>
      <c r="X1210" s="6" t="str">
        <v>Internet Services &amp; Software;Desktop Publishing;Communication/Network Software;Applications Software(Business;Utilities/File Mgmt Software;Other Software (inq. Games);Applications Software(Home)</v>
      </c>
      <c r="Y1210" s="6" t="str">
        <v>Applications Software(Business;Internet Services &amp; Software;Applications Software(Home);Utilities/File Mgmt Software;Other Software (inq. Games);Desktop Publishing;Communication/Network Software</v>
      </c>
      <c r="Z1210" s="6" t="str">
        <v>Other Software (inq. Games);Desktop Publishing;Applications Software(Home);Utilities/File Mgmt Software;Internet Services &amp; Software;Communication/Network Software;Applications Software(Business</v>
      </c>
      <c r="AA1210" s="6" t="str">
        <v>Operating Systems;Other Software (inq. Games);Other Computer Systems</v>
      </c>
      <c r="AB1210" s="6" t="str">
        <v>Operating Systems;Other Computer Systems;Other Software (inq. Games)</v>
      </c>
    </row>
    <row r="1211">
      <c r="A1211" s="6" t="str">
        <v>023135</v>
      </c>
      <c r="B1211" s="6" t="str">
        <v>United States</v>
      </c>
      <c r="C1211" s="6" t="str">
        <v>Amazon.com Inc</v>
      </c>
      <c r="D1211" s="6" t="str">
        <v>Amazon.com Inc</v>
      </c>
      <c r="F1211" s="6" t="str">
        <v>United States</v>
      </c>
      <c r="G1211" s="6" t="str">
        <v>Grubhub Inc</v>
      </c>
      <c r="H1211" s="6" t="str">
        <v>Business Services</v>
      </c>
      <c r="I1211" s="6" t="str">
        <v>400110</v>
      </c>
      <c r="J1211" s="6" t="str">
        <v>Just Eat Takeaway.com NV</v>
      </c>
      <c r="K1211" s="6" t="str">
        <v>Just Eat Takeaway.com NV</v>
      </c>
      <c r="L1211" s="7">
        <f>=DATE(2022,7,6)</f>
        <v>44747.99949074074</v>
      </c>
      <c r="W1211" s="6" t="str">
        <v>Primary Business not Hi-Tech</v>
      </c>
      <c r="X1211" s="6" t="str">
        <v>Other Computer Related Svcs;Utilities/File Mgmt Software;Other Software (inq. Games);Networking Systems (LAN,WAN);Primary Business not Hi-Tech;Applications Software(Business;Applications Software(Home);Database Software/Programming;Computer Consulting Services;Communication/Network Software;Desktop Publishing;Internet Services &amp; Software</v>
      </c>
      <c r="Y1211" s="6" t="str">
        <v>Communication/Network Software;Primary Business not Hi-Tech;Applications Software(Business;Desktop Publishing;Applications Software(Home);Networking Systems (LAN,WAN);Other Software (inq. Games);Internet Services &amp; Software;Computer Consulting Services;Utilities/File Mgmt Software;Other Computer Related Svcs</v>
      </c>
      <c r="Z1211" s="6" t="str">
        <v>Other Software (inq. Games);Desktop Publishing;Primary Business not Hi-Tech;Applications Software(Home);Applications Software(Business;Other Computer Related Svcs;Internet Services &amp; Software;Communication/Network Software;Utilities/File Mgmt Software;Computer Consulting Services;Networking Systems (LAN,WAN)</v>
      </c>
      <c r="AA1211" s="6" t="str">
        <v>Primary Business not Hi-Tech</v>
      </c>
      <c r="AB1211" s="6" t="str">
        <v>Primary Business not Hi-Tech</v>
      </c>
      <c r="AD1211" s="7">
        <f>=DATE(2022,7,6)</f>
        <v>44747.99949074074</v>
      </c>
    </row>
    <row r="1212">
      <c r="A1212" s="6" t="str">
        <v>4K2733</v>
      </c>
      <c r="B1212" s="6" t="str">
        <v>United States</v>
      </c>
      <c r="C1212" s="6" t="str">
        <v>Google International LLC</v>
      </c>
      <c r="D1212" s="6" t="str">
        <v>Alphabet Inc</v>
      </c>
      <c r="F1212" s="6" t="str">
        <v>Singapore</v>
      </c>
      <c r="G1212" s="6" t="str">
        <v>Twid Pay Global Pte Ltd</v>
      </c>
      <c r="H1212" s="6" t="str">
        <v>Prepackaged Software</v>
      </c>
      <c r="I1212" s="6" t="str">
        <v>9M0958</v>
      </c>
      <c r="J1212" s="6" t="str">
        <v>Twid Pay Global Pte Ltd</v>
      </c>
      <c r="K1212" s="6" t="str">
        <v>Twid Pay Global Pte Ltd</v>
      </c>
      <c r="L1212" s="7">
        <f>=DATE(2022,7,7)</f>
        <v>44748.99949074074</v>
      </c>
      <c r="M1212" s="7">
        <f>=DATE(2022,7,7)</f>
        <v>44748.99949074074</v>
      </c>
      <c r="N1212" s="8">
        <v>2.5</v>
      </c>
      <c r="O1212" s="8">
        <v>2.5</v>
      </c>
      <c r="S1212" s="8">
        <v>0.558754059639799</v>
      </c>
      <c r="W1212" s="6" t="str">
        <v>Internet Services &amp; Software</v>
      </c>
      <c r="X1212" s="6" t="str">
        <v>Internet Services &amp; Software;Other Software (inq. Games)</v>
      </c>
      <c r="Y1212" s="6" t="str">
        <v>Other Software (inq. Games);Internet Services &amp; Software</v>
      </c>
      <c r="Z1212" s="6" t="str">
        <v>Internet Services &amp; Software;Other Software (inq. Games)</v>
      </c>
      <c r="AA1212" s="6" t="str">
        <v>Programming Services;Internet Services &amp; Software</v>
      </c>
      <c r="AB1212" s="6" t="str">
        <v>Internet Services &amp; Software;Computer Consulting Services;Programming Services;Primary Business not Hi-Tech;Telecommunications Equipment</v>
      </c>
      <c r="AC1212" s="8">
        <v>2.5</v>
      </c>
      <c r="AD1212" s="7">
        <f>=DATE(2022,7,7)</f>
        <v>44748.99949074074</v>
      </c>
      <c r="AL1212" s="8">
        <v>2.5</v>
      </c>
    </row>
    <row r="1213">
      <c r="A1213" s="6" t="str">
        <v>023135</v>
      </c>
      <c r="B1213" s="6" t="str">
        <v>United States</v>
      </c>
      <c r="C1213" s="6" t="str">
        <v>Amazon.com Inc</v>
      </c>
      <c r="D1213" s="6" t="str">
        <v>Amazon.com Inc</v>
      </c>
      <c r="F1213" s="6" t="str">
        <v>United States</v>
      </c>
      <c r="G1213" s="6" t="str">
        <v>iRobot Corp</v>
      </c>
      <c r="H1213" s="6" t="str">
        <v>Electronic and Electrical Equipment</v>
      </c>
      <c r="I1213" s="6" t="str">
        <v>462726</v>
      </c>
      <c r="J1213" s="6" t="str">
        <v>iRobot Corp</v>
      </c>
      <c r="K1213" s="6" t="str">
        <v>iRobot Corp</v>
      </c>
      <c r="L1213" s="7">
        <f>=DATE(2022,8,5)</f>
        <v>44777.99949074074</v>
      </c>
      <c r="N1213" s="8">
        <v>1487.13</v>
      </c>
      <c r="O1213" s="8">
        <v>1487.13</v>
      </c>
      <c r="P1213" s="8" t="str">
        <v>1,375.71</v>
      </c>
      <c r="R1213" s="8">
        <v>-374.38</v>
      </c>
      <c r="S1213" s="8">
        <v>1032.923</v>
      </c>
      <c r="T1213" s="8">
        <v>-35.353</v>
      </c>
      <c r="U1213" s="8">
        <v>-9.823</v>
      </c>
      <c r="V1213" s="8">
        <v>38.38</v>
      </c>
      <c r="W1213" s="6" t="str">
        <v>Primary Business not Hi-Tech</v>
      </c>
      <c r="X1213" s="6" t="str">
        <v>Robotics</v>
      </c>
      <c r="Y1213" s="6" t="str">
        <v>Robotics</v>
      </c>
      <c r="Z1213" s="6" t="str">
        <v>Robotics</v>
      </c>
      <c r="AA1213" s="6" t="str">
        <v>Primary Business not Hi-Tech</v>
      </c>
      <c r="AB1213" s="6" t="str">
        <v>Primary Business not Hi-Tech</v>
      </c>
      <c r="AC1213" s="8">
        <v>1487.13</v>
      </c>
      <c r="AD1213" s="7">
        <f>=DATE(2023,7,25)</f>
        <v>45131.99949074074</v>
      </c>
      <c r="AE1213" s="8">
        <v>1487.13017625</v>
      </c>
      <c r="AF1213" s="8" t="str">
        <v>1,429.58</v>
      </c>
      <c r="AI1213" s="8" t="str">
        <v>1,487.13</v>
      </c>
      <c r="AK1213" s="6" t="str">
        <v>US Dollar;US Dollar;US Dollar</v>
      </c>
      <c r="AL1213" s="8">
        <v>1487.13</v>
      </c>
    </row>
    <row r="1214">
      <c r="A1214" s="6" t="str">
        <v>023135</v>
      </c>
      <c r="B1214" s="6" t="str">
        <v>United States</v>
      </c>
      <c r="C1214" s="6" t="str">
        <v>Amazon.com Inc</v>
      </c>
      <c r="D1214" s="6" t="str">
        <v>Amazon.com Inc</v>
      </c>
      <c r="F1214" s="6" t="str">
        <v>India</v>
      </c>
      <c r="G1214" s="6" t="str">
        <v>Ecom Express Ltd</v>
      </c>
      <c r="H1214" s="6" t="str">
        <v>Transportation and Shipping (except air)</v>
      </c>
      <c r="I1214" s="6" t="str">
        <v>6Q6174</v>
      </c>
      <c r="J1214" s="6" t="str">
        <v>Ecom Express Ltd</v>
      </c>
      <c r="K1214" s="6" t="str">
        <v>Ecom Express Ltd</v>
      </c>
      <c r="L1214" s="7">
        <f>=DATE(2022,8,8)</f>
        <v>44780.99949074074</v>
      </c>
      <c r="R1214" s="8">
        <v>-12.0411349461275</v>
      </c>
      <c r="S1214" s="8">
        <v>280.276977763256</v>
      </c>
      <c r="T1214" s="8">
        <v>28.823513137</v>
      </c>
      <c r="U1214" s="8">
        <v>-7.89463699</v>
      </c>
      <c r="V1214" s="8">
        <v>-5.934185667</v>
      </c>
      <c r="W1214" s="6" t="str">
        <v>Primary Business not Hi-Tech</v>
      </c>
      <c r="X1214" s="6" t="str">
        <v>Primary Business not Hi-Tech;Internet Services &amp; Software</v>
      </c>
      <c r="Y1214" s="6" t="str">
        <v>Internet Services &amp; Software;Primary Business not Hi-Tech</v>
      </c>
      <c r="Z1214" s="6" t="str">
        <v>Internet Services &amp; Software;Primary Business not Hi-Tech</v>
      </c>
      <c r="AA1214" s="6" t="str">
        <v>Primary Business not Hi-Tech</v>
      </c>
      <c r="AB1214" s="6" t="str">
        <v>Primary Business not Hi-Tech</v>
      </c>
      <c r="AD1214" s="7">
        <f>=DATE(2022,8,8)</f>
        <v>44780.99949074074</v>
      </c>
    </row>
    <row r="1215">
      <c r="A1215" s="6" t="str">
        <v>30303M</v>
      </c>
      <c r="B1215" s="6" t="str">
        <v>United States</v>
      </c>
      <c r="C1215" s="6" t="str">
        <v>Meta Platforms Inc</v>
      </c>
      <c r="D1215" s="6" t="str">
        <v>Meta Platforms Inc</v>
      </c>
      <c r="F1215" s="6" t="str">
        <v>Germany</v>
      </c>
      <c r="G1215" s="6" t="str">
        <v>Lofelt Gmbh</v>
      </c>
      <c r="H1215" s="6" t="str">
        <v>Prepackaged Software</v>
      </c>
      <c r="I1215" s="6" t="str">
        <v>9M7934</v>
      </c>
      <c r="J1215" s="6" t="str">
        <v>Lofelt Gmbh</v>
      </c>
      <c r="K1215" s="6" t="str">
        <v>Lofelt Gmbh</v>
      </c>
      <c r="L1215" s="7">
        <f>=DATE(2022,9,2)</f>
        <v>44805.99949074074</v>
      </c>
      <c r="M1215" s="7">
        <f>=DATE(2022,9,2)</f>
        <v>44805.99949074074</v>
      </c>
      <c r="W1215" s="6" t="str">
        <v>Internet Services &amp; Software</v>
      </c>
      <c r="X1215" s="6" t="str">
        <v>Utilities/File Mgmt Software;Applications Software(Home);Applications Software(Business;Communication/Network Software;Computer Consulting Services;Other Computer Related Svcs;Internet Services &amp; Software;Other Software (inq. Games);Desktop Publishing</v>
      </c>
      <c r="Y1215" s="6" t="str">
        <v>Internet Services &amp; Software;Applications Software(Business;Other Computer Related Svcs;Utilities/File Mgmt Software;Other Software (inq. Games);Communication/Network Software;Applications Software(Home);Desktop Publishing;Computer Consulting Services</v>
      </c>
      <c r="Z1215" s="6" t="str">
        <v>Internet Services &amp; Software;Utilities/File Mgmt Software;Other Software (inq. Games);Applications Software(Business;Desktop Publishing;Applications Software(Home);Communication/Network Software;Other Computer Related Svcs;Computer Consulting Services</v>
      </c>
      <c r="AA1215" s="6" t="str">
        <v>Internet Services &amp; Software</v>
      </c>
      <c r="AB1215" s="6" t="str">
        <v>Internet Services &amp; Software</v>
      </c>
    </row>
    <row r="1216">
      <c r="A1216" s="6" t="str">
        <v>023135</v>
      </c>
      <c r="B1216" s="6" t="str">
        <v>United States</v>
      </c>
      <c r="C1216" s="6" t="str">
        <v>Amazon.com Inc</v>
      </c>
      <c r="D1216" s="6" t="str">
        <v>Amazon.com Inc</v>
      </c>
      <c r="F1216" s="6" t="str">
        <v>Belgium</v>
      </c>
      <c r="G1216" s="6" t="str">
        <v>D. Cloostermans-Huwaert NV</v>
      </c>
      <c r="H1216" s="6" t="str">
        <v>Machinery</v>
      </c>
      <c r="I1216" s="6" t="str">
        <v>0N2071</v>
      </c>
      <c r="J1216" s="6" t="str">
        <v>D. Cloostermans-Huwaert NV</v>
      </c>
      <c r="K1216" s="6" t="str">
        <v>D. Cloostermans-Huwaert NV</v>
      </c>
      <c r="L1216" s="7">
        <f>=DATE(2022,9,9)</f>
        <v>44812.99949074074</v>
      </c>
      <c r="R1216" s="8">
        <v>0.014674744764261</v>
      </c>
      <c r="S1216" s="8">
        <v>40.3754638267542</v>
      </c>
      <c r="W1216" s="6" t="str">
        <v>Primary Business not Hi-Tech</v>
      </c>
      <c r="X1216" s="6" t="str">
        <v>Lab Equipment;Primary Business not Hi-Tech</v>
      </c>
      <c r="Y1216" s="6" t="str">
        <v>Lab Equipment;Primary Business not Hi-Tech</v>
      </c>
      <c r="Z1216" s="6" t="str">
        <v>Primary Business not Hi-Tech;Lab Equipment</v>
      </c>
      <c r="AA1216" s="6" t="str">
        <v>Primary Business not Hi-Tech</v>
      </c>
      <c r="AB1216" s="6" t="str">
        <v>Primary Business not Hi-Tech</v>
      </c>
    </row>
    <row r="1217">
      <c r="A1217" s="6" t="str">
        <v>30303M</v>
      </c>
      <c r="B1217" s="6" t="str">
        <v>United States</v>
      </c>
      <c r="C1217" s="6" t="str">
        <v>Meta Platforms Inc</v>
      </c>
      <c r="D1217" s="6" t="str">
        <v>Meta Platforms Inc</v>
      </c>
      <c r="F1217" s="6" t="str">
        <v>United States</v>
      </c>
      <c r="G1217" s="6" t="str">
        <v>Camouflaj</v>
      </c>
      <c r="H1217" s="6" t="str">
        <v>Prepackaged Software</v>
      </c>
      <c r="I1217" s="6" t="str">
        <v>2N4113</v>
      </c>
      <c r="J1217" s="6" t="str">
        <v>Camouflaj</v>
      </c>
      <c r="K1217" s="6" t="str">
        <v>Camouflaj</v>
      </c>
      <c r="L1217" s="7">
        <f>=DATE(2022,10,11)</f>
        <v>44844.99949074074</v>
      </c>
      <c r="M1217" s="7">
        <f>=DATE(2022,10,11)</f>
        <v>44844.99949074074</v>
      </c>
      <c r="W1217" s="6" t="str">
        <v>Internet Services &amp; Software</v>
      </c>
      <c r="X1217" s="6" t="str">
        <v>Other Software (inq. Games)</v>
      </c>
      <c r="Y1217" s="6" t="str">
        <v>Other Software (inq. Games)</v>
      </c>
      <c r="Z1217" s="6" t="str">
        <v>Other Software (inq. Games)</v>
      </c>
      <c r="AA1217" s="6" t="str">
        <v>Internet Services &amp; Software</v>
      </c>
      <c r="AB1217" s="6" t="str">
        <v>Internet Services &amp; Software</v>
      </c>
    </row>
    <row r="1218">
      <c r="A1218" s="6" t="str">
        <v>7J8440</v>
      </c>
      <c r="B1218" s="6" t="str">
        <v>United States</v>
      </c>
      <c r="C1218" s="6" t="str">
        <v>Google LLC</v>
      </c>
      <c r="D1218" s="6" t="str">
        <v>Alphabet Inc</v>
      </c>
      <c r="F1218" s="6" t="str">
        <v>United States</v>
      </c>
      <c r="G1218" s="6" t="str">
        <v>BrightBytes Inc</v>
      </c>
      <c r="H1218" s="6" t="str">
        <v>Prepackaged Software</v>
      </c>
      <c r="I1218" s="6" t="str">
        <v>6F4094</v>
      </c>
      <c r="J1218" s="6" t="str">
        <v>BrightBytes Inc</v>
      </c>
      <c r="K1218" s="6" t="str">
        <v>BrightBytes Inc</v>
      </c>
      <c r="L1218" s="7">
        <f>=DATE(2022,10,11)</f>
        <v>44844.99949074074</v>
      </c>
      <c r="M1218" s="7">
        <f>=DATE(2022,10,11)</f>
        <v>44844.99949074074</v>
      </c>
      <c r="W1218" s="6" t="str">
        <v>Internet Services &amp; Software;Programming Services</v>
      </c>
      <c r="X1218" s="6" t="str">
        <v>Communication/Network Software</v>
      </c>
      <c r="Y1218" s="6" t="str">
        <v>Communication/Network Software</v>
      </c>
      <c r="Z1218" s="6" t="str">
        <v>Communication/Network Software</v>
      </c>
      <c r="AA1218" s="6" t="str">
        <v>Internet Services &amp; Software;Telecommunications Equipment;Computer Consulting Services;Programming Services;Primary Business not Hi-Tech</v>
      </c>
      <c r="AB1218" s="6" t="str">
        <v>Computer Consulting Services;Primary Business not Hi-Tech;Internet Services &amp; Software;Telecommunications Equipment;Programming Services</v>
      </c>
    </row>
    <row r="1219">
      <c r="A1219" s="6" t="str">
        <v>594918</v>
      </c>
      <c r="B1219" s="6" t="str">
        <v>United States</v>
      </c>
      <c r="C1219" s="6" t="str">
        <v>Microsoft Corp</v>
      </c>
      <c r="D1219" s="6" t="str">
        <v>Microsoft Corp</v>
      </c>
      <c r="F1219" s="6" t="str">
        <v>India</v>
      </c>
      <c r="G1219" s="6" t="str">
        <v>Darwinbox Digital Solutions Pvt Ltd</v>
      </c>
      <c r="H1219" s="6" t="str">
        <v>Prepackaged Software</v>
      </c>
      <c r="I1219" s="6" t="str">
        <v>1L5287</v>
      </c>
      <c r="J1219" s="6" t="str">
        <v>Darwinbox Digital Solutions Pvt Ltd</v>
      </c>
      <c r="K1219" s="6" t="str">
        <v>Darwinbox Digital Solutions Pvt Ltd</v>
      </c>
      <c r="L1219" s="7">
        <f>=DATE(2022,11,1)</f>
        <v>44865.99949074074</v>
      </c>
      <c r="M1219" s="7">
        <f>=DATE(2022,11,1)</f>
        <v>44865.99949074074</v>
      </c>
      <c r="N1219" s="8">
        <v>4</v>
      </c>
      <c r="O1219" s="8">
        <v>4</v>
      </c>
      <c r="S1219" s="8">
        <v>6.33063975826189</v>
      </c>
      <c r="W1219" s="6" t="str">
        <v>Applications Software(Business;Internet Services &amp; Software;Computer Consulting Services;Other Peripherals;Operating Systems;Monitors/Terminals</v>
      </c>
      <c r="X1219" s="6" t="str">
        <v>Other Software (inq. Games);Internet Services &amp; Software;Communication/Network Software;Applications Software(Business;Utilities/File Mgmt Software;Applications Software(Home);Desktop Publishing</v>
      </c>
      <c r="Y1219" s="6" t="str">
        <v>Internet Services &amp; Software;Applications Software(Home);Desktop Publishing;Communication/Network Software;Other Software (inq. Games);Applications Software(Business;Utilities/File Mgmt Software</v>
      </c>
      <c r="Z1219" s="6" t="str">
        <v>Applications Software(Business;Applications Software(Home);Communication/Network Software;Desktop Publishing;Internet Services &amp; Software;Utilities/File Mgmt Software;Other Software (inq. Games)</v>
      </c>
      <c r="AA1219" s="6" t="str">
        <v>Internet Services &amp; Software;Other Peripherals;Computer Consulting Services;Monitors/Terminals;Operating Systems;Applications Software(Business</v>
      </c>
      <c r="AB1219" s="6" t="str">
        <v>Other Peripherals;Internet Services &amp; Software;Applications Software(Business;Computer Consulting Services;Monitors/Terminals;Operating Systems</v>
      </c>
      <c r="AC1219" s="8">
        <v>4</v>
      </c>
      <c r="AD1219" s="7">
        <f>=DATE(2022,11,1)</f>
        <v>44865.99949074074</v>
      </c>
      <c r="AL1219" s="8">
        <v>4</v>
      </c>
    </row>
    <row r="1220">
      <c r="A1220" s="6" t="str">
        <v>594918</v>
      </c>
      <c r="B1220" s="6" t="str">
        <v>United States</v>
      </c>
      <c r="C1220" s="6" t="str">
        <v>Microsoft Corp</v>
      </c>
      <c r="D1220" s="6" t="str">
        <v>Microsoft Corp</v>
      </c>
      <c r="F1220" s="6" t="str">
        <v>United Kingdom</v>
      </c>
      <c r="G1220" s="6" t="str">
        <v>Lumenisity Ltd</v>
      </c>
      <c r="H1220" s="6" t="str">
        <v>Business Services</v>
      </c>
      <c r="I1220" s="6" t="str">
        <v>2N7204</v>
      </c>
      <c r="J1220" s="6" t="str">
        <v>Lumenisity Ltd</v>
      </c>
      <c r="K1220" s="6" t="str">
        <v>Lumenisity Ltd</v>
      </c>
      <c r="L1220" s="7">
        <f>=DATE(2022,12,9)</f>
        <v>44903.99949074074</v>
      </c>
      <c r="M1220" s="7">
        <f>=DATE(2022,12,9)</f>
        <v>44903.99949074074</v>
      </c>
      <c r="W1220" s="6" t="str">
        <v>Applications Software(Business;Computer Consulting Services;Other Peripherals;Operating Systems;Internet Services &amp; Software;Monitors/Terminals</v>
      </c>
      <c r="X1220" s="6" t="str">
        <v>Other Software (inq. Games);Other Computer Related Svcs;Data Processing Services;Computer Consulting Services</v>
      </c>
      <c r="Y1220" s="6" t="str">
        <v>Other Software (inq. Games);Data Processing Services;Other Computer Related Svcs;Computer Consulting Services</v>
      </c>
      <c r="Z1220" s="6" t="str">
        <v>Other Software (inq. Games);Computer Consulting Services;Other Computer Related Svcs;Data Processing Services</v>
      </c>
      <c r="AA1220" s="6" t="str">
        <v>Computer Consulting Services;Applications Software(Business;Internet Services &amp; Software;Operating Systems;Other Peripherals;Monitors/Terminals</v>
      </c>
      <c r="AB1220" s="6" t="str">
        <v>Operating Systems;Monitors/Terminals;Applications Software(Business;Other Peripherals;Computer Consulting Services;Internet Services &amp; Software</v>
      </c>
    </row>
    <row r="1221">
      <c r="A1221" s="6" t="str">
        <v>30303M</v>
      </c>
      <c r="B1221" s="6" t="str">
        <v>United States</v>
      </c>
      <c r="C1221" s="6" t="str">
        <v>Meta Platforms Inc</v>
      </c>
      <c r="D1221" s="6" t="str">
        <v>Meta Platforms Inc</v>
      </c>
      <c r="F1221" s="6" t="str">
        <v>Netherlands</v>
      </c>
      <c r="G1221" s="6" t="str">
        <v>LUXeXceL Group BV</v>
      </c>
      <c r="H1221" s="6" t="str">
        <v>Prepackaged Software</v>
      </c>
      <c r="I1221" s="6" t="str">
        <v>9C5294</v>
      </c>
      <c r="J1221" s="6" t="str">
        <v>LUXeXceL Group BV</v>
      </c>
      <c r="K1221" s="6" t="str">
        <v>LUXeXceL Group BV</v>
      </c>
      <c r="L1221" s="7">
        <f>=DATE(2022,12,28)</f>
        <v>44922.99949074074</v>
      </c>
      <c r="M1221" s="7">
        <f>=DATE(2022,12,31)</f>
        <v>44925.99949074074</v>
      </c>
      <c r="S1221" s="8">
        <v>3.11029261305504</v>
      </c>
      <c r="W1221" s="6" t="str">
        <v>Internet Services &amp; Software</v>
      </c>
      <c r="X1221" s="6" t="str">
        <v>Other Software (inq. Games)</v>
      </c>
      <c r="Y1221" s="6" t="str">
        <v>Other Software (inq. Games)</v>
      </c>
      <c r="Z1221" s="6" t="str">
        <v>Other Software (inq. Games)</v>
      </c>
      <c r="AA1221" s="6" t="str">
        <v>Internet Services &amp; Software</v>
      </c>
      <c r="AB1221" s="6" t="str">
        <v>Internet Services &amp; Software</v>
      </c>
    </row>
    <row r="1222">
      <c r="A1222" s="6" t="str">
        <v>023135</v>
      </c>
      <c r="B1222" s="6" t="str">
        <v>United States</v>
      </c>
      <c r="C1222" s="6" t="str">
        <v>Amazon.com Inc</v>
      </c>
      <c r="D1222" s="6" t="str">
        <v>Amazon.com Inc</v>
      </c>
      <c r="F1222" s="6" t="str">
        <v>United States</v>
      </c>
      <c r="G1222" s="6" t="str">
        <v>Snackable.AI</v>
      </c>
      <c r="H1222" s="6" t="str">
        <v>Prepackaged Software</v>
      </c>
      <c r="I1222" s="6" t="str">
        <v>7N4480</v>
      </c>
      <c r="J1222" s="6" t="str">
        <v>Snackable.AI</v>
      </c>
      <c r="K1222" s="6" t="str">
        <v>Snackable.AI</v>
      </c>
      <c r="L1222" s="7">
        <f>=DATE(2022,12,31)</f>
        <v>44925.99949074074</v>
      </c>
      <c r="M1222" s="7">
        <f>=DATE(2022,12,31)</f>
        <v>44925.99949074074</v>
      </c>
      <c r="W1222" s="6" t="str">
        <v>Primary Business not Hi-Tech</v>
      </c>
      <c r="X1222" s="6" t="str">
        <v>Other Software (inq. Games)</v>
      </c>
      <c r="Y1222" s="6" t="str">
        <v>Other Software (inq. Games)</v>
      </c>
      <c r="Z1222" s="6" t="str">
        <v>Other Software (inq. Games)</v>
      </c>
      <c r="AA1222" s="6" t="str">
        <v>Primary Business not Hi-Tech</v>
      </c>
      <c r="AB1222" s="6" t="str">
        <v>Primary Business not Hi-Tech</v>
      </c>
    </row>
    <row r="1223">
      <c r="A1223" s="6" t="str">
        <v>594918</v>
      </c>
      <c r="B1223" s="6" t="str">
        <v>United States</v>
      </c>
      <c r="C1223" s="6" t="str">
        <v>Microsoft Corp</v>
      </c>
      <c r="D1223" s="6" t="str">
        <v>Microsoft Corp</v>
      </c>
      <c r="F1223" s="6" t="str">
        <v>United States</v>
      </c>
      <c r="G1223" s="6" t="str">
        <v>Fungible Inc</v>
      </c>
      <c r="H1223" s="6" t="str">
        <v>Prepackaged Software</v>
      </c>
      <c r="I1223" s="6" t="str">
        <v>4J8001</v>
      </c>
      <c r="J1223" s="6" t="str">
        <v>Fungible Inc</v>
      </c>
      <c r="K1223" s="6" t="str">
        <v>Fungible Inc</v>
      </c>
      <c r="L1223" s="7">
        <f>=DATE(2023,1,9)</f>
        <v>44934.99949074074</v>
      </c>
      <c r="M1223" s="7">
        <f>=DATE(2023,1,9)</f>
        <v>44934.99949074074</v>
      </c>
      <c r="W1223" s="6" t="str">
        <v>Operating Systems;Monitors/Terminals;Other Peripherals;Computer Consulting Services;Internet Services &amp; Software;Applications Software(Business</v>
      </c>
      <c r="X1223" s="6" t="str">
        <v>Other Software (inq. Games);Computer Consulting Services;Data Processing Services;Other Computer Related Svcs</v>
      </c>
      <c r="Y1223" s="6" t="str">
        <v>Data Processing Services;Computer Consulting Services;Other Computer Related Svcs;Other Software (inq. Games)</v>
      </c>
      <c r="Z1223" s="6" t="str">
        <v>Other Software (inq. Games);Computer Consulting Services;Other Computer Related Svcs;Data Processing Services</v>
      </c>
      <c r="AA1223" s="6" t="str">
        <v>Operating Systems;Monitors/Terminals;Applications Software(Business;Internet Services &amp; Software;Other Peripherals;Computer Consulting Services</v>
      </c>
      <c r="AB1223" s="6" t="str">
        <v>Monitors/Terminals;Applications Software(Business;Operating Systems;Computer Consulting Services;Internet Services &amp; Software;Other Peripherals</v>
      </c>
      <c r="AD1223" s="7">
        <f>=DATE(2023,1,9)</f>
        <v>44934.99949074074</v>
      </c>
    </row>
    <row r="1224">
      <c r="A1224" s="6" t="str">
        <v>594918</v>
      </c>
      <c r="B1224" s="6" t="str">
        <v>United States</v>
      </c>
      <c r="C1224" s="6" t="str">
        <v>Microsoft Corp</v>
      </c>
      <c r="D1224" s="6" t="str">
        <v>Microsoft Corp</v>
      </c>
      <c r="F1224" s="6" t="str">
        <v>India</v>
      </c>
      <c r="G1224" s="6" t="str">
        <v>Darwinbox Digital Solutions Pvt Ltd</v>
      </c>
      <c r="H1224" s="6" t="str">
        <v>Prepackaged Software</v>
      </c>
      <c r="I1224" s="6" t="str">
        <v>1L5287</v>
      </c>
      <c r="J1224" s="6" t="str">
        <v>Darwinbox Digital Solutions Pvt Ltd</v>
      </c>
      <c r="K1224" s="6" t="str">
        <v>Darwinbox Digital Solutions Pvt Ltd</v>
      </c>
      <c r="L1224" s="7">
        <f>=DATE(2023,1,17)</f>
        <v>44942.99949074074</v>
      </c>
      <c r="M1224" s="7">
        <f>=DATE(2023,1,17)</f>
        <v>44942.99949074074</v>
      </c>
      <c r="R1224" s="8">
        <v>-8.77253910995054</v>
      </c>
      <c r="S1224" s="8">
        <v>15.3749337956876</v>
      </c>
      <c r="W1224" s="6" t="str">
        <v>Other Peripherals;Monitors/Terminals;Computer Consulting Services;Internet Services &amp; Software;Applications Software(Business;Operating Systems</v>
      </c>
      <c r="X1224" s="6" t="str">
        <v>Utilities/File Mgmt Software;Communication/Network Software;Applications Software(Home);Desktop Publishing;Applications Software(Business;Other Software (inq. Games);Internet Services &amp; Software</v>
      </c>
      <c r="Y1224" s="6" t="str">
        <v>Applications Software(Business;Applications Software(Home);Desktop Publishing;Communication/Network Software;Utilities/File Mgmt Software;Other Software (inq. Games);Internet Services &amp; Software</v>
      </c>
      <c r="Z1224" s="6" t="str">
        <v>Communication/Network Software;Other Software (inq. Games);Desktop Publishing;Internet Services &amp; Software;Applications Software(Home);Applications Software(Business;Utilities/File Mgmt Software</v>
      </c>
      <c r="AA1224" s="6" t="str">
        <v>Internet Services &amp; Software;Other Peripherals;Monitors/Terminals;Applications Software(Business;Operating Systems;Computer Consulting Services</v>
      </c>
      <c r="AB1224" s="6" t="str">
        <v>Internet Services &amp; Software;Applications Software(Business;Computer Consulting Services;Operating Systems;Monitors/Terminals;Other Peripherals</v>
      </c>
    </row>
    <row r="1225">
      <c r="A1225" s="6" t="str">
        <v>594918</v>
      </c>
      <c r="B1225" s="6" t="str">
        <v>United States</v>
      </c>
      <c r="C1225" s="6" t="str">
        <v>Microsoft Corp</v>
      </c>
      <c r="D1225" s="6" t="str">
        <v>Microsoft Corp</v>
      </c>
      <c r="F1225" s="6" t="str">
        <v>United States</v>
      </c>
      <c r="G1225" s="6" t="str">
        <v>OpenAI LLC</v>
      </c>
      <c r="H1225" s="6" t="str">
        <v>Prepackaged Software</v>
      </c>
      <c r="I1225" s="6" t="str">
        <v>1N4489</v>
      </c>
      <c r="J1225" s="6" t="str">
        <v>OpenAI LLC</v>
      </c>
      <c r="K1225" s="6" t="str">
        <v>OpenAI LLC</v>
      </c>
      <c r="L1225" s="7">
        <f>=DATE(2023,1,23)</f>
        <v>44948.99949074074</v>
      </c>
      <c r="M1225" s="7">
        <f>=DATE(2023,1,23)</f>
        <v>44948.99949074074</v>
      </c>
      <c r="W1225" s="6" t="str">
        <v>Other Peripherals;Internet Services &amp; Software;Computer Consulting Services;Monitors/Terminals;Applications Software(Business;Operating Systems</v>
      </c>
      <c r="X1225" s="6" t="str">
        <v>Other Software (inq. Games)</v>
      </c>
      <c r="Y1225" s="6" t="str">
        <v>Other Software (inq. Games)</v>
      </c>
      <c r="Z1225" s="6" t="str">
        <v>Other Software (inq. Games)</v>
      </c>
      <c r="AA1225" s="6" t="str">
        <v>Operating Systems;Applications Software(Business;Computer Consulting Services;Internet Services &amp; Software;Other Peripherals;Monitors/Terminals</v>
      </c>
      <c r="AB1225" s="6" t="str">
        <v>Computer Consulting Services;Operating Systems;Other Peripherals;Monitors/Terminals;Internet Services &amp; Software;Applications Software(Business</v>
      </c>
      <c r="AD1225" s="7">
        <f>=DATE(2023,1,10)</f>
        <v>44935.99949074074</v>
      </c>
    </row>
    <row r="1226">
      <c r="A1226" s="6" t="str">
        <v>7J8440</v>
      </c>
      <c r="B1226" s="6" t="str">
        <v>United States</v>
      </c>
      <c r="C1226" s="6" t="str">
        <v>Google LLC</v>
      </c>
      <c r="D1226" s="6" t="str">
        <v>Alphabet Inc</v>
      </c>
      <c r="F1226" s="6" t="str">
        <v>Croatia</v>
      </c>
      <c r="G1226" s="6" t="str">
        <v>Photomath doo</v>
      </c>
      <c r="H1226" s="6" t="str">
        <v>Prepackaged Software</v>
      </c>
      <c r="I1226" s="6" t="str">
        <v>5N0544</v>
      </c>
      <c r="J1226" s="6" t="str">
        <v>Photomath Inc</v>
      </c>
      <c r="K1226" s="6" t="str">
        <v>Photomath Inc</v>
      </c>
      <c r="L1226" s="7">
        <f>=DATE(2023,2,22)</f>
        <v>44978.99949074074</v>
      </c>
      <c r="M1226" s="7">
        <f>=DATE(2023,6,3)</f>
        <v>45079.99949074074</v>
      </c>
      <c r="W1226" s="6" t="str">
        <v>Internet Services &amp; Software;Programming Services</v>
      </c>
      <c r="X1226" s="6" t="str">
        <v>Other Software (inq. Games)</v>
      </c>
      <c r="Y1226" s="6" t="str">
        <v>Other Software (inq. Games)</v>
      </c>
      <c r="Z1226" s="6" t="str">
        <v>Other Software (inq. Games)</v>
      </c>
      <c r="AA1226" s="6" t="str">
        <v>Programming Services;Telecommunications Equipment;Computer Consulting Services;Internet Services &amp; Software;Primary Business not Hi-Tech</v>
      </c>
      <c r="AB1226" s="6" t="str">
        <v>Primary Business not Hi-Tech;Telecommunications Equipment;Programming Services;Computer Consulting Services;Internet Services &amp; Software</v>
      </c>
    </row>
    <row r="1227">
      <c r="A1227" s="6" t="str">
        <v>7J8440</v>
      </c>
      <c r="B1227" s="6" t="str">
        <v>United States</v>
      </c>
      <c r="C1227" s="6" t="str">
        <v>Google LLC</v>
      </c>
      <c r="D1227" s="6" t="str">
        <v>Alphabet Inc</v>
      </c>
      <c r="F1227" s="6" t="str">
        <v>India</v>
      </c>
      <c r="G1227" s="6" t="str">
        <v>NoBroker Technologies Solutions Pvt Ltd</v>
      </c>
      <c r="H1227" s="6" t="str">
        <v>Real Estate; Mortgage Bankers and Brokers</v>
      </c>
      <c r="I1227" s="6" t="str">
        <v>3J9706</v>
      </c>
      <c r="J1227" s="6" t="str">
        <v>NoBroker Technologies Solutions Pvt Ltd</v>
      </c>
      <c r="K1227" s="6" t="str">
        <v>NoBroker Technologies Solutions Pvt Ltd</v>
      </c>
      <c r="L1227" s="7">
        <f>=DATE(2023,3,1)</f>
        <v>44985.99949074074</v>
      </c>
      <c r="M1227" s="7">
        <f>=DATE(2023,3,1)</f>
        <v>44985.99949074074</v>
      </c>
      <c r="N1227" s="8">
        <v>5</v>
      </c>
      <c r="O1227" s="8">
        <v>5</v>
      </c>
      <c r="S1227" s="8">
        <v>8.40739118314683</v>
      </c>
      <c r="W1227" s="6" t="str">
        <v>Internet Services &amp; Software;Programming Services</v>
      </c>
      <c r="X1227" s="6" t="str">
        <v>Internet Services &amp; Software;Networking Systems (LAN,WAN)</v>
      </c>
      <c r="Y1227" s="6" t="str">
        <v>Networking Systems (LAN,WAN);Internet Services &amp; Software</v>
      </c>
      <c r="Z1227" s="6" t="str">
        <v>Networking Systems (LAN,WAN);Internet Services &amp; Software</v>
      </c>
      <c r="AA1227" s="6" t="str">
        <v>Telecommunications Equipment;Internet Services &amp; Software;Computer Consulting Services;Programming Services;Primary Business not Hi-Tech</v>
      </c>
      <c r="AB1227" s="6" t="str">
        <v>Computer Consulting Services;Primary Business not Hi-Tech;Programming Services;Internet Services &amp; Software;Telecommunications Equipment</v>
      </c>
      <c r="AC1227" s="8">
        <v>5</v>
      </c>
      <c r="AD1227" s="7">
        <f>=DATE(2023,3,1)</f>
        <v>44985.99949074074</v>
      </c>
      <c r="AL1227" s="8">
        <v>5</v>
      </c>
    </row>
    <row r="1228">
      <c r="A1228" s="6" t="str">
        <v>023135</v>
      </c>
      <c r="B1228" s="6" t="str">
        <v>United States</v>
      </c>
      <c r="C1228" s="6" t="str">
        <v>Amazon.com Inc</v>
      </c>
      <c r="D1228" s="6" t="str">
        <v>Amazon.com Inc</v>
      </c>
      <c r="F1228" s="6" t="str">
        <v>Canada</v>
      </c>
      <c r="G1228" s="6" t="str">
        <v>Genecis Bioindustries Inc</v>
      </c>
      <c r="H1228" s="6" t="str">
        <v>Business Services</v>
      </c>
      <c r="I1228" s="6" t="str">
        <v>4N6081</v>
      </c>
      <c r="J1228" s="6" t="str">
        <v>Genecis Bioindustries Inc</v>
      </c>
      <c r="K1228" s="6" t="str">
        <v>Genecis Bioindustries Inc</v>
      </c>
      <c r="L1228" s="7">
        <f>=DATE(2023,3,1)</f>
        <v>44985.99949074074</v>
      </c>
      <c r="M1228" s="7">
        <f>=DATE(2023,3,1)</f>
        <v>44985.99949074074</v>
      </c>
      <c r="W1228" s="6" t="str">
        <v>Primary Business not Hi-Tech</v>
      </c>
      <c r="X1228" s="6" t="str">
        <v>Research &amp; Development Firm</v>
      </c>
      <c r="Y1228" s="6" t="str">
        <v>Research &amp; Development Firm</v>
      </c>
      <c r="Z1228" s="6" t="str">
        <v>Research &amp; Development Firm</v>
      </c>
      <c r="AA1228" s="6" t="str">
        <v>Primary Business not Hi-Tech</v>
      </c>
      <c r="AB1228" s="6" t="str">
        <v>Primary Business not Hi-Tech</v>
      </c>
    </row>
    <row r="1229">
      <c r="A1229" s="6" t="str">
        <v>5N8867</v>
      </c>
      <c r="B1229" s="6" t="str">
        <v>United States</v>
      </c>
      <c r="C1229" s="6" t="str">
        <v>Industrial Innovation Fund</v>
      </c>
      <c r="D1229" s="6" t="str">
        <v>Amazon.com Inc</v>
      </c>
      <c r="F1229" s="6" t="str">
        <v>Israel</v>
      </c>
      <c r="G1229" s="6" t="str">
        <v>Flymingo Inc</v>
      </c>
      <c r="H1229" s="6" t="str">
        <v>Prepackaged Software</v>
      </c>
      <c r="I1229" s="6" t="str">
        <v>5N8857</v>
      </c>
      <c r="J1229" s="6" t="str">
        <v>Flymingo Inc</v>
      </c>
      <c r="K1229" s="6" t="str">
        <v>Flymingo Inc</v>
      </c>
      <c r="L1229" s="7">
        <f>=DATE(2023,3,16)</f>
        <v>45000.99949074074</v>
      </c>
      <c r="M1229" s="7">
        <f>=DATE(2023,3,16)</f>
        <v>45000.99949074074</v>
      </c>
      <c r="W1229" s="6" t="str">
        <v>Primary Business not Hi-Tech</v>
      </c>
      <c r="X1229" s="6" t="str">
        <v>Internet Services &amp; Software;Communication/Network Software;Other Software (inq. Games);Applications Software(Home);Applications Software(Business;Desktop Publishing;Utilities/File Mgmt Software</v>
      </c>
      <c r="Y1229" s="6" t="str">
        <v>Utilities/File Mgmt Software;Desktop Publishing;Applications Software(Home);Other Software (inq. Games);Applications Software(Business;Internet Services &amp; Software;Communication/Network Software</v>
      </c>
      <c r="Z1229" s="6" t="str">
        <v>Utilities/File Mgmt Software;Other Software (inq. Games);Communication/Network Software;Applications Software(Home);Applications Software(Business;Internet Services &amp; Software;Desktop Publishing</v>
      </c>
      <c r="AA1229" s="6" t="str">
        <v>Primary Business not Hi-Tech</v>
      </c>
      <c r="AB1229" s="6" t="str">
        <v>Primary Business not Hi-Tech</v>
      </c>
    </row>
    <row r="1230">
      <c r="A1230" s="6" t="str">
        <v>037833</v>
      </c>
      <c r="B1230" s="6" t="str">
        <v>United States</v>
      </c>
      <c r="C1230" s="6" t="str">
        <v>Apple Inc</v>
      </c>
      <c r="D1230" s="6" t="str">
        <v>Apple Inc</v>
      </c>
      <c r="F1230" s="6" t="str">
        <v>United States</v>
      </c>
      <c r="G1230" s="6" t="str">
        <v>WaveOne Inc</v>
      </c>
      <c r="H1230" s="6" t="str">
        <v>Prepackaged Software</v>
      </c>
      <c r="I1230" s="6" t="str">
        <v>6N1386</v>
      </c>
      <c r="J1230" s="6" t="str">
        <v>WaveOne Inc</v>
      </c>
      <c r="K1230" s="6" t="str">
        <v>WaveOne Inc</v>
      </c>
      <c r="L1230" s="7">
        <f>=DATE(2023,3,27)</f>
        <v>45011.99949074074</v>
      </c>
      <c r="M1230" s="7">
        <f>=DATE(2023,3,27)</f>
        <v>45011.99949074074</v>
      </c>
      <c r="W1230" s="6" t="str">
        <v>Printers;Mainframes &amp; Super Computers;Other Peripherals;Disk Drives;Monitors/Terminals;Micro-Computers (PCs);Portable Computers;Other Software (inq. Games)</v>
      </c>
      <c r="X1230" s="6" t="str">
        <v>Internet Services &amp; Software;Other Software (inq. Games);Utilities/File Mgmt Software;Applications Software(Business;Applications Software(Home);Desktop Publishing;Communication/Network Software</v>
      </c>
      <c r="Y1230" s="6" t="str">
        <v>Internet Services &amp; Software;Utilities/File Mgmt Software;Applications Software(Business;Applications Software(Home);Desktop Publishing;Communication/Network Software;Other Software (inq. Games)</v>
      </c>
      <c r="Z1230" s="6" t="str">
        <v>Other Software (inq. Games);Communication/Network Software;Applications Software(Business;Desktop Publishing;Internet Services &amp; Software;Applications Software(Home);Utilities/File Mgmt Software</v>
      </c>
      <c r="AA1230" s="6" t="str">
        <v>Mainframes &amp; Super Computers;Portable Computers;Micro-Computers (PCs);Other Software (inq. Games);Monitors/Terminals;Printers;Disk Drives;Other Peripherals</v>
      </c>
      <c r="AB1230" s="6" t="str">
        <v>Portable Computers;Printers;Disk Drives;Other Software (inq. Games);Micro-Computers (PCs);Monitors/Terminals;Other Peripherals;Mainframes &amp; Super Computers</v>
      </c>
    </row>
    <row r="1231">
      <c r="A1231" s="6" t="str">
        <v>73959W</v>
      </c>
      <c r="B1231" s="6" t="str">
        <v>United States</v>
      </c>
      <c r="C1231" s="6" t="str">
        <v>PowerSchool Group LLC</v>
      </c>
      <c r="D1231" s="6" t="str">
        <v>Powerschool Holdings Inc</v>
      </c>
      <c r="F1231" s="6" t="str">
        <v>United States</v>
      </c>
      <c r="G1231" s="6" t="str">
        <v>Ellucian Co LP</v>
      </c>
      <c r="H1231" s="6" t="str">
        <v>Prepackaged Software</v>
      </c>
      <c r="I1231" s="6" t="str">
        <v>8A7882</v>
      </c>
      <c r="J1231" s="6" t="str">
        <v>Blackstone Inc</v>
      </c>
      <c r="K1231" s="6" t="str">
        <v>Ellucian Co LP SPV</v>
      </c>
      <c r="L1231" s="7">
        <f>=DATE(2023,3,29)</f>
        <v>45013.99949074074</v>
      </c>
      <c r="M1231" s="7">
        <f>=DATE(2023,3,29)</f>
        <v>45013.99949074074</v>
      </c>
      <c r="W1231" s="6" t="str">
        <v>Other Software (inq. Games)</v>
      </c>
      <c r="X1231" s="6" t="str">
        <v>Other Software (inq. Games)</v>
      </c>
      <c r="Y1231" s="6" t="str">
        <v>Primary Business not Hi-Tech</v>
      </c>
      <c r="Z1231" s="6" t="str">
        <v>Primary Business not Hi-Tech</v>
      </c>
      <c r="AA1231" s="6" t="str">
        <v>Desktop Publishing;Communication/Network Software;Utilities/File Mgmt Software;Primary Business not Hi-Tech;Other Software (inq. Games);Internet Services &amp; Software;Applications Software(Business;Applications Software(Home)</v>
      </c>
      <c r="AB1231" s="6" t="str">
        <v>Applications Software(Business;Other Software (inq. Games);Primary Business not Hi-Tech;Communication/Network Software;Utilities/File Mgmt Software;Desktop Publishing;Internet Services &amp; Software;Applications Software(Home)</v>
      </c>
    </row>
    <row r="1232">
      <c r="A1232" s="6" t="str">
        <v>7J8440</v>
      </c>
      <c r="B1232" s="6" t="str">
        <v>United States</v>
      </c>
      <c r="C1232" s="6" t="str">
        <v>Google LLC</v>
      </c>
      <c r="D1232" s="6" t="str">
        <v>Alphabet Inc</v>
      </c>
      <c r="F1232" s="6" t="str">
        <v>Poland</v>
      </c>
      <c r="G1232" s="6" t="str">
        <v>Semhihalf Sp z o o</v>
      </c>
      <c r="H1232" s="6" t="str">
        <v>Prepackaged Software</v>
      </c>
      <c r="I1232" s="6" t="str">
        <v>0P2577</v>
      </c>
      <c r="J1232" s="6" t="str">
        <v>Semhihalf Sp z o o</v>
      </c>
      <c r="K1232" s="6" t="str">
        <v>Semhihalf Sp z o o</v>
      </c>
      <c r="L1232" s="7">
        <f>=DATE(2023,4,30)</f>
        <v>45045.99949074074</v>
      </c>
      <c r="M1232" s="7">
        <f>=DATE(2023,4,30)</f>
        <v>45045.99949074074</v>
      </c>
      <c r="S1232" s="8">
        <v>8.54940034266134</v>
      </c>
      <c r="W1232" s="6" t="str">
        <v>Programming Services;Internet Services &amp; Software</v>
      </c>
      <c r="X1232" s="6" t="str">
        <v>Communication/Network Software;Internet Services &amp; Software;Applications Software(Business;Desktop Publishing;Utilities/File Mgmt Software;Other Software (inq. Games);Primary Business not Hi-Tech;Networking Systems (LAN,WAN);Telecommunications Equipment;Satellite Communications;Applications Software(Home)</v>
      </c>
      <c r="Y1232" s="6" t="str">
        <v>Primary Business not Hi-Tech;Telecommunications Equipment;Networking Systems (LAN,WAN);Other Software (inq. Games);Applications Software(Home);Satellite Communications;Applications Software(Business;Utilities/File Mgmt Software;Communication/Network Software;Internet Services &amp; Software;Desktop Publishing</v>
      </c>
      <c r="Z1232" s="6" t="str">
        <v>Other Software (inq. Games);Internet Services &amp; Software;Utilities/File Mgmt Software;Communication/Network Software;Desktop Publishing;Applications Software(Home);Applications Software(Business;Primary Business not Hi-Tech;Telecommunications Equipment;Networking Systems (LAN,WAN);Satellite Communications</v>
      </c>
      <c r="AA1232" s="6" t="str">
        <v>Primary Business not Hi-Tech;Computer Consulting Services;Internet Services &amp; Software;Programming Services;Telecommunications Equipment</v>
      </c>
      <c r="AB1232" s="6" t="str">
        <v>Telecommunications Equipment;Internet Services &amp; Software;Programming Services;Primary Business not Hi-Tech;Computer Consulting Services</v>
      </c>
    </row>
    <row r="1233">
      <c r="A1233" s="6" t="str">
        <v>5L0908</v>
      </c>
      <c r="B1233" s="6" t="str">
        <v>United States</v>
      </c>
      <c r="C1233" s="6" t="str">
        <v>Climate Innovation Fund</v>
      </c>
      <c r="D1233" s="6" t="str">
        <v>Microsoft Corp</v>
      </c>
      <c r="F1233" s="6" t="str">
        <v>United States</v>
      </c>
      <c r="G1233" s="6" t="str">
        <v>AMP Robotics Corp</v>
      </c>
      <c r="H1233" s="6" t="str">
        <v>Machinery</v>
      </c>
      <c r="I1233" s="6" t="str">
        <v>8J4473</v>
      </c>
      <c r="J1233" s="6" t="str">
        <v>AMP Robotics Corp</v>
      </c>
      <c r="K1233" s="6" t="str">
        <v>AMP Robotics Corp</v>
      </c>
      <c r="L1233" s="7">
        <f>=DATE(2023,5,9)</f>
        <v>45054.99949074074</v>
      </c>
      <c r="M1233" s="7">
        <f>=DATE(2023,5,9)</f>
        <v>45054.99949074074</v>
      </c>
      <c r="W1233" s="6" t="str">
        <v>Primary Business not Hi-Tech</v>
      </c>
      <c r="X1233" s="6" t="str">
        <v>Other Software (inq. Games)</v>
      </c>
      <c r="Y1233" s="6" t="str">
        <v>Other Software (inq. Games)</v>
      </c>
      <c r="Z1233" s="6" t="str">
        <v>Other Software (inq. Games)</v>
      </c>
      <c r="AA1233" s="6" t="str">
        <v>Operating Systems;Computer Consulting Services;Other Peripherals;Monitors/Terminals;Internet Services &amp; Software;Applications Software(Business</v>
      </c>
      <c r="AB1233" s="6" t="str">
        <v>Computer Consulting Services;Operating Systems;Other Peripherals;Applications Software(Business;Internet Services &amp; Software;Monitors/Terminals</v>
      </c>
    </row>
    <row r="1234">
      <c r="A1234" s="6" t="str">
        <v>594918</v>
      </c>
      <c r="B1234" s="6" t="str">
        <v>United States</v>
      </c>
      <c r="C1234" s="6" t="str">
        <v>Microsoft Corp</v>
      </c>
      <c r="D1234" s="6" t="str">
        <v>Microsoft Corp</v>
      </c>
      <c r="F1234" s="6" t="str">
        <v>United Kingdom</v>
      </c>
      <c r="G1234" s="6" t="str">
        <v>Builder.Ai</v>
      </c>
      <c r="H1234" s="6" t="str">
        <v>Business Services</v>
      </c>
      <c r="I1234" s="6" t="str">
        <v>5M3990</v>
      </c>
      <c r="J1234" s="6" t="str">
        <v>Builder.Ai</v>
      </c>
      <c r="K1234" s="6" t="str">
        <v>Builder.Ai</v>
      </c>
      <c r="L1234" s="7">
        <f>=DATE(2023,5,10)</f>
        <v>45055.99949074074</v>
      </c>
      <c r="M1234" s="7">
        <f>=DATE(2023,5,10)</f>
        <v>45055.99949074074</v>
      </c>
      <c r="W1234" s="6" t="str">
        <v>Other Peripherals;Internet Services &amp; Software;Applications Software(Business;Monitors/Terminals;Computer Consulting Services;Operating Systems</v>
      </c>
      <c r="X1234" s="6" t="str">
        <v>Primary Business not Hi-Tech;Other Computer Related Svcs;Internet Services &amp; Software;Computer Consulting Services;Data Processing Services</v>
      </c>
      <c r="Y1234" s="6" t="str">
        <v>Primary Business not Hi-Tech;Data Processing Services;Computer Consulting Services;Internet Services &amp; Software;Other Computer Related Svcs</v>
      </c>
      <c r="Z1234" s="6" t="str">
        <v>Computer Consulting Services;Primary Business not Hi-Tech;Internet Services &amp; Software;Data Processing Services;Other Computer Related Svcs</v>
      </c>
      <c r="AA1234" s="6" t="str">
        <v>Internet Services &amp; Software;Operating Systems;Computer Consulting Services;Monitors/Terminals;Applications Software(Business;Other Peripherals</v>
      </c>
      <c r="AB1234" s="6" t="str">
        <v>Operating Systems;Computer Consulting Services;Other Peripherals;Monitors/Terminals;Internet Services &amp; Software;Applications Software(Business</v>
      </c>
    </row>
    <row r="1235">
      <c r="A1235" s="6" t="str">
        <v>30303M</v>
      </c>
      <c r="B1235" s="6" t="str">
        <v>United States</v>
      </c>
      <c r="C1235" s="6" t="str">
        <v>Meta Platforms Inc</v>
      </c>
      <c r="D1235" s="6" t="str">
        <v>Meta Platforms Inc</v>
      </c>
      <c r="F1235" s="6" t="str">
        <v>United States</v>
      </c>
      <c r="G1235" s="6" t="str">
        <v>Whisper.AI Inc</v>
      </c>
      <c r="H1235" s="6" t="str">
        <v>Measuring, Medical, Photo Equipment; Clocks</v>
      </c>
      <c r="I1235" s="6" t="str">
        <v>9P2793</v>
      </c>
      <c r="J1235" s="6" t="str">
        <v>Whisper.AI Inc</v>
      </c>
      <c r="K1235" s="6" t="str">
        <v>Whisper.AI Inc</v>
      </c>
      <c r="L1235" s="7">
        <f>=DATE(2023,5,31)</f>
        <v>45076.99949074074</v>
      </c>
      <c r="M1235" s="7">
        <f>=DATE(2023,5,31)</f>
        <v>45076.99949074074</v>
      </c>
      <c r="W1235" s="6" t="str">
        <v>Internet Services &amp; Software</v>
      </c>
      <c r="X1235" s="6" t="str">
        <v>Healthcare Services;General Med. Instruments/Supp.;Medical Monitoring Systems;Medical Lasers;Drug Delivery Sys(Not IV Sys);Medical Imaging Systems;Surgical Instruments/Equipment;Artificial Organs/Limbs;Rehabilitation Equipment</v>
      </c>
      <c r="Y1235" s="6" t="str">
        <v>Drug Delivery Sys(Not IV Sys);Medical Lasers;General Med. Instruments/Supp.;Surgical Instruments/Equipment;Medical Imaging Systems;Rehabilitation Equipment;Artificial Organs/Limbs;Medical Monitoring Systems;Healthcare Services</v>
      </c>
      <c r="Z1235" s="6" t="str">
        <v>General Med. Instruments/Supp.;Medical Lasers;Healthcare Services;Medical Monitoring Systems;Artificial Organs/Limbs;Drug Delivery Sys(Not IV Sys);Rehabilitation Equipment;Surgical Instruments/Equipment;Medical Imaging Systems</v>
      </c>
      <c r="AA1235" s="6" t="str">
        <v>Internet Services &amp; Software</v>
      </c>
      <c r="AB1235" s="6" t="str">
        <v>Internet Services &amp; Software</v>
      </c>
    </row>
    <row r="1236">
      <c r="A1236" s="6" t="str">
        <v>037833</v>
      </c>
      <c r="B1236" s="6" t="str">
        <v>United States</v>
      </c>
      <c r="C1236" s="6" t="str">
        <v>Apple Inc</v>
      </c>
      <c r="D1236" s="6" t="str">
        <v>Apple Inc</v>
      </c>
      <c r="F1236" s="6" t="str">
        <v>United States</v>
      </c>
      <c r="G1236" s="6" t="str">
        <v>Mira Labs Inc</v>
      </c>
      <c r="H1236" s="6" t="str">
        <v>Prepackaged Software</v>
      </c>
      <c r="I1236" s="6" t="str">
        <v>6J2685</v>
      </c>
      <c r="J1236" s="6" t="str">
        <v>Mira Labs Inc</v>
      </c>
      <c r="K1236" s="6" t="str">
        <v>Mira Labs Inc</v>
      </c>
      <c r="L1236" s="7">
        <f>=DATE(2023,6,6)</f>
        <v>45082.99949074074</v>
      </c>
      <c r="M1236" s="7">
        <f>=DATE(2023,6,6)</f>
        <v>45082.99949074074</v>
      </c>
      <c r="W1236" s="6" t="str">
        <v>Other Peripherals;Monitors/Terminals;Disk Drives;Other Software (inq. Games);Printers;Mainframes &amp; Super Computers;Micro-Computers (PCs);Portable Computers</v>
      </c>
      <c r="X1236" s="6" t="str">
        <v>Primary Business not Hi-Tech;Internet Services &amp; Software;Other Software (inq. Games);Utilities/File Mgmt Software;Applications Software(Business;Applications Software(Home);Communication/Network Software;Desktop Publishing</v>
      </c>
      <c r="Y1236" s="6" t="str">
        <v>Applications Software(Business;Applications Software(Home);Primary Business not Hi-Tech;Desktop Publishing;Communication/Network Software;Utilities/File Mgmt Software;Other Software (inq. Games);Internet Services &amp; Software</v>
      </c>
      <c r="Z1236" s="6" t="str">
        <v>Utilities/File Mgmt Software;Primary Business not Hi-Tech;Applications Software(Home);Desktop Publishing;Internet Services &amp; Software;Applications Software(Business;Other Software (inq. Games);Communication/Network Software</v>
      </c>
      <c r="AA1236" s="6" t="str">
        <v>Disk Drives;Mainframes &amp; Super Computers;Other Software (inq. Games);Other Peripherals;Printers;Monitors/Terminals;Micro-Computers (PCs);Portable Computers</v>
      </c>
      <c r="AB1236" s="6" t="str">
        <v>Disk Drives;Micro-Computers (PCs);Printers;Portable Computers;Other Software (inq. Games);Mainframes &amp; Super Computers;Monitors/Terminals;Other Peripherals</v>
      </c>
    </row>
    <row r="1237">
      <c r="A1237" s="6" t="str">
        <v>5L1951</v>
      </c>
      <c r="B1237" s="6" t="str">
        <v>United States</v>
      </c>
      <c r="C1237" s="6" t="str">
        <v>Google For Startups</v>
      </c>
      <c r="D1237" s="6" t="str">
        <v>Google For Startups</v>
      </c>
      <c r="F1237" s="6" t="str">
        <v>United States</v>
      </c>
      <c r="G1237" s="6" t="str">
        <v>Rocket Systems Inc</v>
      </c>
      <c r="H1237" s="6" t="str">
        <v>Prepackaged Software</v>
      </c>
      <c r="I1237" s="6" t="str">
        <v>1P5237</v>
      </c>
      <c r="J1237" s="6" t="str">
        <v>Rocket Systems Inc</v>
      </c>
      <c r="K1237" s="6" t="str">
        <v>Rocket Systems Inc</v>
      </c>
      <c r="L1237" s="7">
        <f>=DATE(2023,7,17)</f>
        <v>45123.99949074074</v>
      </c>
      <c r="M1237" s="7">
        <f>=DATE(2023,7,17)</f>
        <v>45123.99949074074</v>
      </c>
      <c r="N1237" s="8">
        <v>0.25</v>
      </c>
      <c r="O1237" s="8">
        <v>0.25</v>
      </c>
      <c r="W1237" s="6" t="str">
        <v>Primary Business not Hi-Tech</v>
      </c>
      <c r="X1237" s="6" t="str">
        <v>Communication/Network Software;Applications Software(Home);Other Software (inq. Games);Internet Services &amp; Software;Utilities/File Mgmt Software;Desktop Publishing;Applications Software(Business</v>
      </c>
      <c r="Y1237" s="6" t="str">
        <v>Desktop Publishing;Applications Software(Home);Applications Software(Business;Utilities/File Mgmt Software;Internet Services &amp; Software;Communication/Network Software;Other Software (inq. Games)</v>
      </c>
      <c r="Z1237" s="6" t="str">
        <v>Communication/Network Software;Desktop Publishing;Applications Software(Business;Applications Software(Home);Other Software (inq. Games);Utilities/File Mgmt Software;Internet Services &amp; Software</v>
      </c>
      <c r="AA1237" s="6" t="str">
        <v>Primary Business not Hi-Tech</v>
      </c>
      <c r="AB1237" s="6" t="str">
        <v>Primary Business not Hi-Tech</v>
      </c>
      <c r="AC1237" s="8">
        <v>0.25</v>
      </c>
      <c r="AD1237" s="7">
        <f>=DATE(2023,7,17)</f>
        <v>45123.99949074074</v>
      </c>
      <c r="AL1237" s="8">
        <v>0.25</v>
      </c>
    </row>
    <row r="1238">
      <c r="A1238" s="6" t="str">
        <v>4C7902</v>
      </c>
      <c r="B1238" s="6" t="str">
        <v>United States</v>
      </c>
      <c r="C1238" s="6" t="str">
        <v>Amazon Web Services Inc</v>
      </c>
      <c r="D1238" s="6" t="str">
        <v>Amazon.com Inc</v>
      </c>
      <c r="F1238" s="6" t="str">
        <v>United States</v>
      </c>
      <c r="G1238" s="6" t="str">
        <v>Hercules Labs Inc</v>
      </c>
      <c r="H1238" s="6" t="str">
        <v>Prepackaged Software</v>
      </c>
      <c r="I1238" s="6" t="str">
        <v>4P9615</v>
      </c>
      <c r="J1238" s="6" t="str">
        <v>Hercules Labs Inc</v>
      </c>
      <c r="K1238" s="6" t="str">
        <v>Hercules Labs Inc</v>
      </c>
      <c r="L1238" s="7">
        <f>=DATE(2023,8,28)</f>
        <v>45165.99949074074</v>
      </c>
      <c r="M1238" s="7">
        <f>=DATE(2023,8,28)</f>
        <v>45165.99949074074</v>
      </c>
      <c r="W1238" s="6" t="str">
        <v>Computer Consulting Services;Other Computer Related Svcs;Internet Services &amp; Software;Data Processing Services;Primary Business not Hi-Tech</v>
      </c>
      <c r="X1238" s="6" t="str">
        <v>Applications Software(Home);Other Software (inq. Games)</v>
      </c>
      <c r="Y1238" s="6" t="str">
        <v>Other Software (inq. Games);Applications Software(Home)</v>
      </c>
      <c r="Z1238" s="6" t="str">
        <v>Applications Software(Home);Other Software (inq. Games)</v>
      </c>
      <c r="AA1238" s="6" t="str">
        <v>Primary Business not Hi-Tech</v>
      </c>
      <c r="AB1238" s="6" t="str">
        <v>Primary Business not Hi-Tech</v>
      </c>
    </row>
    <row r="1239">
      <c r="A1239" s="6" t="str">
        <v>037833</v>
      </c>
      <c r="B1239" s="6" t="str">
        <v>United States</v>
      </c>
      <c r="C1239" s="6" t="str">
        <v>Apple Inc</v>
      </c>
      <c r="D1239" s="6" t="str">
        <v>Apple Inc</v>
      </c>
      <c r="F1239" s="6" t="str">
        <v>United States</v>
      </c>
      <c r="G1239" s="6" t="str">
        <v>Apple Inc</v>
      </c>
      <c r="H1239" s="6" t="str">
        <v>Computer and Office Equipment</v>
      </c>
      <c r="I1239" s="6" t="str">
        <v>037833</v>
      </c>
      <c r="J1239" s="6" t="str">
        <v>Apple Inc</v>
      </c>
      <c r="K1239" s="6" t="str">
        <v>Apple Inc</v>
      </c>
      <c r="L1239" s="7">
        <f>=DATE(2023,8,31)</f>
        <v>45168.99949074074</v>
      </c>
      <c r="M1239" s="7">
        <f>=DATE(2023,8,31)</f>
        <v>45168.99949074074</v>
      </c>
      <c r="N1239" s="8">
        <v>5000</v>
      </c>
      <c r="O1239" s="8">
        <v>5000</v>
      </c>
      <c r="P1239" s="8" t="str">
        <v>2,754,214.97</v>
      </c>
      <c r="R1239" s="8">
        <v>99803</v>
      </c>
      <c r="S1239" s="8">
        <v>394328</v>
      </c>
      <c r="T1239" s="8">
        <v>-110749</v>
      </c>
      <c r="U1239" s="8">
        <v>-22354</v>
      </c>
      <c r="V1239" s="8">
        <v>122151</v>
      </c>
      <c r="W1239" s="6" t="str">
        <v>Other Software (inq. Games);Mainframes &amp; Super Computers;Disk Drives;Micro-Computers (PCs);Monitors/Terminals;Other Peripherals;Portable Computers;Printers</v>
      </c>
      <c r="X1239" s="6" t="str">
        <v>Monitors/Terminals;Other Peripherals;Mainframes &amp; Super Computers;Other Software (inq. Games);Disk Drives;Micro-Computers (PCs);Portable Computers;Printers</v>
      </c>
      <c r="Y1239" s="6" t="str">
        <v>Monitors/Terminals;Portable Computers;Other Software (inq. Games);Mainframes &amp; Super Computers;Micro-Computers (PCs);Disk Drives;Printers;Other Peripherals</v>
      </c>
      <c r="Z1239" s="6" t="str">
        <v>Disk Drives;Mainframes &amp; Super Computers;Portable Computers;Printers;Micro-Computers (PCs);Other Software (inq. Games);Other Peripherals;Monitors/Terminals</v>
      </c>
      <c r="AA1239" s="6" t="str">
        <v>Micro-Computers (PCs);Disk Drives;Monitors/Terminals;Mainframes &amp; Super Computers;Portable Computers;Other Software (inq. Games);Printers;Other Peripherals</v>
      </c>
      <c r="AB1239" s="6" t="str">
        <v>Monitors/Terminals;Mainframes &amp; Super Computers;Disk Drives;Micro-Computers (PCs);Printers;Portable Computers;Other Software (inq. Games);Other Peripherals</v>
      </c>
      <c r="AC1239" s="8">
        <v>5000</v>
      </c>
      <c r="AD1239" s="7">
        <f>=DATE(2023,8,31)</f>
        <v>45168.99949074074</v>
      </c>
      <c r="AF1239" s="8" t="str">
        <v>2,754,214.97</v>
      </c>
      <c r="AG1239" s="8" t="str">
        <v>2,754,214.97</v>
      </c>
      <c r="AH1239" s="8" t="str">
        <v>2,681,508.97</v>
      </c>
      <c r="AI1239" s="8" t="str">
        <v>2,681,508.97</v>
      </c>
      <c r="AJ1239" s="8" t="str">
        <v>5,000.00</v>
      </c>
      <c r="AK1239" s="6" t="str">
        <v>US Dollar</v>
      </c>
      <c r="AL1239" s="8">
        <v>5000</v>
      </c>
    </row>
    <row r="1240">
      <c r="A1240" s="6" t="str">
        <v>73959W</v>
      </c>
      <c r="B1240" s="6" t="str">
        <v>United States</v>
      </c>
      <c r="C1240" s="6" t="str">
        <v>PowerSchool Group LLC</v>
      </c>
      <c r="D1240" s="6" t="str">
        <v>Powerschool Holdings Inc</v>
      </c>
      <c r="F1240" s="6" t="str">
        <v>India</v>
      </c>
      <c r="G1240" s="6" t="str">
        <v>Jarulss Software Solutions Pvt Ltd</v>
      </c>
      <c r="H1240" s="6" t="str">
        <v>Prepackaged Software</v>
      </c>
      <c r="I1240" s="6" t="str">
        <v>5P1790</v>
      </c>
      <c r="J1240" s="6" t="str">
        <v>Jarulss Software Solutions Pvt Ltd</v>
      </c>
      <c r="K1240" s="6" t="str">
        <v>Jarulss Software Solutions Pvt Ltd</v>
      </c>
      <c r="L1240" s="7">
        <f>=DATE(2023,9,5)</f>
        <v>45173.99949074074</v>
      </c>
      <c r="M1240" s="7">
        <f>=DATE(2023,9,5)</f>
        <v>45173.99949074074</v>
      </c>
      <c r="W1240" s="6" t="str">
        <v>Other Software (inq. Games)</v>
      </c>
      <c r="X1240" s="6" t="str">
        <v>Applications Software(Business;Internet Services &amp; Software;Utilities/File Mgmt Software;Applications Software(Home);Desktop Publishing;Communication/Network Software;Other Software (inq. Games)</v>
      </c>
      <c r="Y1240" s="6" t="str">
        <v>Internet Services &amp; Software;Other Software (inq. Games);Desktop Publishing;Applications Software(Business;Utilities/File Mgmt Software;Applications Software(Home);Communication/Network Software</v>
      </c>
      <c r="Z1240" s="6" t="str">
        <v>Desktop Publishing;Utilities/File Mgmt Software;Internet Services &amp; Software;Applications Software(Business;Applications Software(Home);Other Software (inq. Games);Communication/Network Software</v>
      </c>
      <c r="AA1240" s="6" t="str">
        <v>Applications Software(Home);Applications Software(Business;Other Software (inq. Games);Primary Business not Hi-Tech;Communication/Network Software;Utilities/File Mgmt Software;Desktop Publishing;Internet Services &amp; Software</v>
      </c>
      <c r="AB1240" s="6" t="str">
        <v>Primary Business not Hi-Tech;Internet Services &amp; Software;Utilities/File Mgmt Software;Applications Software(Business;Desktop Publishing;Other Software (inq. Games);Communication/Network Software;Applications Software(Home)</v>
      </c>
    </row>
    <row r="1241">
      <c r="A1241" s="6" t="str">
        <v>023135</v>
      </c>
      <c r="B1241" s="6" t="str">
        <v>United States</v>
      </c>
      <c r="C1241" s="6" t="str">
        <v>Amazon.com Inc</v>
      </c>
      <c r="D1241" s="6" t="str">
        <v>Amazon.com Inc</v>
      </c>
      <c r="E1241" s="6" t="str">
        <v>Amazon.com Inc</v>
      </c>
      <c r="F1241" s="6" t="str">
        <v>United States</v>
      </c>
      <c r="G1241" s="6" t="str">
        <v>Anthropic PBC</v>
      </c>
      <c r="H1241" s="6" t="str">
        <v>Business Services</v>
      </c>
      <c r="I1241" s="6" t="str">
        <v>5P0185</v>
      </c>
      <c r="J1241" s="6" t="str">
        <v>Anthropic PBC</v>
      </c>
      <c r="K1241" s="6" t="str">
        <v>Anthropic PBC</v>
      </c>
      <c r="L1241" s="7">
        <f>=DATE(2023,9,25)</f>
        <v>45193.99949074074</v>
      </c>
      <c r="M1241" s="7">
        <f>=DATE(2023,9,30)</f>
        <v>45198.99949074074</v>
      </c>
      <c r="N1241" s="8">
        <v>1250</v>
      </c>
      <c r="O1241" s="8">
        <v>1250</v>
      </c>
      <c r="Q1241" s="8" t="str">
        <v>2,750.00</v>
      </c>
      <c r="W1241" s="6" t="str">
        <v>Primary Business not Hi-Tech</v>
      </c>
      <c r="X1241" s="6" t="str">
        <v>Internet Services &amp; Software;Other Computer Related Svcs;Computer Consulting Services</v>
      </c>
      <c r="Y1241" s="6" t="str">
        <v>Computer Consulting Services;Other Computer Related Svcs;Internet Services &amp; Software</v>
      </c>
      <c r="Z1241" s="6" t="str">
        <v>Other Computer Related Svcs;Internet Services &amp; Software;Computer Consulting Services</v>
      </c>
      <c r="AA1241" s="6" t="str">
        <v>Primary Business not Hi-Tech</v>
      </c>
      <c r="AB1241" s="6" t="str">
        <v>Primary Business not Hi-Tech</v>
      </c>
      <c r="AC1241" s="8">
        <v>1250</v>
      </c>
      <c r="AD1241" s="7">
        <f>=DATE(2023,9,25)</f>
        <v>45193.99949074074</v>
      </c>
      <c r="AJ1241" s="8" t="str">
        <v>1,250.00</v>
      </c>
      <c r="AK1241" s="6" t="str">
        <v>US Dollar</v>
      </c>
      <c r="AL1241" s="8">
        <v>1250</v>
      </c>
    </row>
    <row r="1242">
      <c r="A1242" s="6" t="str">
        <v>023135</v>
      </c>
      <c r="B1242" s="6" t="str">
        <v>United States</v>
      </c>
      <c r="C1242" s="6" t="str">
        <v>Amazon.com Inc</v>
      </c>
      <c r="D1242" s="6" t="str">
        <v>Amazon.com Inc</v>
      </c>
      <c r="E1242" s="6" t="str">
        <v>Amazon.com Inc</v>
      </c>
      <c r="F1242" s="6" t="str">
        <v>United States</v>
      </c>
      <c r="G1242" s="6" t="str">
        <v>Anthropic PBC</v>
      </c>
      <c r="H1242" s="6" t="str">
        <v>Business Services</v>
      </c>
      <c r="I1242" s="6" t="str">
        <v>5P0185</v>
      </c>
      <c r="J1242" s="6" t="str">
        <v>Anthropic PBC</v>
      </c>
      <c r="K1242" s="6" t="str">
        <v>Anthropic PBC</v>
      </c>
      <c r="L1242" s="7">
        <f>=DATE(2023,9,25)</f>
        <v>45193.99949074074</v>
      </c>
      <c r="M1242" s="7">
        <f>=DATE(2024,3,28)</f>
        <v>45378.99949074074</v>
      </c>
      <c r="N1242" s="8">
        <v>2750</v>
      </c>
      <c r="O1242" s="8">
        <v>2750</v>
      </c>
      <c r="Q1242" s="8" t="str">
        <v>1,250.00</v>
      </c>
      <c r="W1242" s="6" t="str">
        <v>Primary Business not Hi-Tech</v>
      </c>
      <c r="X1242" s="6" t="str">
        <v>Computer Consulting Services;Internet Services &amp; Software;Other Computer Related Svcs</v>
      </c>
      <c r="Y1242" s="6" t="str">
        <v>Internet Services &amp; Software;Other Computer Related Svcs;Computer Consulting Services</v>
      </c>
      <c r="Z1242" s="6" t="str">
        <v>Internet Services &amp; Software;Other Computer Related Svcs;Computer Consulting Services</v>
      </c>
      <c r="AA1242" s="6" t="str">
        <v>Primary Business not Hi-Tech</v>
      </c>
      <c r="AB1242" s="6" t="str">
        <v>Primary Business not Hi-Tech</v>
      </c>
      <c r="AC1242" s="8">
        <v>2750</v>
      </c>
      <c r="AD1242" s="7">
        <f>=DATE(2023,9,25)</f>
        <v>45193.99949074074</v>
      </c>
      <c r="AJ1242" s="8" t="str">
        <v>2,750.00</v>
      </c>
      <c r="AK1242" s="6" t="str">
        <v>US Dollar</v>
      </c>
      <c r="AL1242" s="8">
        <v>2750</v>
      </c>
    </row>
    <row r="1243">
      <c r="A1243" s="6" t="str">
        <v>30303M</v>
      </c>
      <c r="B1243" s="6" t="str">
        <v>United States</v>
      </c>
      <c r="C1243" s="6" t="str">
        <v>Meta Platforms Inc</v>
      </c>
      <c r="D1243" s="6" t="str">
        <v>Meta Platforms Inc</v>
      </c>
      <c r="F1243" s="6" t="str">
        <v>United Kingdom</v>
      </c>
      <c r="G1243" s="6" t="str">
        <v>Efficient Translation Ltd</v>
      </c>
      <c r="H1243" s="6" t="str">
        <v>Prepackaged Software</v>
      </c>
      <c r="I1243" s="6" t="str">
        <v>0Q0845</v>
      </c>
      <c r="J1243" s="6" t="str">
        <v>Efficient Translation Ltd</v>
      </c>
      <c r="K1243" s="6" t="str">
        <v>Efficient Translation Ltd</v>
      </c>
      <c r="L1243" s="7">
        <f>=DATE(2023,11,17)</f>
        <v>45246.99949074074</v>
      </c>
      <c r="W1243" s="6" t="str">
        <v>Internet Services &amp; Software</v>
      </c>
      <c r="X1243" s="6" t="str">
        <v>Internet Services &amp; Software;Communication/Network Software</v>
      </c>
      <c r="Y1243" s="6" t="str">
        <v>Internet Services &amp; Software;Communication/Network Software</v>
      </c>
      <c r="Z1243" s="6" t="str">
        <v>Communication/Network Software;Internet Services &amp; Software</v>
      </c>
      <c r="AA1243" s="6" t="str">
        <v>Internet Services &amp; Software</v>
      </c>
      <c r="AB1243" s="6" t="str">
        <v>Internet Services &amp; Software</v>
      </c>
    </row>
    <row r="1244">
      <c r="A1244" s="6" t="str">
        <v>4K2733</v>
      </c>
      <c r="B1244" s="6" t="str">
        <v>United States</v>
      </c>
      <c r="C1244" s="6" t="str">
        <v>Google International LLC</v>
      </c>
      <c r="D1244" s="6" t="str">
        <v>Alphabet Inc</v>
      </c>
      <c r="F1244" s="6" t="str">
        <v>South Korea</v>
      </c>
      <c r="G1244" s="6" t="str">
        <v>Cafe24 Corp</v>
      </c>
      <c r="H1244" s="6" t="str">
        <v>Business Services</v>
      </c>
      <c r="I1244" s="6" t="str">
        <v>7F5386</v>
      </c>
      <c r="J1244" s="6" t="str">
        <v>Cafe24 Corp</v>
      </c>
      <c r="K1244" s="6" t="str">
        <v>Cafe24 Corp</v>
      </c>
      <c r="L1244" s="7">
        <f>=DATE(2023,12,5)</f>
        <v>45264.99949074074</v>
      </c>
      <c r="M1244" s="7">
        <f>=DATE(2024,1,16)</f>
        <v>45306.99949074074</v>
      </c>
      <c r="N1244" s="8">
        <v>19.8007199847299</v>
      </c>
      <c r="O1244" s="8">
        <v>19.8007199847299</v>
      </c>
      <c r="P1244" s="8" t="str">
        <v>254.89</v>
      </c>
      <c r="R1244" s="8">
        <v>-25.2685212710103</v>
      </c>
      <c r="S1244" s="8">
        <v>205.618840354652</v>
      </c>
      <c r="T1244" s="8">
        <v>-20.505309433</v>
      </c>
      <c r="U1244" s="8">
        <v>6.884389674</v>
      </c>
      <c r="V1244" s="8">
        <v>21.930569914</v>
      </c>
      <c r="W1244" s="6" t="str">
        <v>Internet Services &amp; Software</v>
      </c>
      <c r="X1244" s="6" t="str">
        <v>Computer Consulting Services;Other Computer Related Svcs;Other Software (inq. Games)</v>
      </c>
      <c r="Y1244" s="6" t="str">
        <v>Other Software (inq. Games);Computer Consulting Services;Other Computer Related Svcs</v>
      </c>
      <c r="Z1244" s="6" t="str">
        <v>Other Computer Related Svcs;Computer Consulting Services;Other Software (inq. Games)</v>
      </c>
      <c r="AA1244" s="6" t="str">
        <v>Programming Services;Internet Services &amp; Software</v>
      </c>
      <c r="AB1244" s="6" t="str">
        <v>Telecommunications Equipment;Programming Services;Internet Services &amp; Software;Primary Business not Hi-Tech;Computer Consulting Services</v>
      </c>
      <c r="AC1244" s="8">
        <v>19.8007199847299</v>
      </c>
      <c r="AD1244" s="7">
        <f>=DATE(2023,12,5)</f>
        <v>45264.99949074074</v>
      </c>
      <c r="AE1244" s="8">
        <v>272.65627496087</v>
      </c>
      <c r="AF1244" s="8" t="str">
        <v>252.56</v>
      </c>
      <c r="AG1244" s="8" t="str">
        <v>247.93</v>
      </c>
      <c r="AH1244" s="8" t="str">
        <v>247.49</v>
      </c>
      <c r="AI1244" s="8" t="str">
        <v>252.12</v>
      </c>
      <c r="AK1244" s="6" t="str">
        <v>South Korean Won</v>
      </c>
      <c r="AL1244" s="8">
        <v>19.8007199847299</v>
      </c>
    </row>
    <row r="1245">
      <c r="A1245" s="6" t="str">
        <v>037833</v>
      </c>
      <c r="B1245" s="6" t="str">
        <v>United States</v>
      </c>
      <c r="C1245" s="6" t="str">
        <v>Apple Inc</v>
      </c>
      <c r="D1245" s="6" t="str">
        <v>Apple Inc</v>
      </c>
      <c r="F1245" s="6" t="str">
        <v>Canada</v>
      </c>
      <c r="G1245" s="6" t="str">
        <v>DarwinAI Corp</v>
      </c>
      <c r="H1245" s="6" t="str">
        <v>Prepackaged Software</v>
      </c>
      <c r="I1245" s="6" t="str">
        <v>1L7840</v>
      </c>
      <c r="J1245" s="6" t="str">
        <v>DarwinAI Corp</v>
      </c>
      <c r="K1245" s="6" t="str">
        <v>DarwinAI Corp</v>
      </c>
      <c r="L1245" s="7">
        <f>=DATE(2024,1,1)</f>
        <v>45291.99949074074</v>
      </c>
      <c r="M1245" s="7">
        <f>=DATE(2024,1,1)</f>
        <v>45291.99949074074</v>
      </c>
      <c r="W1245" s="6" t="str">
        <v>Mainframes &amp; Super Computers;Other Peripherals;Other Software (inq. Games);Disk Drives;Printers;Micro-Computers (PCs);Monitors/Terminals;Portable Computers</v>
      </c>
      <c r="X1245" s="6" t="str">
        <v>Desktop Publishing;Applications Software(Home);Internet Services &amp; Software;Applications Software(Business;Other Software (inq. Games);Utilities/File Mgmt Software;Communication/Network Software</v>
      </c>
      <c r="Y1245" s="6" t="str">
        <v>Internet Services &amp; Software;Desktop Publishing;Other Software (inq. Games);Utilities/File Mgmt Software;Applications Software(Business;Applications Software(Home);Communication/Network Software</v>
      </c>
      <c r="Z1245" s="6" t="str">
        <v>Applications Software(Home);Applications Software(Business;Internet Services &amp; Software;Desktop Publishing;Communication/Network Software;Other Software (inq. Games);Utilities/File Mgmt Software</v>
      </c>
      <c r="AA1245" s="6" t="str">
        <v>Printers;Disk Drives;Portable Computers;Mainframes &amp; Super Computers;Other Peripherals;Micro-Computers (PCs);Other Software (inq. Games);Monitors/Terminals</v>
      </c>
      <c r="AB1245" s="6" t="str">
        <v>Disk Drives;Monitors/Terminals;Other Software (inq. Games);Other Peripherals;Printers;Portable Computers;Mainframes &amp; Super Computers;Micro-Computers (PCs)</v>
      </c>
    </row>
    <row r="1246">
      <c r="A1246" s="6" t="str">
        <v>4K2733</v>
      </c>
      <c r="B1246" s="6" t="str">
        <v>United States</v>
      </c>
      <c r="C1246" s="6" t="str">
        <v>Google International LLC</v>
      </c>
      <c r="D1246" s="6" t="str">
        <v>Alphabet Inc</v>
      </c>
      <c r="F1246" s="6" t="str">
        <v>United Kingdom</v>
      </c>
      <c r="G1246" s="6" t="str">
        <v>Mohold Ltd</v>
      </c>
      <c r="H1246" s="6" t="str">
        <v>Printing, Publishing, and Allied Services</v>
      </c>
      <c r="I1246" s="6" t="str">
        <v>2Q2670</v>
      </c>
      <c r="J1246" s="6" t="str">
        <v>Mohold Ltd</v>
      </c>
      <c r="K1246" s="6" t="str">
        <v>Mohold Ltd</v>
      </c>
      <c r="L1246" s="7">
        <f>=DATE(2024,1,24)</f>
        <v>45314.99949074074</v>
      </c>
      <c r="M1246" s="7">
        <f>=DATE(2024,1,24)</f>
        <v>45314.99949074074</v>
      </c>
      <c r="W1246" s="6" t="str">
        <v>Internet Services &amp; Software</v>
      </c>
      <c r="X1246" s="6" t="str">
        <v>Internet Services &amp; Software;Primary Business not Hi-Tech;Networking Systems (LAN,WAN);Satellite Communications;Other Computer Related Svcs;Computer Consulting Services</v>
      </c>
      <c r="Y1246" s="6" t="str">
        <v>Internet Services &amp; Software;Networking Systems (LAN,WAN);Satellite Communications;Computer Consulting Services;Primary Business not Hi-Tech;Other Computer Related Svcs</v>
      </c>
      <c r="Z1246" s="6" t="str">
        <v>Primary Business not Hi-Tech;Computer Consulting Services;Other Computer Related Svcs;Satellite Communications;Networking Systems (LAN,WAN);Internet Services &amp; Software</v>
      </c>
      <c r="AA1246" s="6" t="str">
        <v>Programming Services;Internet Services &amp; Software</v>
      </c>
      <c r="AB1246" s="6" t="str">
        <v>Programming Services;Primary Business not Hi-Tech;Computer Consulting Services;Telecommunications Equipment;Internet Services &amp; Software</v>
      </c>
    </row>
    <row r="1247">
      <c r="A1247" s="6" t="str">
        <v>594918</v>
      </c>
      <c r="B1247" s="6" t="str">
        <v>United States</v>
      </c>
      <c r="C1247" s="6" t="str">
        <v>Microsoft Corp</v>
      </c>
      <c r="D1247" s="6" t="str">
        <v>Microsoft Corp</v>
      </c>
      <c r="F1247" s="6" t="str">
        <v>France</v>
      </c>
      <c r="G1247" s="6" t="str">
        <v>Mistral AI SAS</v>
      </c>
      <c r="H1247" s="6" t="str">
        <v>Prepackaged Software</v>
      </c>
      <c r="I1247" s="6" t="str">
        <v>4P9171</v>
      </c>
      <c r="J1247" s="6" t="str">
        <v>Mistral AI SAS</v>
      </c>
      <c r="K1247" s="6" t="str">
        <v>Mistral AI SAS</v>
      </c>
      <c r="L1247" s="7">
        <f>=DATE(2024,2,26)</f>
        <v>45347.99949074074</v>
      </c>
      <c r="N1247" s="8">
        <v>16.2269172102684</v>
      </c>
      <c r="O1247" s="8">
        <v>16.2269172102684</v>
      </c>
      <c r="W1247" s="6" t="str">
        <v>Computer Consulting Services;Operating Systems;Monitors/Terminals;Applications Software(Business;Other Peripherals;Internet Services &amp; Software</v>
      </c>
      <c r="X1247" s="6" t="str">
        <v>Desktop Publishing;Other Software (inq. Games);Internet Services &amp; Software;Applications Software(Business;Utilities/File Mgmt Software;Communication/Network Software;Applications Software(Home)</v>
      </c>
      <c r="Y1247" s="6" t="str">
        <v>Utilities/File Mgmt Software;Desktop Publishing;Internet Services &amp; Software;Applications Software(Business;Other Software (inq. Games);Applications Software(Home);Communication/Network Software</v>
      </c>
      <c r="Z1247" s="6" t="str">
        <v>Internet Services &amp; Software;Communication/Network Software;Applications Software(Home);Applications Software(Business;Desktop Publishing;Other Software (inq. Games);Utilities/File Mgmt Software</v>
      </c>
      <c r="AA1247" s="6" t="str">
        <v>Operating Systems;Computer Consulting Services;Internet Services &amp; Software;Applications Software(Business;Other Peripherals;Monitors/Terminals</v>
      </c>
      <c r="AB1247" s="6" t="str">
        <v>Internet Services &amp; Software;Monitors/Terminals;Operating Systems;Computer Consulting Services;Other Peripherals;Applications Software(Business</v>
      </c>
      <c r="AC1247" s="8">
        <v>16.2269172102684</v>
      </c>
      <c r="AD1247" s="7">
        <f>=DATE(2024,2,26)</f>
        <v>45347.99949074074</v>
      </c>
      <c r="AL1247" s="8">
        <v>16.2269172102684</v>
      </c>
    </row>
    <row r="1248">
      <c r="A1248" s="6" t="str">
        <v>4C7902</v>
      </c>
      <c r="B1248" s="6" t="str">
        <v>United States</v>
      </c>
      <c r="C1248" s="6" t="str">
        <v>Amazon Web Services Inc</v>
      </c>
      <c r="D1248" s="6" t="str">
        <v>Amazon.com Inc</v>
      </c>
      <c r="F1248" s="6" t="str">
        <v>United States</v>
      </c>
      <c r="G1248" s="6" t="str">
        <v>Talen Energy Corp-Data Center</v>
      </c>
      <c r="H1248" s="6" t="str">
        <v>Business Services</v>
      </c>
      <c r="I1248" s="6" t="str">
        <v>2Q0813</v>
      </c>
      <c r="J1248" s="6" t="str">
        <v>Riverstone Holdings LLC</v>
      </c>
      <c r="K1248" s="6" t="str">
        <v>Talen Energy Corp</v>
      </c>
      <c r="L1248" s="7">
        <f>=DATE(2024,3,4)</f>
        <v>45354.99949074074</v>
      </c>
      <c r="M1248" s="7">
        <f>=DATE(2024,3,4)</f>
        <v>45354.99949074074</v>
      </c>
      <c r="W1248" s="6" t="str">
        <v>Other Computer Related Svcs;Internet Services &amp; Software;Data Processing Services;Primary Business not Hi-Tech;Computer Consulting Services</v>
      </c>
      <c r="X1248" s="6" t="str">
        <v>Computer Consulting Services;Internet Services &amp; Software;Data Processing Services;Primary Business not Hi-Tech;Other Computer Related Svcs</v>
      </c>
      <c r="Y1248" s="6" t="str">
        <v>Primary Business not Hi-Tech</v>
      </c>
      <c r="Z1248" s="6" t="str">
        <v>Primary Business not Hi-Tech</v>
      </c>
      <c r="AA1248" s="6" t="str">
        <v>Primary Business not Hi-Tech</v>
      </c>
      <c r="AB1248" s="6" t="str">
        <v>Primary Business not Hi-Tech</v>
      </c>
    </row>
    <row r="1249">
      <c r="A1249" s="6" t="str">
        <v>4C7902</v>
      </c>
      <c r="B1249" s="6" t="str">
        <v>United States</v>
      </c>
      <c r="C1249" s="6" t="str">
        <v>Amazon Web Services Inc</v>
      </c>
      <c r="D1249" s="6" t="str">
        <v>Amazon.com Inc</v>
      </c>
      <c r="F1249" s="6" t="str">
        <v>United States</v>
      </c>
      <c r="G1249" s="6" t="str">
        <v>Cumulus Digital LLC</v>
      </c>
      <c r="H1249" s="6" t="str">
        <v>Business Services</v>
      </c>
      <c r="I1249" s="6" t="str">
        <v>8L2740</v>
      </c>
      <c r="J1249" s="6" t="str">
        <v>Riverstone Holdings LLC</v>
      </c>
      <c r="K1249" s="6" t="str">
        <v>Talen Energy Corp</v>
      </c>
      <c r="L1249" s="7">
        <f>=DATE(2024,3,4)</f>
        <v>45354.99949074074</v>
      </c>
      <c r="M1249" s="7">
        <f>=DATE(2024,3,4)</f>
        <v>45354.99949074074</v>
      </c>
      <c r="N1249" s="8">
        <v>650</v>
      </c>
      <c r="O1249" s="8">
        <v>650</v>
      </c>
      <c r="W1249" s="6" t="str">
        <v>Other Computer Related Svcs;Primary Business not Hi-Tech;Data Processing Services;Computer Consulting Services;Internet Services &amp; Software</v>
      </c>
      <c r="X1249" s="6" t="str">
        <v>Other Computer Related Svcs</v>
      </c>
      <c r="Y1249" s="6" t="str">
        <v>Primary Business not Hi-Tech</v>
      </c>
      <c r="Z1249" s="6" t="str">
        <v>Primary Business not Hi-Tech</v>
      </c>
      <c r="AA1249" s="6" t="str">
        <v>Primary Business not Hi-Tech</v>
      </c>
      <c r="AB1249" s="6" t="str">
        <v>Primary Business not Hi-Tech</v>
      </c>
      <c r="AC1249" s="8">
        <v>650</v>
      </c>
      <c r="AD1249" s="7">
        <f>=DATE(2024,3,4)</f>
        <v>45354.99949074074</v>
      </c>
      <c r="AJ1249" s="8" t="str">
        <v>350.00;300.00</v>
      </c>
      <c r="AK1249" s="6" t="str">
        <v>US Dollar;US Dollar</v>
      </c>
      <c r="AL1249" s="8">
        <v>650</v>
      </c>
    </row>
    <row r="1250">
      <c r="A1250" s="6" t="str">
        <v>594918</v>
      </c>
      <c r="B1250" s="6" t="str">
        <v>United States</v>
      </c>
      <c r="C1250" s="6" t="str">
        <v>Microsoft Corp</v>
      </c>
      <c r="D1250" s="6" t="str">
        <v>Microsoft Corp</v>
      </c>
      <c r="F1250" s="6" t="str">
        <v>United Arab Emirates</v>
      </c>
      <c r="G1250" s="6" t="str">
        <v>Group 42 Holding Ltd</v>
      </c>
      <c r="H1250" s="6" t="str">
        <v>Business Services</v>
      </c>
      <c r="I1250" s="6" t="str">
        <v>5J7268</v>
      </c>
      <c r="J1250" s="6" t="str">
        <v>Group 42 Holding Ltd</v>
      </c>
      <c r="K1250" s="6" t="str">
        <v>Group 42 Holding Ltd</v>
      </c>
      <c r="L1250" s="7">
        <f>=DATE(2024,4,15)</f>
        <v>45396.99949074074</v>
      </c>
      <c r="M1250" s="7">
        <f>=DATE(2024,4,15)</f>
        <v>45396.99949074074</v>
      </c>
      <c r="N1250" s="8">
        <v>1500</v>
      </c>
      <c r="O1250" s="8">
        <v>1500</v>
      </c>
      <c r="W1250" s="6" t="str">
        <v>Other Peripherals;Internet Services &amp; Software;Monitors/Terminals;Operating Systems;Computer Consulting Services;Applications Software(Business</v>
      </c>
      <c r="X1250" s="6" t="str">
        <v>Applications Software(Business;Networking Systems (LAN,WAN);Other Computer Systems;Internet Services &amp; Software;Desktop Publishing;Communication/Network Software;Utilities/File Mgmt Software;Data Commun(Exclude networking;Data Processing Services;Computer Consulting Services;Primary Business not Hi-Tech;Other Computer Related Svcs;Workstations;Turnkey Systems;CAD/CAM/CAE/Graphics Systems;Operating Systems;Other Software (inq. Games);Applications Software(Home)</v>
      </c>
      <c r="Y1250" s="6" t="str">
        <v>Desktop Publishing;Operating Systems;Other Software (inq. Games);Networking Systems (LAN,WAN);Other Computer Related Svcs;Utilities/File Mgmt Software;Communication/Network Software;Data Commun(Exclude networking;Data Processing Services;Primary Business not Hi-Tech;Workstations;Computer Consulting Services;Internet Services &amp; Software;Turnkey Systems;CAD/CAM/CAE/Graphics Systems;Other Computer Systems;Applications Software(Business;Applications Software(Home)</v>
      </c>
      <c r="Z1250" s="6" t="str">
        <v>Communication/Network Software;Desktop Publishing;Computer Consulting Services;Data Processing Services;Data Commun(Exclude networking;Internet Services &amp; Software;Other Computer Related Svcs;Primary Business not Hi-Tech;Workstations;Networking Systems (LAN,WAN);Turnkey Systems;Utilities/File Mgmt Software;Other Software (inq. Games);Applications Software(Home);Applications Software(Business;Operating Systems;Other Computer Systems;CAD/CAM/CAE/Graphics Systems</v>
      </c>
      <c r="AA1250" s="6" t="str">
        <v>Computer Consulting Services;Operating Systems;Internet Services &amp; Software;Other Peripherals;Monitors/Terminals;Applications Software(Business</v>
      </c>
      <c r="AB1250" s="6" t="str">
        <v>Other Peripherals;Computer Consulting Services;Operating Systems;Applications Software(Business;Monitors/Terminals;Internet Services &amp; Software</v>
      </c>
      <c r="AC1250" s="8">
        <v>1500</v>
      </c>
      <c r="AD1250" s="7">
        <f>=DATE(2024,4,15)</f>
        <v>45396.99949074074</v>
      </c>
      <c r="AJ1250" s="8" t="str">
        <v>1,500.00</v>
      </c>
      <c r="AK1250" s="6" t="str">
        <v>US Dollar</v>
      </c>
      <c r="AL1250" s="8">
        <v>1500</v>
      </c>
    </row>
    <row r="1251">
      <c r="A1251" s="6" t="str">
        <v>3H5923</v>
      </c>
      <c r="B1251" s="6" t="str">
        <v>United States</v>
      </c>
      <c r="C1251" s="6" t="str">
        <v>Armis Inc</v>
      </c>
      <c r="D1251" s="6" t="str">
        <v>Insight Holdings Group LLC</v>
      </c>
      <c r="F1251" s="6" t="str">
        <v>United States</v>
      </c>
      <c r="G1251" s="6" t="str">
        <v>Silk Security Inc</v>
      </c>
      <c r="H1251" s="6" t="str">
        <v>Prepackaged Software</v>
      </c>
      <c r="I1251" s="6" t="str">
        <v>2P2884</v>
      </c>
      <c r="J1251" s="6" t="str">
        <v>Silk Security Inc</v>
      </c>
      <c r="K1251" s="6" t="str">
        <v>Silk Security Inc</v>
      </c>
      <c r="L1251" s="7">
        <f>=DATE(2024,4,17)</f>
        <v>45398.99949074074</v>
      </c>
      <c r="M1251" s="7">
        <f>=DATE(2024,4,17)</f>
        <v>45398.99949074074</v>
      </c>
      <c r="N1251" s="8">
        <v>150</v>
      </c>
      <c r="O1251" s="8">
        <v>150</v>
      </c>
      <c r="S1251" s="8">
        <v>5</v>
      </c>
      <c r="W1251" s="6" t="str">
        <v>Data Processing Services;Database Software/Programming;Computer Consulting Services;Programming Services;Other Computer Related Svcs;Internet Services &amp; Software</v>
      </c>
      <c r="X1251" s="6" t="str">
        <v>Internet Services &amp; Software;Other Computer Related Svcs;Operating Systems;Other Software (inq. Games);Workstations;Turnkey Systems;CAD/CAM/CAE/Graphics Systems;Applications Software(Business;Applications Software(Home);Utilities/File Mgmt Software;Communication/Network Software;Desktop Publishing;Other Computer Systems;Networking Systems (LAN,WAN);Data Commun(Exclude networking;Computer Consulting Services</v>
      </c>
      <c r="Y1251" s="6" t="str">
        <v>Workstations;Networking Systems (LAN,WAN);Turnkey Systems;CAD/CAM/CAE/Graphics Systems;Other Computer Systems;Applications Software(Business;Applications Software(Home);Desktop Publishing;Communication/Network Software;Computer Consulting Services;Utilities/File Mgmt Software;Data Commun(Exclude networking;Other Software (inq. Games);Other Computer Related Svcs;Operating Systems;Internet Services &amp; Software</v>
      </c>
      <c r="Z1251" s="6" t="str">
        <v>Networking Systems (LAN,WAN);Workstations;Other Software (inq. Games);Utilities/File Mgmt Software;Other Computer Related Svcs;CAD/CAM/CAE/Graphics Systems;Communication/Network Software;Turnkey Systems;Desktop Publishing;Computer Consulting Services;Applications Software(Home);Data Commun(Exclude networking;Applications Software(Business;Other Computer Systems;Internet Services &amp; Software;Operating Systems</v>
      </c>
      <c r="AA1251" s="6" t="str">
        <v>Primary Business not Hi-Tech</v>
      </c>
      <c r="AB1251" s="6" t="str">
        <v>Primary Business not Hi-Tech</v>
      </c>
      <c r="AC1251" s="8">
        <v>150</v>
      </c>
      <c r="AD1251" s="7">
        <f>=DATE(2024,4,17)</f>
        <v>45398.99949074074</v>
      </c>
      <c r="AJ1251" s="8" t="str">
        <v>150.00</v>
      </c>
      <c r="AK1251" s="6" t="str">
        <v>US Dollar</v>
      </c>
      <c r="AL1251" s="8">
        <v>150</v>
      </c>
    </row>
    <row r="1252">
      <c r="A1252" s="6" t="str">
        <v>037833</v>
      </c>
      <c r="B1252" s="6" t="str">
        <v>United States</v>
      </c>
      <c r="C1252" s="6" t="str">
        <v>Apple Inc</v>
      </c>
      <c r="D1252" s="6" t="str">
        <v>Apple Inc</v>
      </c>
      <c r="F1252" s="6" t="str">
        <v>France</v>
      </c>
      <c r="G1252" s="6" t="str">
        <v>Datakalab</v>
      </c>
      <c r="H1252" s="6" t="str">
        <v>Prepackaged Software</v>
      </c>
      <c r="I1252" s="6" t="str">
        <v>3Q1064</v>
      </c>
      <c r="J1252" s="6" t="str">
        <v>Datakalab</v>
      </c>
      <c r="K1252" s="6" t="str">
        <v>Datakalab</v>
      </c>
      <c r="L1252" s="7">
        <f>=DATE(2024,4,22)</f>
        <v>45403.99949074074</v>
      </c>
      <c r="M1252" s="7">
        <f>=DATE(2024,4,22)</f>
        <v>45403.99949074074</v>
      </c>
      <c r="W1252" s="6" t="str">
        <v>Micro-Computers (PCs);Disk Drives;Mainframes &amp; Super Computers;Other Peripherals;Printers;Other Software (inq. Games);Portable Computers;Monitors/Terminals</v>
      </c>
      <c r="X1252" s="6" t="str">
        <v>Applications Software(Business;Applications Software(Home);Communication/Network Software;Utilities/File Mgmt Software;Internet Services &amp; Software;Other Software (inq. Games);Desktop Publishing</v>
      </c>
      <c r="Y1252" s="6" t="str">
        <v>Applications Software(Home);Desktop Publishing;Communication/Network Software;Utilities/File Mgmt Software;Applications Software(Business;Internet Services &amp; Software;Other Software (inq. Games)</v>
      </c>
      <c r="Z1252" s="6" t="str">
        <v>Applications Software(Home);Applications Software(Business;Other Software (inq. Games);Desktop Publishing;Internet Services &amp; Software;Communication/Network Software;Utilities/File Mgmt Software</v>
      </c>
      <c r="AA1252" s="6" t="str">
        <v>Monitors/Terminals;Other Peripherals;Micro-Computers (PCs);Other Software (inq. Games);Printers;Mainframes &amp; Super Computers;Portable Computers;Disk Drives</v>
      </c>
      <c r="AB1252" s="6" t="str">
        <v>Other Peripherals;Micro-Computers (PCs);Disk Drives;Portable Computers;Mainframes &amp; Super Computers;Other Software (inq. Games);Monitors/Terminals;Printers</v>
      </c>
    </row>
    <row r="1253">
      <c r="A1253" s="6" t="str">
        <v>7J8440</v>
      </c>
      <c r="B1253" s="6" t="str">
        <v>United States</v>
      </c>
      <c r="C1253" s="6" t="str">
        <v>Google LLC</v>
      </c>
      <c r="D1253" s="6" t="str">
        <v>Alphabet Inc</v>
      </c>
      <c r="F1253" s="6" t="str">
        <v>India</v>
      </c>
      <c r="G1253" s="6" t="str">
        <v>Flipkart Internet Pvt Ltd</v>
      </c>
      <c r="H1253" s="6" t="str">
        <v>Miscellaneous Retail Trade</v>
      </c>
      <c r="I1253" s="6" t="str">
        <v>4H1270</v>
      </c>
      <c r="J1253" s="6" t="str">
        <v>Walmart Inc</v>
      </c>
      <c r="K1253" s="6" t="str">
        <v>Walmart Inc</v>
      </c>
      <c r="L1253" s="7">
        <f>=DATE(2024,5,24)</f>
        <v>45435.99949074074</v>
      </c>
      <c r="M1253" s="7">
        <f>=DATE(2024,6,27)</f>
        <v>45469.99949074074</v>
      </c>
      <c r="N1253" s="8">
        <v>350</v>
      </c>
      <c r="O1253" s="8">
        <v>350</v>
      </c>
      <c r="S1253" s="8">
        <v>6792.65215433301</v>
      </c>
      <c r="W1253" s="6" t="str">
        <v>Internet Services &amp; Software;Programming Services</v>
      </c>
      <c r="X1253" s="6" t="str">
        <v>Internet Services &amp; Software;Primary Business not Hi-Tech</v>
      </c>
      <c r="Y1253" s="6" t="str">
        <v>Primary Business not Hi-Tech</v>
      </c>
      <c r="Z1253" s="6" t="str">
        <v>Primary Business not Hi-Tech</v>
      </c>
      <c r="AA1253" s="6" t="str">
        <v>Internet Services &amp; Software;Primary Business not Hi-Tech;Programming Services;Telecommunications Equipment;Computer Consulting Services</v>
      </c>
      <c r="AB1253" s="6" t="str">
        <v>Programming Services;Internet Services &amp; Software;Computer Consulting Services;Telecommunications Equipment;Primary Business not Hi-Tech</v>
      </c>
      <c r="AC1253" s="8">
        <v>350</v>
      </c>
      <c r="AD1253" s="7">
        <f>=DATE(2024,5,24)</f>
        <v>45435.99949074074</v>
      </c>
      <c r="AJ1253" s="8" t="str">
        <v>350.00</v>
      </c>
      <c r="AK1253" s="6" t="str">
        <v>Indian Rupee</v>
      </c>
      <c r="AL1253" s="8">
        <v>350</v>
      </c>
    </row>
    <row r="1254">
      <c r="A1254" s="6" t="str">
        <v>023135</v>
      </c>
      <c r="B1254" s="6" t="str">
        <v>United States</v>
      </c>
      <c r="C1254" s="6" t="str">
        <v>Amazon.com Inc</v>
      </c>
      <c r="D1254" s="6" t="str">
        <v>Amazon.com Inc</v>
      </c>
      <c r="F1254" s="6" t="str">
        <v>India</v>
      </c>
      <c r="G1254" s="6" t="str">
        <v>MX Media &amp; Entertainment Pte Ltd</v>
      </c>
      <c r="H1254" s="6" t="str">
        <v>Business Services</v>
      </c>
      <c r="I1254" s="6" t="str">
        <v>7J4774</v>
      </c>
      <c r="J1254" s="6" t="str">
        <v>Bennett Coleman &amp; Co Ltd</v>
      </c>
      <c r="K1254" s="6" t="str">
        <v>Times Internet Ltd</v>
      </c>
      <c r="L1254" s="7">
        <f>=DATE(2024,5,29)</f>
        <v>45440.99949074074</v>
      </c>
      <c r="W1254" s="6" t="str">
        <v>Primary Business not Hi-Tech</v>
      </c>
      <c r="X1254" s="6" t="str">
        <v>Other Electronics;Superconductors;Semiconductors</v>
      </c>
      <c r="Y1254" s="6" t="str">
        <v>Desktop Publishing;Primary Business not Hi-Tech;Applications Software(Business;Workstations;Data Commun(Exclude networking;Data Processing Services;Networking Systems (LAN,WAN);Other Computer Related Svcs;Communication/Network Software;Other Software (inq. Games);Other Computer Systems;Turnkey Systems;Utilities/File Mgmt Software;CAD/CAM/CAE/Graphics Systems;Applications Software(Home);Internet Services &amp; Software;Operating Systems;Computer Consulting Services</v>
      </c>
      <c r="Z1254" s="6" t="str">
        <v>Primary Business not Hi-Tech</v>
      </c>
      <c r="AA1254" s="6" t="str">
        <v>Primary Business not Hi-Tech</v>
      </c>
      <c r="AB1254" s="6" t="str">
        <v>Primary Business not Hi-Tech</v>
      </c>
    </row>
    <row r="1255">
      <c r="A1255" s="6" t="str">
        <v>7J8440</v>
      </c>
      <c r="B1255" s="6" t="str">
        <v>United States</v>
      </c>
      <c r="C1255" s="6" t="str">
        <v>Google LLC</v>
      </c>
      <c r="D1255" s="6" t="str">
        <v>Alphabet Inc</v>
      </c>
      <c r="F1255" s="6" t="str">
        <v>United States</v>
      </c>
      <c r="G1255" s="6" t="str">
        <v>Cameyo Inc</v>
      </c>
      <c r="H1255" s="6" t="str">
        <v>Prepackaged Software</v>
      </c>
      <c r="I1255" s="6" t="str">
        <v>4Q6117</v>
      </c>
      <c r="J1255" s="6" t="str">
        <v>Cameyo Inc</v>
      </c>
      <c r="K1255" s="6" t="str">
        <v>Cameyo Inc</v>
      </c>
      <c r="L1255" s="7">
        <f>=DATE(2024,6,5)</f>
        <v>45447.99949074074</v>
      </c>
      <c r="M1255" s="7">
        <f>=DATE(2024,6,5)</f>
        <v>45447.99949074074</v>
      </c>
      <c r="W1255" s="6" t="str">
        <v>Internet Services &amp; Software;Programming Services</v>
      </c>
      <c r="X1255" s="6" t="str">
        <v>Utilities/File Mgmt Software;Other Software (inq. Games);Data Commun(Exclude networking;Applications Software(Business;Communication/Network Software;Operating Systems;Internet Services &amp; Software;Networking Systems (LAN,WAN);Workstations;Applications Software(Home);Desktop Publishing;Turnkey Systems;Other Computer Related Svcs;CAD/CAM/CAE/Graphics Systems;Computer Consulting Services;Other Computer Systems</v>
      </c>
      <c r="Y1255" s="6" t="str">
        <v>Internet Services &amp; Software;Utilities/File Mgmt Software;CAD/CAM/CAE/Graphics Systems;Operating Systems;Workstations;Other Software (inq. Games);Turnkey Systems;Networking Systems (LAN,WAN);Applications Software(Home);Communication/Network Software;Desktop Publishing;Other Computer Related Svcs;Computer Consulting Services;Data Commun(Exclude networking;Applications Software(Business;Other Computer Systems</v>
      </c>
      <c r="Z1255" s="6" t="str">
        <v>Applications Software(Home);Data Commun(Exclude networking;Desktop Publishing;Computer Consulting Services;Workstations;Networking Systems (LAN,WAN);Other Computer Related Svcs;Turnkey Systems;CAD/CAM/CAE/Graphics Systems;Other Computer Systems;Operating Systems;Applications Software(Business;Other Software (inq. Games);Internet Services &amp; Software;Utilities/File Mgmt Software;Communication/Network Software</v>
      </c>
      <c r="AA1255" s="6" t="str">
        <v>Programming Services;Computer Consulting Services;Telecommunications Equipment;Internet Services &amp; Software;Primary Business not Hi-Tech</v>
      </c>
      <c r="AB1255" s="6" t="str">
        <v>Internet Services &amp; Software;Computer Consulting Services;Primary Business not Hi-Tech;Programming Services;Telecommunications Equipment</v>
      </c>
    </row>
    <row r="1256">
      <c r="A1256" s="6" t="str">
        <v>023135</v>
      </c>
      <c r="B1256" s="6" t="str">
        <v>United States</v>
      </c>
      <c r="C1256" s="6" t="str">
        <v>Amazon.com Inc</v>
      </c>
      <c r="D1256" s="6" t="str">
        <v>Amazon.com Inc</v>
      </c>
      <c r="F1256" s="6" t="str">
        <v>India</v>
      </c>
      <c r="G1256" s="6" t="str">
        <v>Bundl Technologies Pvt Ltd-Instamart</v>
      </c>
      <c r="H1256" s="6" t="str">
        <v>Business Services</v>
      </c>
      <c r="I1256" s="6" t="str">
        <v>7Q0161</v>
      </c>
      <c r="J1256" s="6" t="str">
        <v>Swiggy Pvt Ltd</v>
      </c>
      <c r="K1256" s="6" t="str">
        <v>Swiggy Pvt Ltd</v>
      </c>
      <c r="L1256" s="7">
        <f>=DATE(2024,7,22)</f>
        <v>45494.99949074074</v>
      </c>
      <c r="W1256" s="6" t="str">
        <v>Primary Business not Hi-Tech</v>
      </c>
      <c r="X1256" s="6" t="str">
        <v>Networking Systems (LAN,WAN);Internet Services &amp; Software</v>
      </c>
      <c r="Y1256" s="6" t="str">
        <v>Internet Services &amp; Software;Primary Business not Hi-Tech;Networking Systems (LAN,WAN)</v>
      </c>
      <c r="Z1256" s="6" t="str">
        <v>Networking Systems (LAN,WAN);Internet Services &amp; Software;Primary Business not Hi-Tech</v>
      </c>
      <c r="AA1256" s="6" t="str">
        <v>Primary Business not Hi-Tech</v>
      </c>
      <c r="AB1256" s="6" t="str">
        <v>Primary Business not Hi-Tech</v>
      </c>
    </row>
    <row r="1257">
      <c r="A1257" s="6" t="str">
        <v>023135</v>
      </c>
      <c r="B1257" s="6" t="str">
        <v>United States</v>
      </c>
      <c r="C1257" s="6" t="str">
        <v>Amazon.com Inc</v>
      </c>
      <c r="D1257" s="6" t="str">
        <v>Amazon.com Inc</v>
      </c>
      <c r="F1257" s="6" t="str">
        <v>India</v>
      </c>
      <c r="G1257" s="6" t="str">
        <v>Capfloat Financial Services Pvt Ltd</v>
      </c>
      <c r="H1257" s="6" t="str">
        <v>Credit Institutions</v>
      </c>
      <c r="I1257" s="6" t="str">
        <v>6H3193</v>
      </c>
      <c r="J1257" s="6" t="str">
        <v>Capfloat Financial Services Pvt Ltd</v>
      </c>
      <c r="K1257" s="6" t="str">
        <v>Capfloat Financial Services Pvt Ltd</v>
      </c>
      <c r="L1257" s="7">
        <f>=DATE(2024,7,30)</f>
        <v>45502.99949074074</v>
      </c>
      <c r="R1257" s="8">
        <v>-0.226636135828852</v>
      </c>
      <c r="S1257" s="8">
        <v>0.174594935007786</v>
      </c>
      <c r="W1257" s="6" t="str">
        <v>Primary Business not Hi-Tech</v>
      </c>
      <c r="X1257" s="6" t="str">
        <v>Internet Services &amp; Software;Networking Systems (LAN,WAN);Primary Business not Hi-Tech</v>
      </c>
      <c r="Y1257" s="6" t="str">
        <v>Primary Business not Hi-Tech;Internet Services &amp; Software;Networking Systems (LAN,WAN)</v>
      </c>
      <c r="Z1257" s="6" t="str">
        <v>Networking Systems (LAN,WAN);Internet Services &amp; Software;Primary Business not Hi-Tech</v>
      </c>
      <c r="AA1257" s="6" t="str">
        <v>Primary Business not Hi-Tech</v>
      </c>
      <c r="AB1257" s="6" t="str">
        <v>Primary Business not Hi-Tech</v>
      </c>
      <c r="AD1257" s="7">
        <f>=DATE(2024,7,30)</f>
        <v>45502.99949074074</v>
      </c>
    </row>
    <row r="1258">
      <c r="A1258" s="6" t="str">
        <v>023135</v>
      </c>
      <c r="B1258" s="6" t="str">
        <v>United States</v>
      </c>
      <c r="C1258" s="6" t="str">
        <v>Amazon.com Inc</v>
      </c>
      <c r="D1258" s="6" t="str">
        <v>Amazon.com Inc</v>
      </c>
      <c r="F1258" s="6" t="str">
        <v>United States</v>
      </c>
      <c r="G1258" s="6" t="str">
        <v>Covariant Inc</v>
      </c>
      <c r="H1258" s="6" t="str">
        <v>Prepackaged Software</v>
      </c>
      <c r="I1258" s="6" t="str">
        <v>0K8009</v>
      </c>
      <c r="J1258" s="6" t="str">
        <v>Covariant Inc</v>
      </c>
      <c r="K1258" s="6" t="str">
        <v>Covariant Inc</v>
      </c>
      <c r="L1258" s="7">
        <f>=DATE(2024,8,1)</f>
        <v>45504.99949074074</v>
      </c>
      <c r="W1258" s="6" t="str">
        <v>Primary Business not Hi-Tech</v>
      </c>
      <c r="X1258" s="6" t="str">
        <v>Workstations;Applications Software(Business;Data Commun(Exclude networking;Database Software/Programming;Other Computer Systems;CAD/CAM/CAE/Graphics Systems;Turnkey Systems;Operating Systems;Other Computer Related Svcs;Applications Software(Home);Desktop Publishing;Communication/Network Software;Utilities/File Mgmt Software;Other Software (inq. Games);Computer Consulting Services;Programming Services;Networking Systems (LAN,WAN);Internet Services &amp; Software</v>
      </c>
      <c r="Y1258" s="6" t="str">
        <v>Programming Services;Workstations;Internet Services &amp; Software;Utilities/File Mgmt Software;Other Software (inq. Games);Communication/Network Software;Computer Consulting Services;Networking Systems (LAN,WAN);Data Commun(Exclude networking;Other Computer Related Svcs;Turnkey Systems;CAD/CAM/CAE/Graphics Systems;Desktop Publishing;Applications Software(Home);Applications Software(Business;Operating Systems;Database Software/Programming;Other Computer Systems</v>
      </c>
      <c r="Z1258" s="6" t="str">
        <v>Programming Services;Computer Consulting Services;Data Commun(Exclude networking;Internet Services &amp; Software;Applications Software(Business;Other Computer Systems;Utilities/File Mgmt Software;Other Computer Related Svcs;Turnkey Systems;CAD/CAM/CAE/Graphics Systems;Operating Systems;Database Software/Programming;Applications Software(Home);Workstations;Desktop Publishing;Communication/Network Software;Other Software (inq. Games);Networking Systems (LAN,WAN)</v>
      </c>
      <c r="AA1258" s="6" t="str">
        <v>Primary Business not Hi-Tech</v>
      </c>
      <c r="AB1258" s="6" t="str">
        <v>Primary Business not Hi-Tech</v>
      </c>
    </row>
    <row r="1259">
      <c r="A1259" s="6" t="str">
        <v>3F8100</v>
      </c>
      <c r="B1259" s="6" t="str">
        <v>United States</v>
      </c>
      <c r="C1259" s="6" t="str">
        <v>GV Management Co LLC</v>
      </c>
      <c r="D1259" s="6" t="str">
        <v>Alphabet Inc</v>
      </c>
      <c r="F1259" s="6" t="str">
        <v>United States</v>
      </c>
      <c r="G1259" s="6" t="str">
        <v>Mechanical Orchard Inc</v>
      </c>
      <c r="H1259" s="6" t="str">
        <v>Prepackaged Software</v>
      </c>
      <c r="I1259" s="6" t="str">
        <v>2N7938</v>
      </c>
      <c r="J1259" s="6" t="str">
        <v>Mechanical Orchard Inc</v>
      </c>
      <c r="K1259" s="6" t="str">
        <v>Mechanical Orchard Inc</v>
      </c>
      <c r="L1259" s="7">
        <f>=DATE(2024,8,6)</f>
        <v>45509.99949074074</v>
      </c>
      <c r="M1259" s="7">
        <f>=DATE(2024,8,6)</f>
        <v>45509.99949074074</v>
      </c>
      <c r="N1259" s="8">
        <v>50</v>
      </c>
      <c r="O1259" s="8">
        <v>50</v>
      </c>
      <c r="W1259" s="6" t="str">
        <v>Primary Business not Hi-Tech</v>
      </c>
      <c r="X1259" s="6" t="str">
        <v>Internet Services &amp; Software;Applications Software(Business;Applications Software(Home);Desktop Publishing;Communication/Network Software;Utilities/File Mgmt Software;Other Software (inq. Games)</v>
      </c>
      <c r="Y1259" s="6" t="str">
        <v>Communication/Network Software;Internet Services &amp; Software;Applications Software(Home);Applications Software(Business;Desktop Publishing;Other Software (inq. Games);Utilities/File Mgmt Software</v>
      </c>
      <c r="Z1259" s="6" t="str">
        <v>Applications Software(Business;Other Software (inq. Games);Communication/Network Software;Utilities/File Mgmt Software;Desktop Publishing;Applications Software(Home);Internet Services &amp; Software</v>
      </c>
      <c r="AA1259" s="6" t="str">
        <v>Programming Services;Internet Services &amp; Software</v>
      </c>
      <c r="AB1259" s="6" t="str">
        <v>Programming Services;Telecommunications Equipment;Computer Consulting Services;Internet Services &amp; Software;Primary Business not Hi-Tech</v>
      </c>
      <c r="AC1259" s="8">
        <v>50</v>
      </c>
      <c r="AD1259" s="7">
        <f>=DATE(2024,8,6)</f>
        <v>45509.99949074074</v>
      </c>
      <c r="AL1259" s="8">
        <v>50</v>
      </c>
    </row>
    <row r="1260">
      <c r="A1260" s="6" t="str">
        <v>6Q9783</v>
      </c>
      <c r="B1260" s="6" t="str">
        <v>United States</v>
      </c>
      <c r="C1260" s="6" t="str">
        <v>Amazon.com Services LLC</v>
      </c>
      <c r="D1260" s="6" t="str">
        <v>Amazon.com Inc</v>
      </c>
      <c r="F1260" s="6" t="str">
        <v>United States</v>
      </c>
      <c r="G1260" s="6" t="str">
        <v>Perceive Corp</v>
      </c>
      <c r="H1260" s="6" t="str">
        <v>Business Services</v>
      </c>
      <c r="I1260" s="6" t="str">
        <v>6Q9780</v>
      </c>
      <c r="J1260" s="6" t="str">
        <v>Xperi Holding Corp</v>
      </c>
      <c r="K1260" s="6" t="str">
        <v>Xperi Inc</v>
      </c>
      <c r="L1260" s="7">
        <f>=DATE(2024,8,16)</f>
        <v>45519.99949074074</v>
      </c>
      <c r="N1260" s="8">
        <v>80</v>
      </c>
      <c r="O1260" s="8">
        <v>80</v>
      </c>
      <c r="W1260" s="6" t="str">
        <v>Primary Business not Hi-Tech</v>
      </c>
      <c r="X1260" s="6" t="str">
        <v>Desktop Publishing;Other Software (inq. Games);Applications Software(Business;Programming Services;Database Software/Programming;Communication/Network Software;Applications Software(Home)</v>
      </c>
      <c r="Y1260" s="6" t="str">
        <v>Other Electronics;Superconductors;Semiconductors;Lasers(Excluding Medical);Primary Business not Hi-Tech;Robotics</v>
      </c>
      <c r="Z1260" s="6" t="str">
        <v>Other Electronics;Semiconductors</v>
      </c>
      <c r="AA1260" s="6" t="str">
        <v>Primary Business not Hi-Tech</v>
      </c>
      <c r="AB1260" s="6" t="str">
        <v>Primary Business not Hi-Tech</v>
      </c>
      <c r="AC1260" s="8">
        <v>80</v>
      </c>
      <c r="AD1260" s="7">
        <f>=DATE(2024,8,16)</f>
        <v>45519.99949074074</v>
      </c>
      <c r="AL1260" s="8">
        <v>80</v>
      </c>
    </row>
    <row r="1261">
      <c r="A1261" s="6" t="str">
        <v>594918</v>
      </c>
      <c r="B1261" s="6" t="str">
        <v>United States</v>
      </c>
      <c r="C1261" s="6" t="str">
        <v>Microsoft Corp</v>
      </c>
      <c r="D1261" s="6" t="str">
        <v>Microsoft Corp</v>
      </c>
      <c r="F1261" s="6" t="str">
        <v>United States</v>
      </c>
      <c r="G1261" s="6" t="str">
        <v>Microsoft Corp</v>
      </c>
      <c r="H1261" s="6" t="str">
        <v>Prepackaged Software</v>
      </c>
      <c r="I1261" s="6" t="str">
        <v>594918</v>
      </c>
      <c r="J1261" s="6" t="str">
        <v>Microsoft Corp</v>
      </c>
      <c r="K1261" s="6" t="str">
        <v>Microsoft Corp</v>
      </c>
      <c r="L1261" s="7">
        <f>=DATE(2024,9,16)</f>
        <v>45550.99949074074</v>
      </c>
      <c r="N1261" s="8">
        <v>60000</v>
      </c>
      <c r="O1261" s="8">
        <v>60000</v>
      </c>
      <c r="R1261" s="8">
        <v>88136</v>
      </c>
      <c r="S1261" s="8">
        <v>245122</v>
      </c>
      <c r="T1261" s="8">
        <v>-37757</v>
      </c>
      <c r="U1261" s="8">
        <v>-96970</v>
      </c>
      <c r="V1261" s="8">
        <v>118548</v>
      </c>
      <c r="W1261" s="6" t="str">
        <v>Applications Software(Business;Other Peripherals;Computer Consulting Services;Monitors/Terminals;Operating Systems;Internet Services &amp; Software</v>
      </c>
      <c r="X1261" s="6" t="str">
        <v>Other Peripherals;Operating Systems;Applications Software(Business;Computer Consulting Services;Monitors/Terminals;Internet Services &amp; Software</v>
      </c>
      <c r="Y1261" s="6" t="str">
        <v>Monitors/Terminals;Internet Services &amp; Software;Other Peripherals;Applications Software(Business;Operating Systems;Computer Consulting Services</v>
      </c>
      <c r="Z1261" s="6" t="str">
        <v>Applications Software(Business;Computer Consulting Services;Other Peripherals;Monitors/Terminals;Operating Systems;Internet Services &amp; Software</v>
      </c>
      <c r="AA1261" s="6" t="str">
        <v>Applications Software(Business;Computer Consulting Services;Monitors/Terminals;Other Peripherals;Internet Services &amp; Software;Operating Systems</v>
      </c>
      <c r="AB1261" s="6" t="str">
        <v>Other Peripherals;Monitors/Terminals;Operating Systems;Applications Software(Business;Computer Consulting Services;Internet Services &amp; Software</v>
      </c>
      <c r="AC1261" s="8">
        <v>60000</v>
      </c>
      <c r="AD1261" s="7">
        <f>=DATE(2024,9,16)</f>
        <v>45550.99949074074</v>
      </c>
      <c r="AJ1261" s="8" t="str">
        <v>60,000.00</v>
      </c>
      <c r="AK1261" s="6" t="str">
        <v>US Dollar</v>
      </c>
      <c r="AL1261" s="8">
        <v>60000</v>
      </c>
    </row>
    <row r="1262">
      <c r="A1262" s="6" t="str">
        <v>9H1420</v>
      </c>
      <c r="B1262" s="6" t="str">
        <v>United States</v>
      </c>
      <c r="C1262" s="6" t="str">
        <v>Google Cloud Platform</v>
      </c>
      <c r="D1262" s="6" t="str">
        <v>Alphabet Inc</v>
      </c>
      <c r="F1262" s="6" t="str">
        <v>United States</v>
      </c>
      <c r="G1262" s="6" t="str">
        <v>Augmented Intelligence Inc</v>
      </c>
      <c r="H1262" s="6" t="str">
        <v>Prepackaged Software</v>
      </c>
      <c r="I1262" s="6" t="str">
        <v>8Q2278</v>
      </c>
      <c r="J1262" s="6" t="str">
        <v>Augmented Intelligence Inc</v>
      </c>
      <c r="K1262" s="6" t="str">
        <v>Augmented Intelligence Inc</v>
      </c>
      <c r="L1262" s="7">
        <f>=DATE(2024,9,30)</f>
        <v>45564.99949074074</v>
      </c>
      <c r="M1262" s="7">
        <f>=DATE(2024,9,30)</f>
        <v>45564.99949074074</v>
      </c>
      <c r="W1262" s="6" t="str">
        <v>Other Software (inq. Games)</v>
      </c>
      <c r="X1262" s="6" t="str">
        <v>Other Software (inq. Games)</v>
      </c>
      <c r="Y1262" s="6" t="str">
        <v>Other Software (inq. Games)</v>
      </c>
      <c r="Z1262" s="6" t="str">
        <v>Other Software (inq. Games)</v>
      </c>
      <c r="AA1262" s="6" t="str">
        <v>Internet Services &amp; Software;Programming Services</v>
      </c>
      <c r="AB1262" s="6" t="str">
        <v>Programming Services;Telecommunications Equipment;Computer Consulting Services;Primary Business not Hi-Tech;Internet Services &amp; Software</v>
      </c>
    </row>
  </sheetData>
  <ignoredErrors>
    <ignoredError numberStoredAsText="1" sqref="A1:AL1262"/>
  </ignoredErrors>
</worksheet>
</file>

<file path=xl/worksheets/sheet2.xml><?xml version="1.0" encoding="utf-8"?>
<worksheet xmlns="http://schemas.openxmlformats.org/spreadsheetml/2006/main" xmlns:r="http://schemas.openxmlformats.org/officeDocument/2006/relationships">
  <dimension ref="A1:F11"/>
  <sheetViews>
    <sheetView workbookViewId="0"/>
  </sheetViews>
  <cols>
    <col min="1" max="1" width="15.00390625" customWidth="1"/>
    <col min="2" max="2" width="15.00390625" customWidth="1"/>
    <col min="3" max="3" width="20.00390625" customWidth="1"/>
    <col min="4" max="4" width="66.6640625" customWidth="1"/>
    <col min="5" max="5" width="25.00390625" customWidth="1"/>
    <col min="6" max="6" width="140.00390625" customWidth="1"/>
  </cols>
  <sheetData>
    <row r="1">
      <c r="A1" s="3" t="str">
        <v>Source: LSEG   Date: 10/10/2024</v>
      </c>
    </row>
    <row r="2">
      <c r="A2" s="4" t="str">
        <v>Request</v>
      </c>
      <c r="B2" s="5" t="str">
        <v>Results</v>
      </c>
      <c r="C2" s="4" t="str">
        <v>Type</v>
      </c>
      <c r="D2" s="4" t="str">
        <v>Description</v>
      </c>
      <c r="E2" s="4" t="str">
        <v>Operator</v>
      </c>
      <c r="F2" s="4" t="str">
        <v>Value</v>
      </c>
    </row>
    <row r="3">
      <c r="A3" s="9">
        <v>0</v>
      </c>
      <c r="C3" s="10" t="str">
        <v>Content Set</v>
      </c>
      <c r="D3" s="6" t="str">
        <v>Mergers &amp; Acquisitions</v>
      </c>
      <c r="F3" s="6" t="str">
        <v>M&amp;A</v>
      </c>
    </row>
    <row r="4">
      <c r="A4" s="9">
        <v>1</v>
      </c>
      <c r="B4" s="11">
        <v>1465963</v>
      </c>
      <c r="C4" s="10" t="str">
        <v>Data Items</v>
      </c>
      <c r="D4" s="6" t="str">
        <v>Date Announced</v>
      </c>
      <c r="E4" s="10" t="str">
        <v>Between</v>
      </c>
      <c r="F4" s="6" t="str">
        <v>1 Jan 1990 - 10 Oct 2024</v>
      </c>
    </row>
    <row r="5">
      <c r="A5" s="9">
        <v>2</v>
      </c>
      <c r="B5" s="11">
        <v>1558</v>
      </c>
      <c r="C5" s="10" t="str">
        <v>Data Items</v>
      </c>
      <c r="D5" s="6" t="str">
        <v>Acquiror</v>
      </c>
      <c r="E5" s="10" t="str">
        <v>Include</v>
      </c>
      <c r="F5" s="6" t="str">
        <v>Name: gafam_companies. Values: Strobe Inc, Involver Inc, Oculus VR LLC(NOW 8J8006), Facebook Inc, Facebook Inc, Facebook Inc, Facebook Inc-Ballsbridge Office Complex, Facebook Solar Energy Center Portfolio Project, Facebook Warren County Solar Project, Facebook Wind-Powered Data Centre, Facebook Inc-(fluff)Friends, Facebook Technologies Inc, Facebook Watch, Facebook Audience Network, Facebook FZ-LLC, FriendFeed Inc, iStorez Inc, Divvyshot Inc, Sharegrove Inc, Nextstop.com, HotPotato Media Inc, Chai Labs Inc, Walletin, Beluga Inc, Push Pop Press, Friend.ly, Gowalla Inc, GazeHawk Inc, Instagram Inc, Malbec Labs Inc, Glancee Inc, Karma Science Inc, Spool Inc, Threadsy Inc, WhatsApp Inc, Mixtent Inc, Parse Inc, Onavo Inc, SportStream, Branch Media Inc, Glimpse.com, Nimble VR, Wit.ai Inc, Nonstop Games Inc, QuickFire Networks Corp, Nascent Objects Inc, CrowdTangle Inc, FacioMetrics LLC, BidClix Inc, Source3 Inc, Confirm Inc, Giphy Inc, Kustomer Inc, Dumbarton Corridor Improvement, Vidpresso Inc, Grokstyle Inc, CTRL-Labs Corp, Packagd Corp, Sanzaru Games Inc, Jaadhu Holdings LLC, BigBox VR Inc, BlinkAI Technologies Inc, Camouflaj, ImagineOptix Corp, Meta Dekalb Data Center Project, Whisper.AI Inc, Meta Mesa Data Center Project, Meta Jeffersonville Data Center Project, Sidecat LLC, Accipiter Solutions Inc, Atlas Advertiser Suite, TheFind Inc, Meta Platforms Inc, Parakey Inc, Google For Startups, Google Latino Founders Fund, Google Inc, Google Inc-Radio Automation Business, Google Acquisition Holdings Inc, Google Ventures, Google Ventures 2011 LP, Google Capital 2016 LP, Google Fiber Inc, Google Developer - Launchpad, Google Cloud Platform, Google Assistant Investments, Google News Initiative, Google My Business, Google Nest, Google International LLC, Google Payment Corp, Google Inc-Ad Tech Business, Google Midlothian Data Center Project, Google Brain, Google LLC-Adtech Business, Google Inc-Google Domains Assets, Google Lancaster Data Center Project, Google Inc, Google Inc, Google Inc, Google Inc, Google Inc, Google LLC, Google &amp; Fervo Geothermal Project, Google Moffett Park Solar Project, Google Moffett Park Solar Project - GMSP2, Fabric.com, Shelfari, Lexcycle Inc, A9.com Inc, Quidsi Inc, Touchco Inc, United Artists Pictures Inc (MGM/UA Communications Co), Reflexive Entertainment, MGM Holdings Inc, Quorus Inc, Egghead University(Egghead Inc), Goodreads Inc, Starkey Hot Springs LLC, TenMarks Education Inc, Iconology Inc, Twitch Interactive Inc, Elemental Technologies Inc, MGM/UA Communications Corp- Film Rights, UAMG LLC, Good Game Agency, Amazon Web Services Inc, 2lemetry Inc, Trellis Automation Inc, Safaba Translation Solutions Inc, Amazon Corporate LLC, Wickr Inc, Net Power &amp; Light Inc, Curse Inc, Cloud9 IDE Inc, Mrs Gooch's Natural Food Markets Inc, Whole Foods Market Pacific Northwest Inc, WFM IP Investments Inc, Whole Foods Market IP LP, WFM Southern Nevada Inc, WFM Hawaii LLC, WFM Northern Nevada Inc, WFM Nebraska LLC, WFM Kansas LLC, Studio 3 Partners LLC, EPIX Entertainment LLC, Iora Health Inc, Sqrrl Data Inc, ClipMine Inc, IMDb.com Inc, Alexa Fund, Egghead Discount Software Inc, Evolution Media, Amazon.com NV Investment Holdings LLC, Body Labs Inc, PeakMed Colorado LLC, Immedia Semiconductor Inc, Whole Foods Market Inc, Ring Inc, Wireless Environment LLC, Big Fish Entertainment LLC, 1Life Healthcare Inc, Zoox Inc, Amazonfresh, Canvas Technology LLC, INLT, Health Navigator Inc, DataRow, Curse TV, Acorn Development LLC, Residence Inn by Marriott International Inc,Pentagon City,Virginia, The Climate Pledge Fund, Amazon Technologies Inc, Bread &amp; Circus Inc (Whole Foods Market Inc), Cumulus Digital LLC, Amazon Industrial Innovation Fund, Nashville Affordable Homes Project, Amazon Smbhav Venture Fund, Amazon Hq2 Project, Industrial Innovation Fund, The Source, Snackable.AI, Mrs Gooch's Natural Foods Supermarkets(Whole Foods Market Inc), Amazon Air Hub, Hercules Labs Inc, Amazon Data Services Inc, Egghead.com Inc, Amazon.com Services LLC, Metro-Goldwyn-Mayer-European Theaters(Pathe Communications), Fresh Fields Markets Inc (Whole Foods Market Inc), Organic Coffee Co(Allegro Coffee Co), Allegro Coffee Co(Whole Foods Market Inc), Metro-Goldwyn-Mayer Inc, Oak Street Market(Whole Foods Market), Egghead.com Inc, Bread of Life(Whole Foods Market Inc), Amazon.com Inc, Amazon.com Inc, Surplus Software Inc (Egghead Inc), Audible Inc, Merchant of Vino(Whole Foods Market), Orion Pictures Corp (Metro-Goldwyn-Mayer Inc), Internet Movie Database Inc, Telebook Inc(Amazon.com Inc), PlanetAll(Amazon.com Inc), Junglee Corp(Amazon.com Inc), Nature's Heartland Inc(Whole Foods Market Inc), Livebid.com, Exchange.com(Amazon.com Inc), Accept.com Financial Services Corp(Amazon.com Inc), Alexa Internet(Amazon.com Inc), Convergence Corp(Amazon.com Inc), Tool Crib of the North(Amazon. com Inc), Without A Box Inc, Back To Basics Toys, Natural Abilities Inc (Whole Foods Market Inc), Amrion Inc, MGM Telecommunications Group (Metro-Goldwyn-Mayer)un, Novko LLC, 6pm.com, Metro-Goldwyn-Mayer Studios Inc, Whole Foods Market Services, WFM Beverage Corp, Whole Foods Market Southwest I, Whole Foods Market California, Whole Foods Market Group Inc, Mrs Goochs Natural Food Markets Inc, Whole Foods Market Distribution Inc, Whole Food Co Inc, Whole Foods Market Brand 365 LLC, wholefoods.com, WPcom Colorado Inc, Sourdough A European Bakery Inc, Whole Foods Market Southwest Investments Inc, Select Fish, Brilliance Audio Inc, BookSurge LLC, Amazon Services Inc, MGM Holdings II, Inc, BookFinder.com, Zappos.com Inc, Shopbop.com, Microsoft Alumni Network, Microsoft CIHC Inc, Komoku Inc, Farecast Inc, Crisp Acquisition Corp, VirtuOz Inc, Budcat Creations, DeVenture Global Partners Inc, 7 Studios, Jott Networks Inc, Interactive Supercomputing, MacSpeech Inc, AppTrigger Inc, ChoiceVendor Inc, Microsoft China Investment Holding Co Ltd, mSpoke Inc, Shapewriter Inc, AVIcode Inc, Perceptive Pixel Inc, Montage Healthcare Solutions Inc, iVirtuoso Inc, Qik Inc, CardMunch Inc, DTS America Inc, Caere Corp(ScanSoft Inc/ Visioneer Inc), GroupMe Inc, Swype Inc, Sonic Acquisition Corp, RealWorld Corp(Great Plains Software Inc), IndexTank Inc, Twisted Pixel Games LLC, Connected, Transcend Services Inc, eScription Inc, VideoSurf Inc, GitHub Inc, Ordered List, The New Class-Five Inc, Escalation Studios, Z2Live Inc, Townsend Merger Corp, Activision Publishing Inc, Yammer Inc, SlideShare Inc, JA Thomas &amp; Associates Inc, PhoneFactor Inc, StorSimple Inc, MarketingPilot Software LLC, International Consumer Technologies Corp (Activision), Fliptop Inc, Activision Blizzard Inc, Occu-Care Inc(TriCare Inc), Pulse, Apiphany Inc, Bright Media Corp Inc, Easel Inc, Neurostar Solutions Inc, InMage Systems Inc, Newsle Inc, Bizo Inc, Xbox Entertainment Studios, Acompli Inc, Conant &amp; Associates Inc, Revolution Analytics Inc, LiveLoop Inc, Refresh Inc, BlueStripe Software Inc, Adallom Inc, Incent Games Inc, Double Labs Inc, Mobile Data Labs Inc, Dictaphone Corp, Talko Inc, Metanautix Inc, Connectifier, Beam, PointDrive Holdings LLC, Netwise Inc(Microsoft Corp), Microsoft Online Services, Microsoft Ventures Inc, M12 Venture, Bethesda Softworks LLC, Calera Recognition Systems Inc (Caere Corp), Intentional Software Corp, Primordial Design Inc, inXile Entertainment Inc, Cycle Computing LLC, Microsoft Technology Licensing LLC, Heighten Software Inc, Microsoft Great Plains Business Solutions, Altspace VR, Microsoft Accelerator, PlayFab Inc, CyberX Inc, Drawbridge Inc, Semantic Machines Inc, Undead Labs LLC, Flipgrid Inc, Saykara Inc, Semmle Inc, Glint Inc, Lobe Artificial Intelligence Inc, FSLogix Inc, Microsoft Azure, Citus Data Inc, Disc Co(International Consumer Technologies), Fox Software Inc(Microsoft Corp), Overwatch League, Affirmed Networks Inc, Express Logic Inc, Clypd Inc, Good Software LLC, Fungible Inc, Xandr Inc, Spotfront Inc, Double Fine Productions Inc, Movere Inc, ReFirm Labs Inc, ADRM Software Inc, Proletariat Inc, Ally Technologies Inc, The Marsden Group Inc, FRx Software Corp, Climate Innovation Fund, Xbox Game Studios, Suplari Inc, Microsoft For Startups, Edubrite Systems Inc, Expert Software Inc(Activision Inc), Omniata Inc, Microsoft Boydton Data Center Project, Microsoft Viva, GitHub Fund, Brookfield / Microsoft US and Europe Renewable Energy Portfolio Project, Biomass Carbon Capture &amp; Sequestration Project, eShop Inc(Microsoft Corp), Nuance Communications Inc, Vocada Inc, Altamira Software Corp (Microsoft Corp), Dictaphone Corp(Pitney Bowes), Monarch Marking Systems (Pitney Bowes), Colloquis Inc, Microsoft Corp-Microsoft Money Product Line, One Tree Software(Microsoft Corp), Microsoft Federal Systems (Microsoft Corp), Microsoft Network LLC{MSN}, Bungie Software, Dictaphone Acquisition Inc, Pacific Microsonics Inc (Microsoft Corp), Sullivan Health Management Services(Transcend Services), Dictaphone Corp(Dictaphone Corp/Pitney Bowes), Visio Corp(Microsoft Corp), Vermeer Technologies(Microsoft Corp), Blue Ribbon SoundWorks Ltd (Microsoft Corp), Sentillion vBusiness, Bruce Artwick Organization (Microsoft Corp), Colusa Software(Microsoft Corp), Aspect Software Engineering (Microsoft Corp), Exos Inc(Microsoft Corp), Electric Gravity Inc(Microsoft Corp), Express Medical Transcription Inc(Transcend Services Inc), Dimension X Inc(Microsoft Corp), Hotmail Corp(Microsoft Corp), Clear Software LLC, Avenue A Razorfish, Razorfish Inc, Anyware Fast Inc(Dimension X), WebTV Networks Inc(Microsoft Corp), Microsoft Corp, Microsoft Corp, NetCarta Corp(Microsoft Corp), Heartland Information Systems Inc, VXtreme Inc(Microsoft Corp), Interse Corp(Microsoft Corp), DocuMedX Inc(Transcend Services Inc), LinkExchange(TM) Inc (Microsoft Corp), FireFly Network Inc(Microsoft Corp), Cooper &amp; Peters Inc (Microsoft Inc), PlaceWare Inc, Raven Software Corp(Activision Inc), Solomon Software(Great Plains Software Inc), Smith Dennis &amp; Gaylord Inc (Solomon Software), Pluto Technologies International Inc, Dictaphone Healthcare Solution, Forminix Inc(Caere Corp), MobileVoiceControl Inc, TransPoint LLC(Microsoft Corp, First Data Corp), Tegic Communications Inc, DreamWorks Interactive LLC (Microsoft Corp,Dreamworks SKG), Transcend Case Management Inc (Transcend Services Inc), Atlas Advertiser Suite, MESA Group Inc(Microsoft Corp), Health Care Information Systems Inc(Transcend Services Inc), Internet Start Group(Micrpsoft Corp), Head Games Publishing (Activision Inc), Kaspia Systems Inc(Visio Corp), Valence Research Inc (Microsoft Corp), ScanSoft Inc, FASA Interactive Inc(Microsoft Corp), CompareNet Inc (Microsoft Corp), Numinous Technologies Inc (Microsoft Corp), Match Data Systems (Great Plains Software Inc), Vicinity Corp, Jump Networks Inc(Microsoft Corp), Yupi Internet Inc(T1MSN.com), Wireless Knowledge LLC, Omnibrowse Inc(Microsoft Corp), Powerset Inc, Elsinore Multimedia (Activision Inc), MoneyCentral(Microsoft Corp), Merchant Planet(LinkExchange Inc), BeVocal Inc, Expedia Inc, iballs(Avenue A), aQuantive Inc, Entropic Inc, Medstory Inc, Southern Plains Software LLC (Great Plains Software LLC), Calista Technologies Inc, ZeniMax Media Inc, Softway Systems Inc, HomeAdvisor Technologies, Greenfield Online Inc, SpeechWorks International Inc, Tellme Networks Inc, NetGames USA, Placeware Event Services Division, Zing Wireless Inc, MongoMusic Inc(Microsoft Corp), Focus Informatics Inc, MSBET(Bet Holdings Inc, Microsoft Corp), NetCreate Systems(Vicinity Corp), Eloquent Technology Inc (Speechworks International), ProClarity Corp, Unisolve Inc(Great Plains Software Inc), ebudgets.com(FRX Software Corp), Avanade Inc, MSN MoneyCentral(Microsoft Corp), Treyarch Invention (Activision Inc), devBiz Business Solutions LLC, Gray Matter Interactive Studios(Activision Inc), KPE Inc(Mobilocity Inc), Mobilocity Inc, Shaba Games LLC (Activision Inc), Stratature Inc, Data Management Solutions Inc, Z-Axis Ltd(Activision Inc), Sales Management Systems Inc(Microsoft Corp), Softricity Inc, Go Toast LLC, Heartland Information Services (NOW 42417Z), XDegrees Inc(Microsoft Corp), Luxoflux Corp(Activision Inc), Telelogue Inc, i-FRONTIER Corp (Avenue A Inc), eCopy Inc, MSN Autos, Microsoft Business Solutions, Microsoft Dynamics Inc, Notable Solutions Inc, Danger Inc, Sentillion Inc, Viecore Federal Systems Division, Winternals Software LP, Phonetic Systems Inc, Canesta Inc, Microsoft Game Studios, Infinity Ward, LinkedIn Corp, Atlas DMT, NetConversions Inc, Activision Value Publishing Inc, Engyro Corp, Lookout Software LLC, Vexcel Corp, FrontBridge Technologies Inc, MessageRite Inc, ART Advanced Recoginition Technologies Inc, GIANT Co Software Inc, Slate, Vicarious Visions Inc, Rapidata.net Inc, Medical Dictation Inc, Sybari Software Inc, Groove Networks Inc, Forethought Inc(Microsoft Corp), Toys For Bob, MessageCast Inc, MedRemote Inc, Blizzard Entertainment Inc, Swingin' Ape Studios, Flashforward, Lynda.com Inc, Teleo Inc, RedOctane Inc, AgentArts Inc, VoiceSignal Technologies Inc, 5th Finger, MSN Music, DATAllegro Inc, Seadragon Software, Navic Networks, Apptimum Inc, Onfolio Inc, Kidaro, Whale Communications Ltd, AdECN Inc, Corporate Radar, Massive Inc, Franchise Gator LLC, Microsoft Learning, Microsoft Holdings V  Inc, Microsoft Project Users Group, Apple, Orion Network Systems Inc (Apple Computer Inc), Orion Network Systems Inc, Claris Corp(Apple Computer Inc), PowerSchool Inc, Apple Computer Inc, Apple Computer Inc, Quattro Wireless Inc, FileMaker Inc(Apple Computer Inc), la la Media Inc, Coral Software Corp(Apple Computer Inc), Agnilux Inc, SIRI Inc, Placebase, Beats Electronics LLC, PeerSec Networks Inc, Proxure Inc, Chomp Inc, Burstly Inc, TestFlight App Inc, MOG Inc, WifiSLAM, Passif Semiconductor Corp, Matcha Inc, Embark Inc, Cue, Topsy Labs Inc, SnappyLabs, TopSpin Media Inc, Beats Music LLC, Coherent Navigation Inc, NextVR Inc, Network Innovations Corp (Apple Computer Inc), Perceptio Inc, Emotient Inc, LearnSprout Inc, Flyby Media Inc, Turi, Bonnybrooke Solar, Lattice Data Inc, DeskConnect LLC, Apple Computer/Sobrato, Akonia Holographics LLC, PullString Inc, Drive.ai Inc, Mira Labs Inc, Xnor.Ai Inc, Dark Sky Co LLC, Rasier LLC, Fleetsmith Inc, Spaces Inc, Laserlike Inc, Gliimpse, Icloud.Net, Union Bay Networks, Booklamp, Catch.Com, Broadmap, Apple USA(Apple Computer Inc), Kaleida Labs (Apple Computer; IBM Corp), WaveOne Inc, NeXT Computer Inc(Apple Computer Inc), Apple Data Center - Pv1 Project, Apple Data Center - Pv2 Project, Apple Data Center - Pv3 Project, Silicon Color Inc, Spruce Technologies Inc(Apple Computer Inc), Interactive Media Group (Apple Computer Inc), AuthenTec Inc, PA Semi Inc, Raycer Graphics (Apple Computer), NetSelector, Zayante Inc (Apple Computer Inc), Apple Inc, bluebuzz.com Inc(Network Innovations Corp), Propel Software Corp, Prismo Graphics (Apple Computer Inc), Nothing Real LLC, UPEK Inc, Varatouch Technology Inc, PowerSchool, Atrua Technologies Inc</v>
      </c>
    </row>
    <row r="6">
      <c r="A6" s="9">
        <v>3</v>
      </c>
      <c r="B6" s="11">
        <v>1496</v>
      </c>
      <c r="C6" s="10" t="str">
        <v>Data Items</v>
      </c>
      <c r="D6" s="6" t="str">
        <v>Acquiror Nation</v>
      </c>
      <c r="E6" s="10" t="str">
        <v>Include</v>
      </c>
      <c r="F6" s="6" t="str">
        <v>Name: &lt;Untitled&gt;. Values: United States</v>
      </c>
    </row>
    <row r="7">
      <c r="A7" s="9">
        <v>4</v>
      </c>
      <c r="B7" s="11">
        <v>1259</v>
      </c>
      <c r="C7" s="10" t="str">
        <v>Data Items</v>
      </c>
      <c r="D7" s="6" t="str">
        <v>Target High Tech Industry</v>
      </c>
      <c r="E7" s="10" t="str">
        <v>Include</v>
      </c>
      <c r="F7" s="6" t="str">
        <v>Name: &lt;Untitled&gt;. Values: Robotics, Other High Technology Industry, Advanced Manufacturing Systems, Defense Related, Advanced Materials, Satellites (Non-Communications), Propulsion Systems, Nuclear(Excluding Medical), Lasers(Excluding Medical), Workstations, Printers, Portable Computers, Other Peripherals, Data Processing Services, Other Computer Related Svcs, Computer Consulting Services, Programming Services, Other Software (inq. Games), Utilities/File Mgmt Software, Communication/Network Software, Desktop Publishing, Applications Software(Home), Applications Software(Business, Operating Systems, Database Software/Programming, Modems, Scanning Devices, Monitors/Terminals, Networking Systems (LAN,WAN), CD Rom Drives, Disk Drives, Other Computer Systems, CAD/CAM/CAE/Graphics Systems, Turnkey Systems, Micro-Computers (PCs), Mainframes &amp; Super Computers, Healthcare Services, General Med. Instruments/Supp., Medical Monitoring Systems, Artificial Organs/Limbs, Rehabilitation Equipment, Lab Equipment, Surgical Instruments/Equipment, Medical Imaging Systems, Medical Lasers, Other Biotechnology, Research &amp; Development Firm, Blood Derivatives, Drug Delivery Sys(Not IV Sys), Medicinal Chemicals, Nuclear Medicines, Over-The-Counter Drugs, General Pharmaceuticals, Vaccines/Specialty Drugs, Genetically Eng. Prod(Animal), Genetically Eng. Prod(Human), In-Vitro Diagnostic Products, In-Vivo Diagnostic Products, Internet Services &amp; Software, Other Telecommunications Equip, Data Commun(Exclude networking, Facsimile Equipment, Alarm Systems, Microwave Communications, Satellite Communications, Cellular Communications, Messaging Systems, Telephone Interconnect Equip, Telecommunications Equipment, Semiconductors, Other Electronics, Search, Detection, Navigation, Process Control Systems, Printed Circuit Boards, Superconductors, Precision/Measuring Test Equip</v>
      </c>
    </row>
    <row r="8">
      <c r="A8" s="9">
        <v>5</v>
      </c>
      <c r="B8" s="11">
        <v>1259</v>
      </c>
      <c r="C8" s="10" t="str">
        <v>Output</v>
      </c>
      <c r="D8" s="6" t="str">
        <v>Report: sdc_report (Columnar Grid)</v>
      </c>
      <c r="F8" s="6" t="str">
        <v/>
      </c>
    </row>
    <row r="9">
      <c r="D9" s="6" t="str">
        <v>Billing Ref # : 10511683</v>
      </c>
    </row>
    <row r="10">
      <c r="D10" s="6" t="str">
        <v>Capture File : business@uc3m.es.10511683</v>
      </c>
    </row>
    <row r="11">
      <c r="D11" s="6" t="str">
        <v>Session Name: sdc_gafam_filter</v>
      </c>
    </row>
  </sheetData>
  <ignoredErrors>
    <ignoredError numberStoredAsText="1" sqref="A1:F1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Worksheets</vt:lpstr>
      </vt:variant>
      <vt:variant>
        <vt:i4>2</vt:i4>
      </vt:variant>
    </vt:vector>
  </HeadingPairs>
  <TitlesOfParts>
    <vt:vector size="2" baseType="lpstr">
      <vt:lpstr>Request 5</vt:lpstr>
      <vt:lpstr>Session Details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